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11"/>
  <workbookPr filterPrivacy="1" defaultThemeVersion="166925"/>
  <xr:revisionPtr revIDLastSave="2" documentId="14_{3F6F1979-4D59-4544-AFC3-9AD2FF4EF454}" xr6:coauthVersionLast="47" xr6:coauthVersionMax="47" xr10:uidLastSave="{0DA9BA26-151A-45D6-82C4-C52EB54A0801}"/>
  <bookViews>
    <workbookView xWindow="-110" yWindow="-110" windowWidth="19420" windowHeight="10420" firstSheet="32" activeTab="8" xr2:uid="{4E24E4BA-5EE1-47D7-9C2B-42B66CF557CA}"/>
  </bookViews>
  <sheets>
    <sheet name="Sch. 16" sheetId="13" r:id="rId1"/>
    <sheet name="Sch. 17" sheetId="21" r:id="rId2"/>
    <sheet name="Sch. 18 pp.1- 3" sheetId="7" r:id="rId3"/>
    <sheet name="Sch. 18 p.4" sheetId="31" r:id="rId4"/>
    <sheet name="Sch. 19 p.1-17" sheetId="32" r:id="rId5"/>
    <sheet name="Sch. 19 pp.18-34" sheetId="33" r:id="rId6"/>
    <sheet name="Sch. 19 pp.35-51" sheetId="34" r:id="rId7"/>
    <sheet name="Sch. 20" sheetId="6" r:id="rId8"/>
    <sheet name="Sch. 21" sheetId="35" r:id="rId9"/>
    <sheet name="Sch. 22 pp.1-4" sheetId="4" r:id="rId10"/>
    <sheet name="Sch. 22 p.5" sheetId="5" r:id="rId11"/>
    <sheet name="Sch. 23 p.1" sheetId="19" r:id="rId12"/>
    <sheet name="Sch. 23 p.2" sheetId="25" r:id="rId13"/>
    <sheet name="Sch. 23 p.3" sheetId="24" r:id="rId14"/>
    <sheet name="Sch. 23 p.4" sheetId="22" r:id="rId15"/>
    <sheet name="Sch. 23 p.5" sheetId="23" r:id="rId16"/>
    <sheet name="Sch. 24 pp.1-3" sheetId="9" r:id="rId17"/>
    <sheet name="Sch. 24 pp.4-5" sheetId="10" r:id="rId18"/>
    <sheet name="Sch. 24 pp.6-8" sheetId="11" r:id="rId19"/>
    <sheet name="Sch. 25" sheetId="8" r:id="rId20"/>
    <sheet name="Sch. 26 p.1" sheetId="36" r:id="rId21"/>
    <sheet name="Sch. 26 pp.2-7" sheetId="37" r:id="rId22"/>
    <sheet name="Sch. 26 pp.8-10" sheetId="38" r:id="rId23"/>
    <sheet name="Sch. 27 p.1" sheetId="39" r:id="rId24"/>
    <sheet name="Sch. 27 p.2" sheetId="40" r:id="rId25"/>
    <sheet name="Sch. 27 p.3" sheetId="41" r:id="rId26"/>
    <sheet name="Sch. 27 p.4" sheetId="42" r:id="rId27"/>
    <sheet name="Sch. 27 p.5" sheetId="43" r:id="rId28"/>
    <sheet name="Sch. 27 p.6" sheetId="44" r:id="rId29"/>
    <sheet name="Sch. 28 p.1" sheetId="26" r:id="rId30"/>
    <sheet name="Sch. 28 p.2" sheetId="29" r:id="rId31"/>
    <sheet name="Sch. 28 p.3" sheetId="30" r:id="rId32"/>
    <sheet name="Sch. 28 p.4" sheetId="2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#REF!</definedName>
    <definedName name="\e" localSheetId="7">'Sch. 20'!#REF!</definedName>
    <definedName name="\e" localSheetId="8">'[1]T1 S1.1 (old)'!#REF!</definedName>
    <definedName name="\e">'[1]T1 S1.1 (old)'!#REF!</definedName>
    <definedName name="\i" localSheetId="7">'Sch. 20'!#REF!</definedName>
    <definedName name="\i" localSheetId="8">'[1]T1 S1.1 (old)'!#REF!</definedName>
    <definedName name="\i">'[1]T1 S1.1 (old)'!#REF!</definedName>
    <definedName name="\p">#REF!</definedName>
    <definedName name="\x" localSheetId="7">'Sch. 20'!#REF!</definedName>
    <definedName name="\x" localSheetId="8">'[1]T1 S1.1 (old)'!#REF!</definedName>
    <definedName name="\x">'[1]T1 S1.1 (old)'!#REF!</definedName>
    <definedName name="_____________________q222" hidden="1">{"Income Statement",#N/A,FALSE,"Stmt of Earnings"}</definedName>
    <definedName name="____________________q222" hidden="1">{"Income Statement",#N/A,FALSE,"Stmt of Earnings"}</definedName>
    <definedName name="___________________q222" hidden="1">{"Income Statement",#N/A,FALSE,"Stmt of Earnings"}</definedName>
    <definedName name="__________________q222" hidden="1">{"Income Statement",#N/A,FALSE,"Stmt of Earnings"}</definedName>
    <definedName name="________________q222" hidden="1">{"Income Statement",#N/A,FALSE,"Stmt of Earnings"}</definedName>
    <definedName name="______________q222" hidden="1">{"Income Statement",#N/A,FALSE,"Stmt of Earnings"}</definedName>
    <definedName name="____________q222" hidden="1">{"Income Statement",#N/A,FALSE,"Stmt of Earnings"}</definedName>
    <definedName name="___________q222" hidden="1">{"Income Statement",#N/A,FALSE,"Stmt of Earnings"}</definedName>
    <definedName name="__________q222" hidden="1">{"Income Statement",#N/A,FALSE,"Stmt of Earnings"}</definedName>
    <definedName name="________q222" hidden="1">{"Income Statement",#N/A,FALSE,"Stmt of Earnings"}</definedName>
    <definedName name="_______q222" hidden="1">{"Income Statement",#N/A,FALSE,"Stmt of Earnings"}</definedName>
    <definedName name="______q222" hidden="1">{"Income Statement",#N/A,FALSE,"Stmt of Earnings"}</definedName>
    <definedName name="_____q222" hidden="1">{"Income Statement",#N/A,FALSE,"Stmt of Earnings"}</definedName>
    <definedName name="____q222" hidden="1">{"Income Statement",#N/A,FALSE,"Stmt of Earnings"}</definedName>
    <definedName name="___q222" hidden="1">{"Income Statement",#N/A,FALSE,"Stmt of Earnings"}</definedName>
    <definedName name="__1__123Graph_ACHART_2" hidden="1">[2]Assumptions!#REF!</definedName>
    <definedName name="__123Graph_A" hidden="1">'[3]Summary-Business Segments'!#REF!</definedName>
    <definedName name="__123Graph_B" hidden="1">'[3]Summary-Business Segments'!#REF!</definedName>
    <definedName name="__123Graph_C" hidden="1">'[3]Summary-Business Segments'!#REF!</definedName>
    <definedName name="__123Graph_D" hidden="1">'[3]Summary-Business Segments'!#REF!</definedName>
    <definedName name="__123Graph_E" hidden="1">'[3]Summary-Business Segments'!#REF!</definedName>
    <definedName name="__123Graph_X" hidden="1">'[3]Summary-Business Segments'!#REF!</definedName>
    <definedName name="__2__123Graph_BCHART_2" hidden="1">[2]Assumptions!#REF!</definedName>
    <definedName name="__3__123Graph_CCHART_2" hidden="1">[2]Assumptions!#REF!</definedName>
    <definedName name="__4__123Graph_DCHART_2" hidden="1">[2]Assumptions!#REF!</definedName>
    <definedName name="__IntlFixupTable" hidden="1">#REF!</definedName>
    <definedName name="__key1" hidden="1">[4]TETCO!#REF!</definedName>
    <definedName name="__q222" hidden="1">{"Income Statement",#N/A,FALSE,"Stmt of Earnings"}</definedName>
    <definedName name="_1__123Graph_ACHART_2" hidden="1">[2]Assumptions!#REF!</definedName>
    <definedName name="_12__123Graph_ACHART_2" hidden="1">[5]Assumptions!#REF!</definedName>
    <definedName name="_12__123Graph_CCHART_2" hidden="1">[2]Assumptions!#REF!</definedName>
    <definedName name="_16__123Graph_DCHART_2" hidden="1">[2]Assumptions!#REF!</definedName>
    <definedName name="_2__123Graph_BCHART_2" hidden="1">[2]Assumptions!#REF!</definedName>
    <definedName name="_24__123Graph_BCHART_2" hidden="1">[5]Assumptions!#REF!</definedName>
    <definedName name="_3__123Graph_ACHART_2" hidden="1">[2]Assumptions!#REF!</definedName>
    <definedName name="_3__123Graph_CCHART_2" hidden="1">[2]Assumptions!#REF!</definedName>
    <definedName name="_36__123Graph_CCHART_2" hidden="1">[5]Assumptions!#REF!</definedName>
    <definedName name="_4__123Graph_ACHART_2" hidden="1">[2]Assumptions!#REF!</definedName>
    <definedName name="_4__123Graph_DCHART_2" hidden="1">[2]Assumptions!#REF!</definedName>
    <definedName name="_48__123Graph_DCHART_2" hidden="1">[5]Assumptions!#REF!</definedName>
    <definedName name="_8__123Graph_BCHART_2" hidden="1">[2]Assumptions!#REF!</definedName>
    <definedName name="_AMO_UniqueIdentifier" hidden="1">"'3220a84b-f13a-4c9f-972a-ae999c12a9d6'"</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3FA1DECB4CD04B48A136A33BB1EDDE11.edm" hidden="1">#REF!</definedName>
    <definedName name="_bdm.4B906F2216AB4608829152B2EAD2F3AC.edm" hidden="1">#REF!</definedName>
    <definedName name="_bdm.A46A1D31365545078411B39711432804.edm" hidden="1">#REF!</definedName>
    <definedName name="_bdm.CD78E95EA939478FBA877480842DDD29.edm" hidden="1">#REF!</definedName>
    <definedName name="_Fill" hidden="1">#REF!</definedName>
    <definedName name="_xlnm._FilterDatabase" hidden="1">#REF!</definedName>
    <definedName name="_Key1" hidden="1">'[6]TAX_EQUITY_Field Serv'!$A$10</definedName>
    <definedName name="_Order1" hidden="1">255</definedName>
    <definedName name="_q222" hidden="1">{"Income Statement",#N/A,FALSE,"Stmt of Earnings"}</definedName>
    <definedName name="_Regression_Int" localSheetId="7" hidden="1">1</definedName>
    <definedName name="_Regression_Out" hidden="1">#REF!</definedName>
    <definedName name="_Regression_X" hidden="1">#REF!</definedName>
    <definedName name="_Regression_Y" hidden="1">#REF!</definedName>
    <definedName name="_Sort" hidden="1">'[6]TAX_EQUITY_Field Serv'!$A$10:$E$76</definedName>
    <definedName name="_Table1_Out" hidden="1">#REF!</definedName>
    <definedName name="_Table2_In1" hidden="1">#REF!</definedName>
    <definedName name="_Table2_In2" hidden="1">#REF!</definedName>
    <definedName name="_Table2_Out" hidden="1">#REF!</definedName>
    <definedName name="aaa" hidden="1">{"Cash Flow Stmt",#N/A,FALSE,"Stmt of Cash Flows"}</definedName>
    <definedName name="abc" hidden="1">{"Cash for Distribution",#N/A,FALSE,"Cash for Distribution"}</definedName>
    <definedName name="ACwvu.Schedule._.1._.P._.1." localSheetId="7" hidden="1">'Sch. 20'!$A$1:$M$43</definedName>
    <definedName name="ACwvu.Schedule._.1._.P._.2." localSheetId="7" hidden="1">'[1]T3 S1.2'!$A$3:$N$56</definedName>
    <definedName name="ACwvu.Schedule._.1._.P._.3." localSheetId="7" hidden="1">'Sch. 20'!$R$139:$AB$139</definedName>
    <definedName name="ACwvu.Schedule._.1._.P._.4." localSheetId="7" hidden="1">'[1]T3 S1.3'!$A$17:$N$28</definedName>
    <definedName name="ACwvu.Schedule._.1._.P._.5." localSheetId="7" hidden="1">'Sch. 20'!#REF!</definedName>
    <definedName name="ACwvu.Schedule._.1._.P._.6." localSheetId="7" hidden="1">'[1]T3 S1.4'!$A$13:$N$70</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_1"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10_1"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2_1"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alysis3_1"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scount" hidden="1">1</definedName>
    <definedName name="AS2DocOpenMode" hidden="1">"AS2DocumentEdit"</definedName>
    <definedName name="AS2HasNoAutoHeaderFooter" hidden="1">" "</definedName>
    <definedName name="AS2TickmarkLS" hidden="1">#REF!</definedName>
    <definedName name="asdf" hidden="1">{"Summary Detail",#N/A,TRUE,"Summary";"Summary Notes",#N/A,TRUE,"Summary Notes";"DCF Var Exhibit",#N/A,TRUE,"DCF Variables";"EPC DCF",#N/A,TRUE,"EPC";"Plant Summary",#N/A,TRUE,"Plant";"Storage Summary",#N/A,TRUE,"Storage";"Pipe Summary",#N/A,TRUE,"Pipe";"Truck",#N/A,TRUE,"Truck";"Mktg",#N/A,TRUE,"Mktg";"Other Summary",#N/A,TRUE,"Other";"TGPP DCF",#N/A,TRUE,"TGPP";"Frac DCF",#N/A,TRUE,"Frac";"BRfrac DCF",#N/A,TRUE,"BRfrac";"TSpipe DCF",#N/A,TRUE,"TSPipe";"WPPipe DCF",#N/A,TRUE,"WPPipe";"Chill2 DCF",#N/A,TRUE,"Chill Add. EPC";"EntPro DCF",#N/A,TRUE,"EntPro";"DIBs DCF",#N/A,TRUE,"DIBs";"BEF DCF",#N/A,TRUE,"BEF";"BFP DCF",#N/A,TRUE,"BFP";"Chill DCF",#N/A,TRUE,"Chill"}</definedName>
    <definedName name="asdfsadf" hidden="1">#REF!</definedName>
    <definedName name="bals" hidden="1">{"Balance Sheet",#N/A,FALSE,"Stmt of Financial Position"}</definedName>
    <definedName name="balsheet" hidden="1">{"balsheet",#N/A,FALSE,"A"}</definedName>
    <definedName name="Calculation" hidden="1">{"balsheet",#N/A,FALSE,"A"}</definedName>
    <definedName name="CBWorkbookPriority" hidden="1">-332621336</definedName>
    <definedName name="Commissioning_Delivery_M7">[7]Supplementals!$L$178</definedName>
    <definedName name="Commissioning_Delivery_R100">[7]Supplementals!$L$168</definedName>
    <definedName name="Commissioning_Delivery_R20">[7]Supplementals!$L$158</definedName>
    <definedName name="ConsumersfirstT2s" hidden="1">{"Statements",#N/A,TRUE,"Income Statement";"Statements",#N/A,TRUE,"Cash Flow Statement";"Statements",#N/A,TRUE,"Balance Sheet ";#N/A,#N/A,TRUE,"Revenue Data Table";#N/A,#N/A,TRUE,"Costs &amp; Expenses Data Table";#N/A,#N/A,TRUE,"Cash Flow Data Table ";#N/A,#N/A,TRUE,"Shor-term Interest Expense"}</definedName>
    <definedName name="CurrentYear">[8]Input!$B$6</definedName>
    <definedName name="D" hidden="1">{#N/A,#N/A,FALSE,"Aging Summary";#N/A,#N/A,FALSE,"Ratio Analysis";#N/A,#N/A,FALSE,"Test 120 Day Accts";#N/A,#N/A,FALSE,"Tickmarks"}</definedName>
    <definedName name="ddd" hidden="1">{"Income Statement",#N/A,FALSE,"Stmt of Earnings"}</definedName>
    <definedName name="Delivery_AOR_M1">[7]Supplementals!$L$77</definedName>
    <definedName name="Delivery_AOR_M4">[7]Supplementals!$L$84</definedName>
    <definedName name="Delivery_AOR_M9">[7]Supplementals!$L$93</definedName>
    <definedName name="Delivery_AOR_T1">[7]Supplementals!$L$106</definedName>
    <definedName name="Delivery_AOR_T2">[7]Supplementals!$L$111</definedName>
    <definedName name="Delivery_AOR_T3">[7]Supplementals!$L$116</definedName>
    <definedName name="Delivery_M7_Int_Max">[7]Supplementals!$L$63</definedName>
    <definedName name="Delivery_M7_Seas_Max">[7]Supplementals!$L$68</definedName>
    <definedName name="Delivery_UOR_South">[7]Supplementals!$L$126</definedName>
    <definedName name="Demand_Dawn_to_Parkway" localSheetId="2">'[9]Detail Model'!$U$26</definedName>
    <definedName name="Demand_Dawn_to_Parkway" localSheetId="16">'[9]Detail Model'!$U$26</definedName>
    <definedName name="Demand_Dawn_to_Parkway" localSheetId="17">'[9]Detail Model'!$U$26</definedName>
    <definedName name="Demand_Dawn_to_Parkway" localSheetId="18">'[9]Detail Model'!$U$26</definedName>
    <definedName name="Demand_Dawn_to_Parkway" localSheetId="19">'[9]Detail Model'!$U$26</definedName>
    <definedName name="Demand_Dawn_to_Parkway">'[10]Detail Model'!$U$26</definedName>
    <definedName name="Demand_FromDawn_Ojibway" localSheetId="2">'[9]Detail Model'!$U$85</definedName>
    <definedName name="Demand_FromDawn_Ojibway" localSheetId="16">'[9]Detail Model'!$U$85</definedName>
    <definedName name="Demand_FromDawn_Ojibway" localSheetId="17">'[9]Detail Model'!$U$85</definedName>
    <definedName name="Demand_FromDawn_Ojibway" localSheetId="18">'[9]Detail Model'!$U$85</definedName>
    <definedName name="Demand_FromDawn_Ojibway" localSheetId="19">'[9]Detail Model'!$U$85</definedName>
    <definedName name="Demand_FromDawn_Ojibway">'[10]Detail Model'!$U$85</definedName>
    <definedName name="Demand_Rate_M12_Dawn_to_Kirkwall" localSheetId="2">'[9]Detail Model'!$U$23</definedName>
    <definedName name="Demand_Rate_M12_Dawn_to_Kirkwall" localSheetId="16">'[9]Detail Model'!$U$23</definedName>
    <definedName name="Demand_Rate_M12_Dawn_to_Kirkwall" localSheetId="17">'[9]Detail Model'!$U$23</definedName>
    <definedName name="Demand_Rate_M12_Dawn_to_Kirkwall" localSheetId="18">'[9]Detail Model'!$U$23</definedName>
    <definedName name="Demand_Rate_M12_Dawn_to_Kirkwall" localSheetId="19">'[9]Detail Model'!$U$23</definedName>
    <definedName name="Demand_Rate_M12_Dawn_to_Kirkwall">'[10]Detail Model'!$U$23</definedName>
    <definedName name="Dist_Loss">[7]Supplementals!$L$40</definedName>
    <definedName name="eee" hidden="1">{"Balance Sheet",#N/A,FALSE,"Stmt of Financial Position"}</definedName>
    <definedName name="EPMWorkbookOptions_1" hidden="1">"MCsAAB+LCAAAAAAABADtmm1v4jgQx9+vtN8B8R6SlIeyVcoql6ZtTkBQEnq3qlbIJAP4FpycbaC9T38mkJCUh2O7OoRCpRaa8X/G4/EvltNY/foynRTmQBkOyG1RKcvFAhAv8DEZ3RZnfFhS6sWvzc+f1D8C+mMQBD+skAspKwg/wm5eGL4tjjkPbyRpsViUF5VyQEfSlSwr0p/tluONYYpKmDCOiAfFxMv/b6+i6LVQUPWAEPCWfbqBPqMU"</definedName>
    <definedName name="EPMWorkbookOptions_2" hidden="1">"CH/CsIgaM813iKO1Vdg7aAqr3pKeOEzDGcVRVz0GtEthCCKeB2WRULHZv++2+7919bajyP3ntdMg9HyYz0blESdIfJR9JjEULu3S9/7zA2J3mHGKB7NlDsJiwxzIDPq69SCuhmjCIPlWpWVamyS1MJxgD6UKenSycYxslJR5XYNmKp833a/qtylpQdrb9Ih9H8gdngJhUbL7pZtEWUYjVM44WCQx9GAS0CanM1ClHQ2HXKNR7PDcGt3aUTDC"</definedName>
    <definedName name="EPMWorkbookOptions_3" hidden="1">"4YXfo3lAMRd5RbOxct5qe+P/iEfjifjlDkwEZ+A/YqCIemO8iXNQc0Q+95gynhrQ7vY3gZJR7y/4saq0rkfw3zOIKql5XjAjXJV2NR6KsZpBsXLUZKXSUFIBds1t5GtRH2hTVqXVHzujs3CCXrs0CIHy16ZSq9eGMBiWanW/WqpeDb+UGjWAkozgquoPrqvXg8qy56zXjsAtxJKJa8N0INbCHbIs5DsFQrLyT5XpWdN1q9dxv5efHxXxcW92"</definedName>
    <definedName name="EPMWorkbookOptions_4" hidden="1">"tI5uaq3+usERi8KW157oMVavG2lBLMA3BE9ui0t8im/uy8MTfJyvKh0etyodV0BRPsaDKf4H/OwNm2C2T7AFtfT/s68jDqOAvr4fflmuNmT5ePaV/LGva67xYNnfYvg13e1prYsHfsPWWREf5QL03cRXKrVatVo9nvirHBLfc1yrbdgJ8a1WP7FdPPcJYefE/fKxgVHv3djXrxW50bg+HvtK/rC/01zNsfU09bHp0qFP8Dor5h3rVzY29Xql"</definedName>
    <definedName name="EPMWorkbookOptions_5" hidden="1">"8hM7m2oOgXesDOzi8uJBXzJ1TpAbhGP+Cxv4n356reWPc6Pjmu63NOqRxTQ+HltjvM4JeZNwPTgh8fX8EW92XD2ztguDYesf6/uarXPCvYv4mJ0Q9+v84d7V3EcnjfvKcBGwnwRRGvwlknDcE2LayCGmtvW7obuOm0E1MV4ErgfW5hRl57Q+2yFfDdw75Tb8S/7wt7uu3rNto6Mne/HWx79WMnidE/cO0Dn24ITMKzl8c+oY9pOpG+kVPzZd"</definedName>
    <definedName name="EPMWorkbookOptions_6" hidden="1">"OvkJYOdEvStsp0Q+hy9MXbOd5r0cXV867Cuuzon0tqE5PdtwTkl7Dl+WxmUUsIufrmGb1p15IduaozA9QpTJZq8oowmmIU/dRdmzfKq06zRhxhrHFl1vn71MG7fPa6o2DCmwsUWsEEh8fC5rjHT6BBBdBrWIg+YQK9+aI218MFWMjEc1j9XbDZHeZE+IYjSYQBvoaCPfsn/+tImxPvXa/BcE1B/bMCsAAA=="</definedName>
    <definedName name="EPMWorkbookOptions_7">"Di9DLAAA"</definedName>
    <definedName name="ESC5MOS" hidden="1">{"Statements",#N/A,TRUE,"Income Statement";"Statements",#N/A,TRUE,"Cash Flow Statement";"Statements",#N/A,TRUE,"Balance Sheet ";#N/A,#N/A,TRUE,"Revenue Data Table";#N/A,#N/A,TRUE,"Costs &amp; Expenses Data Table";#N/A,#N/A,TRUE,"Cash Flow Data Table ";#N/A,#N/A,TRUE,"Shor-term Interest Expense"}</definedName>
    <definedName name="essbase12month" hidden="1">{"balsheet",#N/A,FALSE,"A"}</definedName>
    <definedName name="EV__EVCOM_OPTIONS__" hidden="1">8</definedName>
    <definedName name="EV__EXPOPTIONS__" hidden="1">0</definedName>
    <definedName name="EV__LASTREFTIME__" hidden="1">41247.4113888889</definedName>
    <definedName name="EV__MAXEXPCOLS__" hidden="1">100</definedName>
    <definedName name="EV__MAXEXPROWS__" hidden="1">200000</definedName>
    <definedName name="EV__MEMORYCVW__" hidden="1">0</definedName>
    <definedName name="EV__USERCHANGEOPTIONS__" hidden="1">1</definedName>
    <definedName name="EV__WBEVMODE__" hidden="1">0</definedName>
    <definedName name="EV__WBREFOPTIONS__" hidden="1">134217728</definedName>
    <definedName name="EV__WBVERSION__" hidden="1">0</definedName>
    <definedName name="Footnoted12dea4ce69e4366834218b3f411928f" hidden="1">'[11]PPE Table'!#REF!</definedName>
    <definedName name="Fuel_UFG_West_to_Dawn_M16" localSheetId="2">'[12]8.2.8 - Attach 2'!#REF!</definedName>
    <definedName name="Fuel_UFG_West_to_Dawn_M16" localSheetId="8">#REF!</definedName>
    <definedName name="Fuel_UFG_West_to_Dawn_M16" localSheetId="16">'[12]8.2.8 - Attach 2'!#REF!</definedName>
    <definedName name="Fuel_UFG_West_to_Dawn_M16" localSheetId="17">'[12]8.2.8 - Attach 2'!#REF!</definedName>
    <definedName name="Fuel_UFG_West_to_Dawn_M16" localSheetId="18">'[12]8.2.8 - Attach 2'!#REF!</definedName>
    <definedName name="Fuel_UFG_West_to_Dawn_M16" localSheetId="19">'[12]8.2.8 - Attach 2'!#REF!</definedName>
    <definedName name="Fuel_UFG_West_to_Dawn_M16">'[13]8.2.8 - Attach 2'!#REF!</definedName>
    <definedName name="fuel_UFG_West_to_Pool_M16" localSheetId="2">'[12]8.2.8 - Attach 2'!#REF!</definedName>
    <definedName name="fuel_UFG_West_to_Pool_M16" localSheetId="8">#REF!</definedName>
    <definedName name="fuel_UFG_West_to_Pool_M16" localSheetId="16">'[12]8.2.8 - Attach 2'!#REF!</definedName>
    <definedName name="fuel_UFG_West_to_Pool_M16" localSheetId="17">'[12]8.2.8 - Attach 2'!#REF!</definedName>
    <definedName name="fuel_UFG_West_to_Pool_M16" localSheetId="18">'[12]8.2.8 - Attach 2'!#REF!</definedName>
    <definedName name="fuel_UFG_West_to_Pool_M16" localSheetId="19">'[12]8.2.8 - Attach 2'!#REF!</definedName>
    <definedName name="fuel_UFG_West_to_Pool_M16">'[13]8.2.8 - Attach 2'!#REF!</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ap_1" hidden="1">{"yr1_AOA",#N/A,FALSE,"AOA Effect";"yr2_AOA",#N/A,FALSE,"AOA Effect";"yr3_AOA",#N/A,FALSE,"AOA Effect";"yr4_AOA",#N/A,FALSE,"AOA Effect";"yr5_AOA",#N/A,FALSE,"AOA Effect";"yr6_AOA",#N/A,FALSE,"AOA Effect";"yr7_AOA",#N/A,FALSE,"AOA Effect";"yr8_AOA",#N/A,FALSE,"AOA Effect";"yr9_AOA",#N/A,FALSE,"AOA Effect";"yr10_AOA",#N/A,FALSE,"AOA Effect"}</definedName>
    <definedName name="gfhg" hidden="1">{#N/A,#N/A,FALSE,"Sheet1"}</definedName>
    <definedName name="GSAdminChg" localSheetId="2">'[12]8.2.8 - Attach 6'!#REF!</definedName>
    <definedName name="GSAdminChg" localSheetId="8">#REF!</definedName>
    <definedName name="GSAdminChg" localSheetId="16">'[12]8.2.8 - Attach 6'!#REF!</definedName>
    <definedName name="GSAdminChg" localSheetId="17">'[12]8.2.8 - Attach 6'!#REF!</definedName>
    <definedName name="GSAdminChg" localSheetId="18">'[12]8.2.8 - Attach 6'!#REF!</definedName>
    <definedName name="GSAdminChg" localSheetId="19">'[12]8.2.8 - Attach 6'!#REF!</definedName>
    <definedName name="GSAdminChg">'[13]8.2.8 - Attach 6'!#REF!</definedName>
    <definedName name="hgjgh" hidden="1">{"Cash for Distribution",#N/A,FALSE,"Cash for Distribution"}</definedName>
    <definedName name="HV_South">[7]Supplementals!$Q$10</definedName>
    <definedName name="lklk" hidden="1">{"Cash for Distribution",#N/A,FALSE,"Cash for Distribution"}</definedName>
    <definedName name="llulu" hidden="1">{"yr1_AOA",#N/A,FALSE,"AOA Effect";"yr2_AOA",#N/A,FALSE,"AOA Effect";"yr3_AOA",#N/A,FALSE,"AOA Effect";"yr4_AOA",#N/A,FALSE,"AOA Effect";"yr5_AOA",#N/A,FALSE,"AOA Effect";"yr6_AOA",#N/A,FALSE,"AOA Effect";"yr7_AOA",#N/A,FALSE,"AOA Effect";"yr8_AOA",#N/A,FALSE,"AOA Effect";"yr9_AOA",#N/A,FALSE,"AOA Effect";"yr10_AOA",#N/A,FALSE,"AOA Effect"}</definedName>
    <definedName name="LOCAL_DATE_SEPARATOR" hidden="1">#REF!</definedName>
    <definedName name="LOCAL_DAY_FORMAT" hidden="1">#REF!</definedName>
    <definedName name="LOCAL_HOUR_FORMAT" hidden="1">#REF!</definedName>
    <definedName name="LOCAL_MINUTE_FORMAT" hidden="1">#REF!</definedName>
    <definedName name="LOCAL_MONTH_FORMAT" hidden="1">#REF!</definedName>
    <definedName name="LOCAL_MYSQL_DATE_FORMAT" hidden="1">#REF!</definedName>
    <definedName name="LOCAL_SECOND_FORMAT" hidden="1">#REF!</definedName>
    <definedName name="LOCAL_TIME_SEPARATOR" hidden="1">#REF!</definedName>
    <definedName name="LOCAL_YEAR_FORMAT" hidden="1">#REF!</definedName>
    <definedName name="M1FacilityCarbon">[7]Supplementals!$L$292</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V_Delivery_M4_Firm">[7]Supplementals!$L$45</definedName>
    <definedName name="MAV_Delivery_M4M5_Int">[7]Supplementals!$L$50</definedName>
    <definedName name="MEWarning" hidden="1">1</definedName>
    <definedName name="mmmm" hidden="1">{"Balance Sheet",#N/A,FALSE,"Stmt of Financial Position"}</definedName>
    <definedName name="Monthly_Fixed_Charge_M13_Large" localSheetId="2">'[9]Detail Model'!$U$181</definedName>
    <definedName name="Monthly_Fixed_Charge_M13_Large" localSheetId="16">'[9]Detail Model'!$U$181</definedName>
    <definedName name="Monthly_Fixed_Charge_M13_Large" localSheetId="17">'[9]Detail Model'!$U$181</definedName>
    <definedName name="Monthly_Fixed_Charge_M13_Large" localSheetId="18">'[9]Detail Model'!$U$181</definedName>
    <definedName name="Monthly_Fixed_Charge_M13_Large" localSheetId="19">'[9]Detail Model'!$U$181</definedName>
    <definedName name="Monthly_Fixed_Charge_M13_Large">'[10]Detail Model'!$U$181</definedName>
    <definedName name="Monthly_Fixed_Charge_M13_Typical" localSheetId="2">'[9]Detail Model'!$U$180</definedName>
    <definedName name="Monthly_Fixed_Charge_M13_Typical" localSheetId="16">'[9]Detail Model'!$U$180</definedName>
    <definedName name="Monthly_Fixed_Charge_M13_Typical" localSheetId="17">'[9]Detail Model'!$U$180</definedName>
    <definedName name="Monthly_Fixed_Charge_M13_Typical" localSheetId="18">'[9]Detail Model'!$U$180</definedName>
    <definedName name="Monthly_Fixed_Charge_M13_Typical" localSheetId="19">'[9]Detail Model'!$U$180</definedName>
    <definedName name="Monthly_Fixed_Charge_M13_Typical">'[10]Detail Model'!$U$180</definedName>
    <definedName name="page26">#REF!</definedName>
    <definedName name="page27">#REF!</definedName>
    <definedName name="Pal_Workbook_GUID" hidden="1">"AQTEI7HYID8M473JRKISZF5C"</definedName>
    <definedName name="paolo" localSheetId="2" hidden="1">{#N/A,#N/A,FALSE,"H3 Tab 1"}</definedName>
    <definedName name="paolo" localSheetId="8" hidden="1">{#N/A,#N/A,FALSE,"H3 Tab 1"}</definedName>
    <definedName name="paolo" localSheetId="10" hidden="1">{#N/A,#N/A,FALSE,"H3 Tab 1"}</definedName>
    <definedName name="paolo" localSheetId="9" hidden="1">{#N/A,#N/A,FALSE,"H3 Tab 1"}</definedName>
    <definedName name="paolo" localSheetId="11" hidden="1">{#N/A,#N/A,FALSE,"H3 Tab 1"}</definedName>
    <definedName name="paolo" localSheetId="12" hidden="1">{#N/A,#N/A,FALSE,"H3 Tab 1"}</definedName>
    <definedName name="paolo" localSheetId="13" hidden="1">{#N/A,#N/A,FALSE,"H3 Tab 1"}</definedName>
    <definedName name="paolo" localSheetId="14" hidden="1">{#N/A,#N/A,FALSE,"H3 Tab 1"}</definedName>
    <definedName name="paolo" localSheetId="15" hidden="1">{#N/A,#N/A,FALSE,"H3 Tab 1"}</definedName>
    <definedName name="paolo" localSheetId="16" hidden="1">{#N/A,#N/A,FALSE,"H3 Tab 1"}</definedName>
    <definedName name="paolo" localSheetId="17" hidden="1">{#N/A,#N/A,FALSE,"H3 Tab 1"}</definedName>
    <definedName name="paolo" localSheetId="18" hidden="1">{#N/A,#N/A,FALSE,"H3 Tab 1"}</definedName>
    <definedName name="paolo" localSheetId="19" hidden="1">{#N/A,#N/A,FALSE,"H3 Tab 1"}</definedName>
    <definedName name="paolo" hidden="1">{#N/A,#N/A,FALSE,"H3 Tab 1"}</definedName>
    <definedName name="PDCI_Credit">'Sch. 21'!$H$369</definedName>
    <definedName name="PopCache_GL_INTERFACE_REFERENCE7" hidden="1">[14]PopCache!$A$1:$A$2</definedName>
    <definedName name="Price_Cap_Index">[8]Input!$H$13</definedName>
    <definedName name="_xlnm.Print_Area" localSheetId="0">'Sch. 16'!$A$1:$P$54</definedName>
    <definedName name="_xlnm.Print_Area" localSheetId="1">'Sch. 17'!$A$1:$K$51</definedName>
    <definedName name="_xlnm.Print_Area" localSheetId="3">'Sch. 18 p.4'!$B$1:$AM$70</definedName>
    <definedName name="_xlnm.Print_Area" localSheetId="2">'Sch. 18 pp.1- 3'!$A$1:$AL$214</definedName>
    <definedName name="_xlnm.Print_Area" localSheetId="4">'Sch. 19 p.1-17'!$A$1:$AC$873</definedName>
    <definedName name="_xlnm.Print_Area" localSheetId="5">'Sch. 19 pp.18-34'!$A$1:$W$872</definedName>
    <definedName name="_xlnm.Print_Area" localSheetId="6">'Sch. 19 pp.35-51'!$A$1:$X$876</definedName>
    <definedName name="_xlnm.Print_Area" localSheetId="7">'Sch. 20'!$A$1:$Q$731</definedName>
    <definedName name="_xlnm.Print_Area" localSheetId="8">'Sch. 21'!$A$1:$H$380</definedName>
    <definedName name="_xlnm.Print_Area" localSheetId="10">'Sch. 22 p.5'!$A$1:$Z$53</definedName>
    <definedName name="_xlnm.Print_Area" localSheetId="9">'Sch. 22 pp.1-4'!$A$1:$M$245</definedName>
    <definedName name="_xlnm.Print_Area" localSheetId="11">'Sch. 23 p.1'!$A$1:$W$64</definedName>
    <definedName name="_xlnm.Print_Area" localSheetId="12">'Sch. 23 p.2'!$A$1:$N$63</definedName>
    <definedName name="_xlnm.Print_Area" localSheetId="13">'Sch. 23 p.3'!$A$1:$N$62</definedName>
    <definedName name="_xlnm.Print_Area" localSheetId="15">'Sch. 23 p.5'!$A$1:$M$62</definedName>
    <definedName name="_xlnm.Print_Area" localSheetId="16">'Sch. 24 pp.1-3'!$A$1:$Q$283</definedName>
    <definedName name="_xlnm.Print_Area" localSheetId="17">'Sch. 24 pp.4-5'!$A$1:$Q$130</definedName>
    <definedName name="_xlnm.Print_Area" localSheetId="18">'Sch. 24 pp.6-8'!$A$1:$Q$212</definedName>
    <definedName name="_xlnm.Print_Area" localSheetId="19">'Sch. 25'!$A$1:$I$53</definedName>
    <definedName name="_xlnm.Print_Area" localSheetId="20">'Sch. 26 p.1'!$A$1:$H$50</definedName>
    <definedName name="_xlnm.Print_Area" localSheetId="21">'Sch. 26 pp.2-7'!$A$1:$Q$586</definedName>
    <definedName name="_xlnm.Print_Area" localSheetId="22">'Sch. 26 pp.8-10'!$A$1:$L$251</definedName>
    <definedName name="_xlnm.Print_Area" localSheetId="23">'Sch. 27 p.1'!$A$1:$M$62</definedName>
    <definedName name="_xlnm.Print_Area" localSheetId="24">'Sch. 27 p.2'!$A$1:$J$60</definedName>
    <definedName name="_xlnm.Print_Area" localSheetId="27">'Sch. 27 p.5'!$A$1:$G$68</definedName>
    <definedName name="_xlnm.Print_Area" localSheetId="28">'Sch. 27 p.6'!$A$1:$N$83</definedName>
    <definedName name="_xlnm.Print_Area" localSheetId="29">'Sch. 28 p.1'!$A$1:$L$60</definedName>
    <definedName name="_xlnm.Print_Area" localSheetId="30">'Sch. 28 p.2'!$A$1:$W$35</definedName>
    <definedName name="_xlnm.Print_Area" localSheetId="31">'Sch. 28 p.3'!$A$1:$U$53</definedName>
    <definedName name="_xlnm.Print_Area" localSheetId="32">'Sch. 28 p.4'!$A$1:$M$37</definedName>
    <definedName name="Print_Area_MI" localSheetId="7">'Sch. 20'!#REF!</definedName>
    <definedName name="Print_Area_MI" localSheetId="8">'[1]T1 S1.1 (old)'!#REF!</definedName>
    <definedName name="Print_Area_MI">'[1]T1 S1.1 (old)'!#REF!</definedName>
    <definedName name="ratebase" hidden="1">[5]Assumptions!#REF!</definedName>
    <definedName name="Refprice">[7]Supplementals!$J$32</definedName>
    <definedName name="Refprice_GJ">[7]Supplementals!$N$32</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lh.All." hidden="1">{"highlights",#N/A,FALSE,"Highlights";"cap detail",#N/A,FALSE,"Capital Structure Detail"}</definedName>
    <definedName name="rlh.Capital._.Structure._.Detail." hidden="1">{"cap detail",#N/A,FALSE,"Capital Structure Detail"}</definedName>
    <definedName name="rlh.Highlights." hidden="1">{"highlights",#N/A,FALSE,"Highlights"}</definedName>
    <definedName name="rngCopyFormulasSource" hidden="1">'[15]CIN-14'!#REF!</definedName>
    <definedName name="sdghsdghsdgh" hidden="1">{"Balance Sheet",#N/A,FALSE,"Stmt of Financial Position"}</definedName>
    <definedName name="solver_adj" localSheetId="10" hidden="1">'Sch. 22 p.5'!$M$61</definedName>
    <definedName name="solver_cvg" localSheetId="10" hidden="1">0.0001</definedName>
    <definedName name="solver_drv" localSheetId="10" hidden="1">2</definedName>
    <definedName name="solver_eng" localSheetId="10" hidden="1">1</definedName>
    <definedName name="solver_est" localSheetId="10" hidden="1">1</definedName>
    <definedName name="solver_itr" localSheetId="10" hidden="1">2147483647</definedName>
    <definedName name="solver_mip" localSheetId="10" hidden="1">2147483647</definedName>
    <definedName name="solver_mni" localSheetId="10" hidden="1">30</definedName>
    <definedName name="solver_mrt" localSheetId="10" hidden="1">0.075</definedName>
    <definedName name="solver_msl" localSheetId="10" hidden="1">2</definedName>
    <definedName name="solver_neg" localSheetId="10" hidden="1">1</definedName>
    <definedName name="solver_nod" localSheetId="10" hidden="1">2147483647</definedName>
    <definedName name="solver_num" localSheetId="10" hidden="1">0</definedName>
    <definedName name="solver_nwt" localSheetId="10" hidden="1">1</definedName>
    <definedName name="solver_opt" localSheetId="10" hidden="1">'Sch. 22 p.5'!$AF$60</definedName>
    <definedName name="solver_pre" localSheetId="10" hidden="1">0.000001</definedName>
    <definedName name="solver_rbv" localSheetId="10" hidden="1">2</definedName>
    <definedName name="solver_rlx" localSheetId="10" hidden="1">2</definedName>
    <definedName name="solver_rsd" localSheetId="10" hidden="1">0</definedName>
    <definedName name="solver_scl" localSheetId="10" hidden="1">2</definedName>
    <definedName name="solver_sho" localSheetId="10" hidden="1">2</definedName>
    <definedName name="solver_ssz" localSheetId="10" hidden="1">100</definedName>
    <definedName name="solver_tim" localSheetId="10" hidden="1">2147483647</definedName>
    <definedName name="solver_tol" localSheetId="10" hidden="1">0.01</definedName>
    <definedName name="solver_typ" localSheetId="10" hidden="1">3</definedName>
    <definedName name="solver_val" localSheetId="10" hidden="1">0</definedName>
    <definedName name="solver_ver" localSheetId="10" hidden="1">3</definedName>
    <definedName name="sort" hidden="1">[4]TETCO!#REF!</definedName>
    <definedName name="ssss" hidden="1">{"Cash for Distribution",#N/A,FALSE,"Cash for Distribution"}</definedName>
    <definedName name="Storage_AOR_R20R100">[7]Supplementals!$L$121</definedName>
    <definedName name="Storage_Comm_AOR_T1T2T3">[7]Supplementals!$L$101</definedName>
    <definedName name="Storage_Inj_UnauthOR_M9T3">[7]Supplementals!$L$140</definedName>
    <definedName name="Storage_Inj_UnauthOR_T1T2">[7]Supplementals!$L$135</definedName>
    <definedName name="Storage_T1_Deliverability_Cust">'[16]Detail Model'!$BA$441</definedName>
    <definedName name="Swvu.Schedule._.1._.P._.1." localSheetId="7" hidden="1">'Sch. 20'!$A$1:$M$43</definedName>
    <definedName name="Swvu.Schedule._.1._.P._.2." localSheetId="7" hidden="1">'[1]T3 S1.2'!$A$3:$N$56</definedName>
    <definedName name="Swvu.Schedule._.1._.P._.3." localSheetId="7" hidden="1">'Sch. 20'!$R$139:$AB$139</definedName>
    <definedName name="Swvu.Schedule._.1._.P._.4." localSheetId="7" hidden="1">'[1]T3 S1.3'!$A$17:$N$28</definedName>
    <definedName name="Swvu.Schedule._.1._.P._.5." localSheetId="7" hidden="1">'Sch. 20'!#REF!</definedName>
    <definedName name="Swvu.Schedule._.1._.P._.6." localSheetId="7" hidden="1">'[1]T3 S1.4'!$A$13:$N$70</definedName>
    <definedName name="TP_Footer_User" hidden="1">"mcgowan"</definedName>
    <definedName name="TP_Footer_Version" hidden="1">"v4.00"</definedName>
    <definedName name="UOR_Noncompliance">[7]Supplementals!$L$145</definedName>
    <definedName name="wrn.1996." hidden="1">{"Throughput 1996",#N/A,FALSE,"AVG_T1-4";"Revenue 1996",#N/A,FALSE,"AVG_T1-4"}</definedName>
    <definedName name="wrn.5900._.WIP." hidden="1">{#N/A,#N/A,FALSE,"5900 WIP"}</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ccumDepr._1"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ging._.and._.Trend._.Analysis." hidden="1">{#N/A,#N/A,FALSE,"Aging Summary";#N/A,#N/A,FALSE,"Ratio Analysis";#N/A,#N/A,FALSE,"Test 120 Day Accts";#N/A,#N/A,FALSE,"Tickmarks"}</definedName>
    <definedName name="wrn.all." hidden="1">{#N/A,#N/A,FALSE,"Zum";#N/A,#N/A,FALSE,"Amz";#N/A,#N/A,FALSE,"PBGF";#N/A,#N/A,FALSE,"AssetR";#N/A,#N/A,FALSE,"GainLoss";#N/A,#N/A,FALSE,"CICAl";#N/A,#N/A,FALSE,"CICAs"}</definedName>
    <definedName name="wrn.all._.exh._.without._.typicals." localSheetId="8" hidden="1">{"pg1",#N/A,FALSE,"T4 S1.1";"pg 2",#N/A,FALSE,"T4 S1.2";"pg3",#N/A,FALSE,"T4 S2.1";"Exh 3 - Pg 1",#N/A,FALSE,"T4 S3.1-6";"Exh 3 - Pg 2",#N/A,FALSE,"T4 S3.1-6";"Exh 3 - Pg 3",#N/A,FALSE,"T4 S3.1-6";"Exh 3 - Pg 4",#N/A,FALSE,"T4 S3.1-6";"Exh 4 - P1",#N/A,FALSE,"T4 S4.1-3";"Exh 4 - P2",#N/A,FALSE,"T4 S4.1-3";"Exh 4 - P3",#N/A,FALSE,"T4 S4.1-3";"Exh 4 - P4",#N/A,FALSE,"T4 S4.1-3";"Exh 5 - P1",#N/A,FALSE,"T4 S3.1-6";"Exh 5 - P2",#N/A,FALSE,"T4 S3.1-6";"Exh 5 - P3",#N/A,FALSE,"T4 S3.1-6";"Exh 5 - P4",#N/A,FALSE,"T4 S3.1-6";"Exh 5 - P5",#N/A,FALSE,"T4 S5.1-13";"Exh 5 - P6",#N/A,FALSE,"T4 S5.1-13";"Exh 5 - P7",#N/A,FALSE,"T4 S5.1-13";"Exh 5 - P8",#N/A,FALSE,"T4 S5.1-13"}</definedName>
    <definedName name="wrn.all._.exh._.without._.typicals." hidden="1">{"pg1",#N/A,FALSE,"T4 S1.1";"pg 2",#N/A,FALSE,"T4 S1.2";"pg3",#N/A,FALSE,"T4 S2.1";"Exh 3 - Pg 1",#N/A,FALSE,"T4 S3.1-6";"Exh 3 - Pg 2",#N/A,FALSE,"T4 S3.1-6";"Exh 3 - Pg 3",#N/A,FALSE,"T4 S3.1-6";"Exh 3 - Pg 4",#N/A,FALSE,"T4 S3.1-6";"Exh 4 - P1",#N/A,FALSE,"T4 S4.1-3";"Exh 4 - P2",#N/A,FALSE,"T4 S4.1-3";"Exh 4 - P3",#N/A,FALSE,"T4 S4.1-3";"Exh 4 - P4",#N/A,FALSE,"T4 S4.1-3";"Exh 5 - P1",#N/A,FALSE,"T4 S3.1-6";"Exh 5 - P2",#N/A,FALSE,"T4 S3.1-6";"Exh 5 - P3",#N/A,FALSE,"T4 S3.1-6";"Exh 5 - P4",#N/A,FALSE,"T4 S3.1-6";"Exh 5 - P5",#N/A,FALSE,"T4 S5.1-13";"Exh 5 - P6",#N/A,FALSE,"T4 S5.1-13";"Exh 5 - P7",#N/A,FALSE,"T4 S5.1-13";"Exh 5 - P8",#N/A,FALSE,"T4 S5.1-13"}</definedName>
    <definedName name="wrn.ALL._.EXHIBITS." localSheetId="8" hidden="1">{"T4 S1.1",#N/A,FALSE,"T4 S1.1";"Exh 1 - P2 vols &amp; rev",#N/A,FALSE,"T4 S1.2";"Exh 2 - Pg 1 rev comp by rate",#N/A,FALSE,"T4 S2.1";"T4 S3.1",#N/A,FALSE,"T4 S3.1";"T4 S3.2",#N/A,FALSE,"T4 S3.2";"T4 S3.3",#N/A,FALSE,"T4 S3.3";"T4 S3.4",#N/A,FALSE,"T4 S3.4";"T4 S4.1",#N/A,FALSE,"T4 S4.1";"T4 S4.2",#N/A,FALSE,"T4 S4.2";"T4 S4.3",#N/A,FALSE,"T4 S4.3";"T4 S5.1",#N/A,FALSE,"T4 S5.1";"T4 S5.2",#N/A,FALSE,"T4 S5.2";"T4 S5.3",#N/A,FALSE,"T4 S5.3";"T4 S5.4",#N/A,FALSE,"T4 S5.4";"T4 S5.5",#N/A,FALSE,"T4 S5.5";"T4 S5.6",#N/A,FALSE,"T4 S5.6";"T4 S5.7",#N/A,FALSE,"T4 S5.7";"T4 S5.8",#N/A,FALSE,"T4 S5.8";"T4 S6.1",#N/A,FALSE,"T4 S6.1";"T4 S6.2",#N/A,FALSE,"T4 S6.2";"T4 S6.3",#N/A,FALSE,"T4 S6.3";"T4 S6.4",#N/A,FALSE,"T4 S6.4";"T4 S6.5",#N/A,FALSE,"T4 S6.5";"T4 S6.6",#N/A,FALSE,"T4 S6.6";"T4 S6.7",#N/A,FALSE,"T4 S6.7";"T4 S6.8",#N/A,FALSE,"T4 S6.8"}</definedName>
    <definedName name="wrn.ALL._.EXHIBITS." hidden="1">{"T4 S1.1",#N/A,FALSE,"T4 S1.1";"Exh 1 - P2 vols &amp; rev",#N/A,FALSE,"T4 S1.2";"Exh 2 - Pg 1 rev comp by rate",#N/A,FALSE,"T4 S2.1";"T4 S3.1",#N/A,FALSE,"T4 S3.1";"T4 S3.2",#N/A,FALSE,"T4 S3.2";"T4 S3.3",#N/A,FALSE,"T4 S3.3";"T4 S3.4",#N/A,FALSE,"T4 S3.4";"T4 S4.1",#N/A,FALSE,"T4 S4.1";"T4 S4.2",#N/A,FALSE,"T4 S4.2";"T4 S4.3",#N/A,FALSE,"T4 S4.3";"T4 S5.1",#N/A,FALSE,"T4 S5.1";"T4 S5.2",#N/A,FALSE,"T4 S5.2";"T4 S5.3",#N/A,FALSE,"T4 S5.3";"T4 S5.4",#N/A,FALSE,"T4 S5.4";"T4 S5.5",#N/A,FALSE,"T4 S5.5";"T4 S5.6",#N/A,FALSE,"T4 S5.6";"T4 S5.7",#N/A,FALSE,"T4 S5.7";"T4 S5.8",#N/A,FALSE,"T4 S5.8";"T4 S6.1",#N/A,FALSE,"T4 S6.1";"T4 S6.2",#N/A,FALSE,"T4 S6.2";"T4 S6.3",#N/A,FALSE,"T4 S6.3";"T4 S6.4",#N/A,FALSE,"T4 S6.4";"T4 S6.5",#N/A,FALSE,"T4 S6.5";"T4 S6.6",#N/A,FALSE,"T4 S6.6";"T4 S6.7",#N/A,FALSE,"T4 S6.7";"T4 S6.8",#N/A,FALSE,"T4 S6.8"}</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NEW._.TYPICALS." localSheetId="8" hidden="1">{"NEW RES TYP PAGE 1",#N/A,FALSE,"NEW R1 RES TYP";"NEW RES TYP PAGE 2",#N/A,FALSE,"NEW R1 RES TYP";"NEW COM-IND TYP PAGE 1",#N/A,FALSE,"NEW R1 RES TYP";"NEW COM-IND TYP PAGE 2",#N/A,FALSE,"NEW R1 RES TYP";"NEW LV COM-IND TYP PAGE 1",#N/A,FALSE,"NEW R1 RES TYP";"NEW LV COM-IND TYP PAGE 2",#N/A,FALSE,"NEW R1 RES TYP";"NEW LV COM-IND TYP PAGE 3",#N/A,FALSE,"NEW R1 RES TYP";"NEW LV COM-IND TYP PAGE 4",#N/A,FALSE,"NEW R1 RES TYP"}</definedName>
    <definedName name="wrn.ALL._.NEW._.TYPICALS." hidden="1">{"NEW RES TYP PAGE 1",#N/A,FALSE,"NEW R1 RES TYP";"NEW RES TYP PAGE 2",#N/A,FALSE,"NEW R1 RES TYP";"NEW COM-IND TYP PAGE 1",#N/A,FALSE,"NEW R1 RES TYP";"NEW COM-IND TYP PAGE 2",#N/A,FALSE,"NEW R1 RES TYP";"NEW LV COM-IND TYP PAGE 1",#N/A,FALSE,"NEW R1 RES TYP";"NEW LV COM-IND TYP PAGE 2",#N/A,FALSE,"NEW R1 RES TYP";"NEW LV COM-IND TYP PAGE 3",#N/A,FALSE,"NEW R1 RES TYP";"NEW LV COM-IND TYP PAGE 4",#N/A,FALSE,"NEW R1 RES TYP"}</definedName>
    <definedName name="wrn.Assets._.and._.Liabilities." hidden="1">{"assets",#N/A,FALSE,"Balance Sheet";"liabilities",#N/A,FALSE,"Balance Sheet"}</definedName>
    <definedName name="wrn.Backup." localSheetId="2" hidden="1">{#N/A,#N/A,FALSE,"Margins";#N/A,#N/A,FALSE,"Fuel $";#N/A,#N/A,FALSE,"Fuel";#N/A,#N/A,FALSE,"M12 Storage";#N/A,#N/A,FALSE,"M12 Transport";#N/A,#N/A,FALSE,"M12 OR";#N/A,#N/A,FALSE,"C1 OR"}</definedName>
    <definedName name="wrn.Backup." localSheetId="8" hidden="1">{#N/A,#N/A,FALSE,"Margins";#N/A,#N/A,FALSE,"Fuel $";#N/A,#N/A,FALSE,"Fuel";#N/A,#N/A,FALSE,"M12 Storage";#N/A,#N/A,FALSE,"M12 Transport";#N/A,#N/A,FALSE,"M12 OR";#N/A,#N/A,FALSE,"C1 OR"}</definedName>
    <definedName name="wrn.Backup." localSheetId="10" hidden="1">{#N/A,#N/A,FALSE,"Margins";#N/A,#N/A,FALSE,"Fuel $";#N/A,#N/A,FALSE,"Fuel";#N/A,#N/A,FALSE,"M12 Storage";#N/A,#N/A,FALSE,"M12 Transport";#N/A,#N/A,FALSE,"M12 OR";#N/A,#N/A,FALSE,"C1 OR"}</definedName>
    <definedName name="wrn.Backup." localSheetId="9" hidden="1">{#N/A,#N/A,FALSE,"Margins";#N/A,#N/A,FALSE,"Fuel $";#N/A,#N/A,FALSE,"Fuel";#N/A,#N/A,FALSE,"M12 Storage";#N/A,#N/A,FALSE,"M12 Transport";#N/A,#N/A,FALSE,"M12 OR";#N/A,#N/A,FALSE,"C1 OR"}</definedName>
    <definedName name="wrn.Backup." localSheetId="11" hidden="1">{#N/A,#N/A,FALSE,"Margins";#N/A,#N/A,FALSE,"Fuel $";#N/A,#N/A,FALSE,"Fuel";#N/A,#N/A,FALSE,"M12 Storage";#N/A,#N/A,FALSE,"M12 Transport";#N/A,#N/A,FALSE,"M12 OR";#N/A,#N/A,FALSE,"C1 OR"}</definedName>
    <definedName name="wrn.Backup." localSheetId="12" hidden="1">{#N/A,#N/A,FALSE,"Margins";#N/A,#N/A,FALSE,"Fuel $";#N/A,#N/A,FALSE,"Fuel";#N/A,#N/A,FALSE,"M12 Storage";#N/A,#N/A,FALSE,"M12 Transport";#N/A,#N/A,FALSE,"M12 OR";#N/A,#N/A,FALSE,"C1 OR"}</definedName>
    <definedName name="wrn.Backup." localSheetId="13" hidden="1">{#N/A,#N/A,FALSE,"Margins";#N/A,#N/A,FALSE,"Fuel $";#N/A,#N/A,FALSE,"Fuel";#N/A,#N/A,FALSE,"M12 Storage";#N/A,#N/A,FALSE,"M12 Transport";#N/A,#N/A,FALSE,"M12 OR";#N/A,#N/A,FALSE,"C1 OR"}</definedName>
    <definedName name="wrn.Backup." localSheetId="14" hidden="1">{#N/A,#N/A,FALSE,"Margins";#N/A,#N/A,FALSE,"Fuel $";#N/A,#N/A,FALSE,"Fuel";#N/A,#N/A,FALSE,"M12 Storage";#N/A,#N/A,FALSE,"M12 Transport";#N/A,#N/A,FALSE,"M12 OR";#N/A,#N/A,FALSE,"C1 OR"}</definedName>
    <definedName name="wrn.Backup." localSheetId="15" hidden="1">{#N/A,#N/A,FALSE,"Margins";#N/A,#N/A,FALSE,"Fuel $";#N/A,#N/A,FALSE,"Fuel";#N/A,#N/A,FALSE,"M12 Storage";#N/A,#N/A,FALSE,"M12 Transport";#N/A,#N/A,FALSE,"M12 OR";#N/A,#N/A,FALSE,"C1 OR"}</definedName>
    <definedName name="wrn.Backup." localSheetId="16" hidden="1">{#N/A,#N/A,FALSE,"Margins";#N/A,#N/A,FALSE,"Fuel $";#N/A,#N/A,FALSE,"Fuel";#N/A,#N/A,FALSE,"M12 Storage";#N/A,#N/A,FALSE,"M12 Transport";#N/A,#N/A,FALSE,"M12 OR";#N/A,#N/A,FALSE,"C1 OR"}</definedName>
    <definedName name="wrn.Backup." localSheetId="17" hidden="1">{#N/A,#N/A,FALSE,"Margins";#N/A,#N/A,FALSE,"Fuel $";#N/A,#N/A,FALSE,"Fuel";#N/A,#N/A,FALSE,"M12 Storage";#N/A,#N/A,FALSE,"M12 Transport";#N/A,#N/A,FALSE,"M12 OR";#N/A,#N/A,FALSE,"C1 OR"}</definedName>
    <definedName name="wrn.Backup." localSheetId="18" hidden="1">{#N/A,#N/A,FALSE,"Margins";#N/A,#N/A,FALSE,"Fuel $";#N/A,#N/A,FALSE,"Fuel";#N/A,#N/A,FALSE,"M12 Storage";#N/A,#N/A,FALSE,"M12 Transport";#N/A,#N/A,FALSE,"M12 OR";#N/A,#N/A,FALSE,"C1 OR"}</definedName>
    <definedName name="wrn.Backup." localSheetId="19" hidden="1">{#N/A,#N/A,FALSE,"Margins";#N/A,#N/A,FALSE,"Fuel $";#N/A,#N/A,FALSE,"Fuel";#N/A,#N/A,FALSE,"M12 Storage";#N/A,#N/A,FALSE,"M12 Transport";#N/A,#N/A,FALSE,"M12 OR";#N/A,#N/A,FALSE,"C1 OR"}</definedName>
    <definedName name="wrn.Backup." hidden="1">{#N/A,#N/A,FALSE,"Margins";#N/A,#N/A,FALSE,"Fuel $";#N/A,#N/A,FALSE,"Fuel";#N/A,#N/A,FALSE,"M12 Storage";#N/A,#N/A,FALSE,"M12 Transport";#N/A,#N/A,FALSE,"M12 OR";#N/A,#N/A,FALSE,"C1 OR"}</definedName>
    <definedName name="wrn.Balance._.25._.Yr." hidden="1">{"NEB Rate Base 25 Yr",#N/A,FALSE,"NEB Rate Base-Deprec"}</definedName>
    <definedName name="wrn.Balance._.5._.Yr." hidden="1">{"Balance 5 Yr",#N/A,FALSE,"CDN P-L Balance"}</definedName>
    <definedName name="wrn.Balance._.Sheet." hidden="1">{"Balance Sheet",#N/A,FALSE,"Stmt of Financial Position"}</definedName>
    <definedName name="wrn.Balance._Sheet2." hidden="1">{"Balance Sheet",#N/A,FALSE,"Stmt of Financial Position"}</definedName>
    <definedName name="wrn.balsheet." hidden="1">{"balsheet",#N/A,FALSE,"A"}</definedName>
    <definedName name="wrn.balsheet.1" hidden="1">{"balsheet",#N/A,FALSE,"A"}</definedName>
    <definedName name="wrn.BidCo." hidden="1">{#N/A,#N/A,FALSE,"BidCo Assumptions";#N/A,#N/A,FALSE,"Credit Stats";#N/A,#N/A,FALSE,"Bidco Summary";#N/A,#N/A,FALSE,"BIDCO Consolidated"}</definedName>
    <definedName name="wrn.C3_T2_S3." hidden="1">{#N/A,#N/A,FALSE,"Sched 3-1-2_value";#N/A,#N/A,FALSE,"Sched 3-1-2_p2"}</definedName>
    <definedName name="wrn.C3_Tab2_Sch4_2pages." hidden="1">{#N/A,#N/A,FALSE,"C3_T2_S4_p1";#N/A,#N/A,FALSE,"C3_T2_S4_p2"}</definedName>
    <definedName name="wrn.C3T2S4." hidden="1">{#N/A,#N/A,TRUE,"Explanation";#N/A,#N/A,TRUE,"GS AvgUses_sector"}</definedName>
    <definedName name="wrn.Capital._.Dispositions." hidden="1">{"CHART2",#N/A,FALSE,"D2"}</definedName>
    <definedName name="wrn.Capital._.Gain." hidden="1">{"CHART1",#N/A,FALSE,"D2"}</definedName>
    <definedName name="wrn.Capital._.Structure._.Detail." hidden="1">{"cap detail",#N/A,FALSE,"Capital Structure Detail"}</definedName>
    <definedName name="wrn.Cash._.Flow._.statement." hidden="1">{#N/A,#N/A,TRUE,"Cash Flow Statement"}</definedName>
    <definedName name="wrn.Cash._.Flow._.Stmt." hidden="1">{"Cash Flow Stmt",#N/A,FALSE,"Stmt of Cash Flows"}</definedName>
    <definedName name="wrn.Cash._.for._.Distribution." hidden="1">{"Cash for Distribution",#N/A,FALSE,"Cash for Distribution"}</definedName>
    <definedName name="wrn.Cashflow._.5._.Yr." hidden="1">{"Cashflow 5 Yr",#N/A,FALSE,"CDN P-L Cashflow"}</definedName>
    <definedName name="wrn.compare." hidden="1">{"year1",#N/A,FALSE,"compare";"year10",#N/A,FALSE,"compare";"year2",#N/A,FALSE,"compare";"year3",#N/A,FALSE,"compare";"year4",#N/A,FALSE,"compare";"year5",#N/A,FALSE,"compare";"year6",#N/A,FALSE,"compare";"year7",#N/A,FALSE,"compare";"year8",#N/A,FALSE,"compare";"year9",#N/A,FALSE,"compare"}</definedName>
    <definedName name="wrn.compare._1" hidden="1">{"year1",#N/A,FALSE,"compare";"year10",#N/A,FALSE,"compare";"year2",#N/A,FALSE,"compare";"year3",#N/A,FALSE,"compare";"year4",#N/A,FALSE,"compare";"year5",#N/A,FALSE,"compare";"year6",#N/A,FALSE,"compare";"year7",#N/A,FALSE,"compare";"year8",#N/A,FALSE,"compare";"year9",#N/A,FALSE,"compare"}</definedName>
    <definedName name="wrn.compare5yrs." hidden="1">{"year1",#N/A,FALSE,"compare";"year2",#N/A,FALSE,"compare";"year3",#N/A,FALSE,"compare";"year4",#N/A,FALSE,"compare";"year5",#N/A,FALSE,"compare"}</definedName>
    <definedName name="wrn.compare5yrs._1" hidden="1">{"year1",#N/A,FALSE,"compare";"year2",#N/A,FALSE,"compare";"year3",#N/A,FALSE,"compare";"year4",#N/A,FALSE,"compare";"year5",#N/A,FALSE,"compare"}</definedName>
    <definedName name="wrn.Complete._.Balance._.Sheet." hidden="1">{"Complete Balance Sheet",#N/A,FALSE,"CDN P-L Balance"}</definedName>
    <definedName name="wrn.Complete._.Cashflow._.Sheet." hidden="1">{"Complete Cashflow",#N/A,FALSE,"CDN P-L Cashflow"}</definedName>
    <definedName name="wrn.Complete._.COS._.Sheet." hidden="1">{"Complete COS Sheet",#N/A,FALSE,"CDN P-L COS"}</definedName>
    <definedName name="wrn.Complete._.Income._.Sheet." hidden="1">{"Complete Income Sheet",#N/A,FALSE,"CDN P-L Income"}</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Tax._.Sheet." hidden="1">{"Complete Tax Sheet",#N/A,FALSE,"CDN P-L Tax"}</definedName>
    <definedName name="wrn.COS._.25._.Yr." hidden="1">{"COS 25 Yr",#N/A,FALSE,"CDN P-L COS"}</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osts._1" hidden="1">{"consolidated_costs",#N/A,FALSE,"Cost_Data_Table";"regulatory_adjustments",#N/A,FALSE,"Cost_Data_Table";"adjustment_explanations",#N/A,FALSE,"Cost_Data_Table";"utility_costs",#N/A,FALSE,"Cost_Data_Table";"utility_costs_inflated",#N/A,FALSE,"Cost_Data_Table"}</definedName>
    <definedName name="wrn.custadds_volumes." hidden="1">{"datatable",#N/A,FALSE,"Cust.Adds_Volumes"}</definedName>
    <definedName name="wrn.custadds_volumes._1" hidden="1">{"datatable",#N/A,FALSE,"Cust.Adds_Volumes"}</definedName>
    <definedName name="wrn.DCF._.Valuation." hidden="1">{"value box",#N/A,TRUE,"DPL Inc. Fin Statements";"unlevered free cash flows",#N/A,TRUE,"DPL Inc. Fin Statements"}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epreciation._.Expense._1"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ffective._.Capital._.Expenditures._1"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xhibits." hidden="1">{"Summary Detail",#N/A,TRUE,"Summary";"Summary Notes",#N/A,TRUE,"Summary Notes";"DCF Var Exhibit",#N/A,TRUE,"DCF Variables";"EPC DCF",#N/A,TRUE,"EPC";"Plant Summary",#N/A,TRUE,"Plant";"Storage Summary",#N/A,TRUE,"Storage";"Pipe Summary",#N/A,TRUE,"Pipe";"Truck",#N/A,TRUE,"Truck";"Mktg",#N/A,TRUE,"Mktg";"Other Summary",#N/A,TRUE,"Other";"TGPP DCF",#N/A,TRUE,"TGPP";"Frac DCF",#N/A,TRUE,"Frac";"BRfrac DCF",#N/A,TRUE,"BRfrac";"TSpipe DCF",#N/A,TRUE,"TSPipe";"WPPipe DCF",#N/A,TRUE,"WPPipe";"Chill2 DCF",#N/A,TRUE,"Chill Add. EPC";"EntPro DCF",#N/A,TRUE,"EntPro";"DIBs DCF",#N/A,TRUE,"DIBs";"BEF DCF",#N/A,TRUE,"BEF";"BFP DCF",#N/A,TRUE,"BFP";"Chill DCF",#N/A,TRUE,"Chill"}</definedName>
    <definedName name="wrn.F812." hidden="1">{"F8P2",#N/A,TRUE,"F8";"F8P1",#N/A,TRUE,"F8";"F8P3",#N/A,TRUE,"F8"}</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INAL96." hidden="1">{"REVENUE96",#N/A,FALSE,"AVG_T1-4";"THRUPUT96",#N/A,FALSE,"AVG_T1-4"}</definedName>
    <definedName name="wrn.Financials." hidden="1">{#N/A,#N/A,TRUE,"Income Statement";#N/A,#N/A,TRUE,"Balance Sheet";#N/A,#N/A,TRUE,"Cash Flow"}</definedName>
    <definedName name="wrn.First._.Report." hidden="1">{"Test1",#N/A,FALSE,"Test 1"}</definedName>
    <definedName name="wrn.Full._.Report." hidden="1">{"Assumptions",#N/A,TRUE,"Assumptions";"Book Values",#N/A,TRUE,"Book Values";"Summary Summary",#N/A,TRUE,"Summary";"Summary Detail",#N/A,TRUE,"Summary";"Summary Notes",#N/A,TRUE,"Summary Notes";"SH List 1",#N/A,TRUE,"SH List";"DCF Variables",#N/A,TRUE,"DCF Variables";"EntPro DCF",#N/A,TRUE,"EntPro";"EntPro Deprec",#N/A,TRUE,"EntPro";"Chill DCF",#N/A,TRUE,"Chill";"Chill Deprec",#N/A,TRUE,"Chill";"Chill2 DCF",#N/A,TRUE,"Chill Add. EPC";"Chill2 Deprec",#N/A,TRUE,"Chill Add. EPC";"DIBs DCF",#N/A,TRUE,"DIBs";"DIBs Deprec",#N/A,TRUE,"DIBs";"BEF DCF",#N/A,TRUE,"BEF";"BEF Deprec",#N/A,TRUE,"BEF";"BFP DCF",#N/A,TRUE,"BFP";"BFP Deprec",#N/A,TRUE,"BFP";"BRfrac DCF",#N/A,TRUE,"BRfrac";"BRfrac Deprec",#N/A,TRUE,"BRfrac";"TSPipe DCF",#N/A,TRUE,"TSPipe";"TSPipe Deprec",#N/A,TRUE,"TSPipe";"WPPipe DCF",#N/A,TRUE,"WPPipe";"WPPipe Deprec",#N/A,TRUE,"WPPipe";"Frac DCF",#N/A,TRUE,"Frac";"Frac Deprec",#N/A,TRUE,"Frac";"TGPP DCF",#N/A,TRUE,"TGPP";"TGPP Deprec",#N/A,TRUE,"TGPP";"EPC DCF",#N/A,TRUE,"EPC";"EPC Deprec",#N/A,TRUE,"EPC";"Plant Summary",#N/A,TRUE,"Plant";"Plant Detail",#N/A,TRUE,"Plant";"Storage Summary",#N/A,TRUE,"Storage";"Storage Detail",#N/A,TRUE,"Storage";"Pipe Summary",#N/A,TRUE,"Pipe";"Pipe Detail",#N/A,TRUE,"Pipe";"Truck",#N/A,TRUE,"Truck";"Mktg",#N/A,TRUE,"Mktg";"Other Summary",#N/A,TRUE,"Other";"Other Detail",#N/A,TRUE,"Other";"five-year",#N/A,TRUE,"5-Yr"}</definedName>
    <definedName name="wrn.GAS._.COST._.EXHIBITS." localSheetId="8" hidden="1">{"Exh 4 - P1 Gas Supply",#N/A,FALSE,"T4 S4.1-2";"Exh 4 - P2 Load Balancing",#N/A,FALSE,"T4 S4.1-2"}</definedName>
    <definedName name="wrn.GAS._.COST._.EXHIBITS." hidden="1">{"Exh 4 - P1 Gas Supply",#N/A,FALSE,"T4 S4.1-2";"Exh 4 - P2 Load Balancing",#N/A,FALSE,"T4 S4.1-2"}</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Gross._.PPE._1"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3T1S1." localSheetId="2" hidden="1">{#N/A,#N/A,FALSE,"H3 Tab 1"}</definedName>
    <definedName name="wrn.h3T1S1." localSheetId="8" hidden="1">{#N/A,#N/A,FALSE,"H3 Tab 1"}</definedName>
    <definedName name="wrn.h3T1S1." localSheetId="10" hidden="1">{#N/A,#N/A,FALSE,"H3 Tab 1"}</definedName>
    <definedName name="wrn.h3T1S1." localSheetId="9" hidden="1">{#N/A,#N/A,FALSE,"H3 Tab 1"}</definedName>
    <definedName name="wrn.h3T1S1." localSheetId="11" hidden="1">{#N/A,#N/A,FALSE,"H3 Tab 1"}</definedName>
    <definedName name="wrn.h3T1S1." localSheetId="12" hidden="1">{#N/A,#N/A,FALSE,"H3 Tab 1"}</definedName>
    <definedName name="wrn.h3T1S1." localSheetId="13" hidden="1">{#N/A,#N/A,FALSE,"H3 Tab 1"}</definedName>
    <definedName name="wrn.h3T1S1." localSheetId="14" hidden="1">{#N/A,#N/A,FALSE,"H3 Tab 1"}</definedName>
    <definedName name="wrn.h3T1S1." localSheetId="15" hidden="1">{#N/A,#N/A,FALSE,"H3 Tab 1"}</definedName>
    <definedName name="wrn.h3T1S1." localSheetId="16" hidden="1">{#N/A,#N/A,FALSE,"H3 Tab 1"}</definedName>
    <definedName name="wrn.h3T1S1." localSheetId="17" hidden="1">{#N/A,#N/A,FALSE,"H3 Tab 1"}</definedName>
    <definedName name="wrn.h3T1S1." localSheetId="18" hidden="1">{#N/A,#N/A,FALSE,"H3 Tab 1"}</definedName>
    <definedName name="wrn.h3T1S1." localSheetId="19" hidden="1">{#N/A,#N/A,FALSE,"H3 Tab 1"}</definedName>
    <definedName name="wrn.h3T1S1." hidden="1">{#N/A,#N/A,FALSE,"H3 Tab 1"}</definedName>
    <definedName name="wrn.H3T1S2." localSheetId="2" hidden="1">{#N/A,#N/A,FALSE,"H3 Tab 1"}</definedName>
    <definedName name="wrn.H3T1S2." localSheetId="8" hidden="1">{#N/A,#N/A,FALSE,"H3 Tab 1"}</definedName>
    <definedName name="wrn.H3T1S2." localSheetId="10" hidden="1">{#N/A,#N/A,FALSE,"H3 Tab 1"}</definedName>
    <definedName name="wrn.H3T1S2." localSheetId="9" hidden="1">{#N/A,#N/A,FALSE,"H3 Tab 1"}</definedName>
    <definedName name="wrn.H3T1S2." localSheetId="11" hidden="1">{#N/A,#N/A,FALSE,"H3 Tab 1"}</definedName>
    <definedName name="wrn.H3T1S2." localSheetId="12" hidden="1">{#N/A,#N/A,FALSE,"H3 Tab 1"}</definedName>
    <definedName name="wrn.H3T1S2." localSheetId="13" hidden="1">{#N/A,#N/A,FALSE,"H3 Tab 1"}</definedName>
    <definedName name="wrn.H3T1S2." localSheetId="14" hidden="1">{#N/A,#N/A,FALSE,"H3 Tab 1"}</definedName>
    <definedName name="wrn.H3T1S2." localSheetId="15" hidden="1">{#N/A,#N/A,FALSE,"H3 Tab 1"}</definedName>
    <definedName name="wrn.H3T1S2." localSheetId="16" hidden="1">{#N/A,#N/A,FALSE,"H3 Tab 1"}</definedName>
    <definedName name="wrn.H3T1S2." localSheetId="17" hidden="1">{#N/A,#N/A,FALSE,"H3 Tab 1"}</definedName>
    <definedName name="wrn.H3T1S2." localSheetId="18" hidden="1">{#N/A,#N/A,FALSE,"H3 Tab 1"}</definedName>
    <definedName name="wrn.H3T1S2." localSheetId="19" hidden="1">{#N/A,#N/A,FALSE,"H3 Tab 1"}</definedName>
    <definedName name="wrn.H3T1S2." hidden="1">{#N/A,#N/A,FALSE,"H3 Tab 1"}</definedName>
    <definedName name="wrn.H3T2S3." localSheetId="2" hidden="1">{#N/A,#N/A,FALSE,"H3 Tab 2";#N/A,#N/A,FALSE,"H3 Tab 2"}</definedName>
    <definedName name="wrn.H3T2S3." localSheetId="8" hidden="1">{#N/A,#N/A,FALSE,"H3 Tab 2";#N/A,#N/A,FALSE,"H3 Tab 2"}</definedName>
    <definedName name="wrn.H3T2S3." localSheetId="10" hidden="1">{#N/A,#N/A,FALSE,"H3 Tab 2";#N/A,#N/A,FALSE,"H3 Tab 2"}</definedName>
    <definedName name="wrn.H3T2S3." localSheetId="9" hidden="1">{#N/A,#N/A,FALSE,"H3 Tab 2";#N/A,#N/A,FALSE,"H3 Tab 2"}</definedName>
    <definedName name="wrn.H3T2S3." localSheetId="11" hidden="1">{#N/A,#N/A,FALSE,"H3 Tab 2";#N/A,#N/A,FALSE,"H3 Tab 2"}</definedName>
    <definedName name="wrn.H3T2S3." localSheetId="12" hidden="1">{#N/A,#N/A,FALSE,"H3 Tab 2";#N/A,#N/A,FALSE,"H3 Tab 2"}</definedName>
    <definedName name="wrn.H3T2S3." localSheetId="13" hidden="1">{#N/A,#N/A,FALSE,"H3 Tab 2";#N/A,#N/A,FALSE,"H3 Tab 2"}</definedName>
    <definedName name="wrn.H3T2S3." localSheetId="14" hidden="1">{#N/A,#N/A,FALSE,"H3 Tab 2";#N/A,#N/A,FALSE,"H3 Tab 2"}</definedName>
    <definedName name="wrn.H3T2S3." localSheetId="15" hidden="1">{#N/A,#N/A,FALSE,"H3 Tab 2";#N/A,#N/A,FALSE,"H3 Tab 2"}</definedName>
    <definedName name="wrn.H3T2S3." localSheetId="16" hidden="1">{#N/A,#N/A,FALSE,"H3 Tab 2";#N/A,#N/A,FALSE,"H3 Tab 2"}</definedName>
    <definedName name="wrn.H3T2S3." localSheetId="17" hidden="1">{#N/A,#N/A,FALSE,"H3 Tab 2";#N/A,#N/A,FALSE,"H3 Tab 2"}</definedName>
    <definedName name="wrn.H3T2S3." localSheetId="18" hidden="1">{#N/A,#N/A,FALSE,"H3 Tab 2";#N/A,#N/A,FALSE,"H3 Tab 2"}</definedName>
    <definedName name="wrn.H3T2S3." localSheetId="19" hidden="1">{#N/A,#N/A,FALSE,"H3 Tab 2";#N/A,#N/A,FALSE,"H3 Tab 2"}</definedName>
    <definedName name="wrn.H3T2S3." hidden="1">{#N/A,#N/A,FALSE,"H3 Tab 2";#N/A,#N/A,FALSE,"H3 Tab 2"}</definedName>
    <definedName name="wrn.Highlights." hidden="1">{"highlights",#N/A,FALSE,"Highlights"}</definedName>
    <definedName name="wrn.income." hidden="1">{"income",#N/A,FALSE,"income_statement"}</definedName>
    <definedName name="wrn.Income._.5._.Yr." hidden="1">{"Income 5 Yr",#N/A,FALSE,"CDN P-L Income"}</definedName>
    <definedName name="wrn.Income._.Statement." hidden="1">{"Income Statement",#N/A,FALSE,"Stmt of Earnings"}</definedName>
    <definedName name="wrn.income._1" hidden="1">{"income",#N/A,FALSE,"income_statement"}</definedName>
    <definedName name="wrn.input." hidden="1">{#N/A,#N/A,FALSE,"A"}</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Items._1"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s." hidden="1">{"[Cost of Service] COS Inputs Sch 1",#N/A,FALSE,"Cost of Service Model"}</definedName>
    <definedName name="wrn.Inputs._.and._.Results." hidden="1">{"Input Data",#N/A,FALSE,"Input &amp; Results";"Results",#N/A,FALSE,"Input &amp; Results"}</definedName>
    <definedName name="wrn.INTEGRATED" hidden="1">{#N/A,#N/A,FALSE,"Sheet1"}</definedName>
    <definedName name="wrn.INTEGRATEDS." hidden="1">{#N/A,#N/A,FALSE,"Sheet1"}</definedName>
    <definedName name="wrn.INTERMEDIATES." hidden="1">{#N/A,#N/A,FALSE,"Sheet1"}</definedName>
    <definedName name="wrn.juniors" hidden="1">{#N/A,#N/A,FALSE,"Sheet1"}</definedName>
    <definedName name="wrn.JUNIORS." hidden="1">{#N/A,#N/A,FALSE,"Sheet1"}</definedName>
    <definedName name="wrn.JVREPORT." hidden="1">{#N/A,#N/A,FALSE,"202";#N/A,#N/A,FALSE,"203";#N/A,#N/A,FALSE,"204";#N/A,#N/A,FALSE,"205";#N/A,#N/A,FALSE,"205A"}</definedName>
    <definedName name="wrn.monthend._.graph." hidden="1">{#N/A,#N/A,TRUE,"CH-YTD vs Regbud_OntU";#N/A,#N/A,TRUE,"CH-YTD vs RegBud_N_OntU";#N/A,#N/A,TRUE,"CH-YTD vs RegBud_NC_summary";#N/A,#N/A,TRUE,"CH-YTD vs RegBud_EXcust_Summary";#N/A,#N/A,TRUE,"CH-YTD vs RegBud_LockCust";#N/A,#N/A,TRUE,"CH-YTD vs Regbud_GS&amp;LV";#N/A,#N/A,TRUE,"Summary";#N/A,#N/A,TRUE,"CH-YTD vs RegBud_NC_sector";#N/A,#N/A,TRUE,"CH-Lockcust_sector";#N/A,#N/A,TRUE,"CH-YTD vs RegBud_GSexist";#N/A,#N/A,TRUE,"CH-YTD vs RegBud_LVexist"}</definedName>
    <definedName name="wrn.NEB._.Capital._.25._.Yr." hidden="1">{"NEB Capital 25 Yr",#N/A,FALSE,"NEB Rate Base-Deprec"}</definedName>
    <definedName name="wrn.NEB._.Deprec._.25._.Yr." hidden="1">{"NEB Deprec 25 Yr",#N/A,FALSE,"NEB Rate Base-Deprec"}</definedName>
    <definedName name="wrn.NEB._.Rate._.Base._.25._.Yr." hidden="1">{"NEB Rate Base 25 Yr",#N/A,FALSE,"NEB Rate Base-Deprec"}</definedName>
    <definedName name="wrn.NEB._.Revenue._.25._.Yr." hidden="1">{"NEB Revenue 25 Yr",#N/A,FALSE,"NEB Revenue-Toll"}</definedName>
    <definedName name="wrn.NEB._.Tax._.25._.Yr." hidden="1">{#N/A,#N/A,FALSE,"NEB Taxes"}</definedName>
    <definedName name="wrn.NEB._.Toll._.25._.Yr." hidden="1">{"NEB Toll 25 Yr",#N/A,FALSE,"NEB Revenue-Toll"}</definedName>
    <definedName name="wrn.nom." hidden="1">{#N/A,#N/A,FALSE,"Sheet1"}</definedName>
    <definedName name="wrn.NON." hidden="1">{#N/A,#N/A,FALSE,"Sheet1"}</definedName>
    <definedName name="wrn.OMreport." hidden="1">{"OM_data",#N/A,FALSE,"O&amp;M Data Table";"OM_regulatory_adjustments",#N/A,FALSE,"O&amp;M Data Table";"OM_select_data",#N/A,FALSE,"O&amp;M Data Table"}</definedName>
    <definedName name="wrn.OMreport._1" hidden="1">{"OM_data",#N/A,FALSE,"O&amp;M Data Table";"OM_regulatory_adjustments",#N/A,FALSE,"O&amp;M Data Table";"OM_select_data",#N/A,FALSE,"O&amp;M Data Table"}</definedName>
    <definedName name="wrn.PCC." hidden="1">{"INPUTS",#N/A,TRUE,"PCC";"RESULTS1",#N/A,TRUE,"PCC";"RESULTS2",#N/A,TRUE,"PCC"}</definedName>
    <definedName name="wrn.PCC._1" hidden="1">{"INPUTS",#N/A,TRUE,"PCC";"RESULTS1",#N/A,TRUE,"PCC";"RESULTS2",#N/A,TRUE,"PCC"}</definedName>
    <definedName name="wrn.Print._.All." localSheetId="2"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8"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0"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9"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1"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2"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3"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4"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5"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6"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7"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8"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9"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Chart." hidden="1">{#N/A,#N/A,TRUE,"CH-M of vs BusBud_3";#N/A,#N/A,TRUE,"CH-M of vs BusBud_4";#N/A,#N/A,TRUE,"CH-M of vs BusBud_5"}</definedName>
    <definedName name="wrn.PrintAll." hidden="1">{"PA1",#N/A,TRUE,"BORDMW";"pa2",#N/A,TRUE,"BORDMW";"PA3",#N/A,TRUE,"BORDMW";"PA4",#N/A,TRUE,"BORDMW"}</definedName>
    <definedName name="wrn.PrintG4T5S24." hidden="1">{"Page 1",#N/A,TRUE,"Direct Assignment";"Page 2",#N/A,TRUE,"Storage Allocators";"Page 4",#N/A,TRUE,"Dawn Transmission";"Page 5",#N/A,TRUE,"""Other"" Transmission"}</definedName>
    <definedName name="wrn.projects." hidden="1">{"page1.calcs",#N/A,FALSE,"projects";"page2.summary",#N/A,FALSE,"projects"}</definedName>
    <definedName name="wrn.Rate._.Base." hidden="1">{"Rate Base",#N/A,FALSE,"Sheet1"}</definedName>
    <definedName name="wrn.Report._.1." hidden="1">{#N/A,#N/A,TRUE,"Cover";#N/A,#N/A,TRUE,"Contents";"Statements",#N/A,TRUE,"Income Statement";"Statements",#N/A,TRUE,"Cash Flow Statement";"Statements",#N/A,TRUE,"Balance Sheet ";#N/A,#N/A,TRUE,"Revenue Data Table";#N/A,#N/A,TRUE,"Costs &amp; Expenses Data Table";#N/A,#N/A,TRUE,"Cash Flow Data Table ";#N/A,#N/A,TRUE,"Shor-term Interest Expense";#N/A,#N/A,TRUE,"Income Taxes";#N/A,#N/A,TRUE,"New Issue Test";#N/A,#N/A,TRUE,"Ratios"}</definedName>
    <definedName name="wrn.Rept." hidden="1">{"inputs",#N/A,FALSE,"Inputs";"adjs",#N/A,FALSE,"Adjustments";"Capital",#N/A,FALSE,"Capital";"Rate Base",#N/A,FALSE,"Rate Base";"Income",#N/A,FALSE,"Income";"IncTax",#N/A,FALSE,"IncomeTax";"RevReq",#N/A,FALSE,"Revenue Requirement"}</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1" hidden="1">{"Consolidated_revenue",#N/A,FALSE,"Revenue_Data_Table";"regulatory_adjustments",#N/A,FALSE,"Revenue_Data_Table";"adjustment_explanation",#N/A,FALSE,"Revenue_Data_Table";"utility_revenue",#N/A,FALSE,"Revenue_Data_Table";"utility_revenue_inflated",#N/A,FALSE,"Revenue_Data_Table"}</definedName>
    <definedName name="wrn.RevProof." localSheetId="2" hidden="1">{#N/A,#N/A,FALSE,"RevProof"}</definedName>
    <definedName name="wrn.RevProof." localSheetId="8" hidden="1">{#N/A,#N/A,FALSE,"RevProof"}</definedName>
    <definedName name="wrn.RevProof." localSheetId="10" hidden="1">{#N/A,#N/A,FALSE,"RevProof"}</definedName>
    <definedName name="wrn.RevProof." localSheetId="9" hidden="1">{#N/A,#N/A,FALSE,"RevProof"}</definedName>
    <definedName name="wrn.RevProof." localSheetId="11" hidden="1">{#N/A,#N/A,FALSE,"RevProof"}</definedName>
    <definedName name="wrn.RevProof." localSheetId="12" hidden="1">{#N/A,#N/A,FALSE,"RevProof"}</definedName>
    <definedName name="wrn.RevProof." localSheetId="13" hidden="1">{#N/A,#N/A,FALSE,"RevProof"}</definedName>
    <definedName name="wrn.RevProof." localSheetId="14" hidden="1">{#N/A,#N/A,FALSE,"RevProof"}</definedName>
    <definedName name="wrn.RevProof." localSheetId="15" hidden="1">{#N/A,#N/A,FALSE,"RevProof"}</definedName>
    <definedName name="wrn.RevProof." localSheetId="16" hidden="1">{#N/A,#N/A,FALSE,"RevProof"}</definedName>
    <definedName name="wrn.RevProof." localSheetId="17" hidden="1">{#N/A,#N/A,FALSE,"RevProof"}</definedName>
    <definedName name="wrn.RevProof." localSheetId="18" hidden="1">{#N/A,#N/A,FALSE,"RevProof"}</definedName>
    <definedName name="wrn.RevProof." localSheetId="19" hidden="1">{#N/A,#N/A,FALSE,"RevProof"}</definedName>
    <definedName name="wrn.RevProof." hidden="1">{#N/A,#N/A,FALSE,"RevProof"}</definedName>
    <definedName name="wrn.S.T._.Int.._.Expense._.Calculation." hidden="1">{#N/A,#N/A,TRUE,"Shor-term Interest Expense"}</definedName>
    <definedName name="wrn.sales." hidden="1">{"sales",#N/A,FALSE,"Sales";"sales existing",#N/A,FALSE,"Sales";"sales rd1",#N/A,FALSE,"Sales";"sales rd2",#N/A,FALSE,"Sales"}</definedName>
    <definedName name="wrn.Schedules." localSheetId="2" hidden="1">{#N/A,#N/A,FALSE,"Filed Sheet";#N/A,#N/A,FALSE,"Schedule C";#N/A,#N/A,FALSE,"Appendix A"}</definedName>
    <definedName name="wrn.Schedules." localSheetId="8" hidden="1">{#N/A,#N/A,FALSE,"Filed Sheet";#N/A,#N/A,FALSE,"Schedule C";#N/A,#N/A,FALSE,"Appendix A"}</definedName>
    <definedName name="wrn.Schedules." localSheetId="10" hidden="1">{#N/A,#N/A,FALSE,"Filed Sheet";#N/A,#N/A,FALSE,"Schedule C";#N/A,#N/A,FALSE,"Appendix A"}</definedName>
    <definedName name="wrn.Schedules." localSheetId="9" hidden="1">{#N/A,#N/A,FALSE,"Filed Sheet";#N/A,#N/A,FALSE,"Schedule C";#N/A,#N/A,FALSE,"Appendix A"}</definedName>
    <definedName name="wrn.Schedules." localSheetId="11" hidden="1">{#N/A,#N/A,FALSE,"Filed Sheet";#N/A,#N/A,FALSE,"Schedule C";#N/A,#N/A,FALSE,"Appendix A"}</definedName>
    <definedName name="wrn.Schedules." localSheetId="12" hidden="1">{#N/A,#N/A,FALSE,"Filed Sheet";#N/A,#N/A,FALSE,"Schedule C";#N/A,#N/A,FALSE,"Appendix A"}</definedName>
    <definedName name="wrn.Schedules." localSheetId="13" hidden="1">{#N/A,#N/A,FALSE,"Filed Sheet";#N/A,#N/A,FALSE,"Schedule C";#N/A,#N/A,FALSE,"Appendix A"}</definedName>
    <definedName name="wrn.Schedules." localSheetId="14" hidden="1">{#N/A,#N/A,FALSE,"Filed Sheet";#N/A,#N/A,FALSE,"Schedule C";#N/A,#N/A,FALSE,"Appendix A"}</definedName>
    <definedName name="wrn.Schedules." localSheetId="15" hidden="1">{#N/A,#N/A,FALSE,"Filed Sheet";#N/A,#N/A,FALSE,"Schedule C";#N/A,#N/A,FALSE,"Appendix A"}</definedName>
    <definedName name="wrn.Schedules." localSheetId="16" hidden="1">{#N/A,#N/A,FALSE,"Filed Sheet";#N/A,#N/A,FALSE,"Schedule C";#N/A,#N/A,FALSE,"Appendix A"}</definedName>
    <definedName name="wrn.Schedules." localSheetId="17" hidden="1">{#N/A,#N/A,FALSE,"Filed Sheet";#N/A,#N/A,FALSE,"Schedule C";#N/A,#N/A,FALSE,"Appendix A"}</definedName>
    <definedName name="wrn.Schedules." localSheetId="18" hidden="1">{#N/A,#N/A,FALSE,"Filed Sheet";#N/A,#N/A,FALSE,"Schedule C";#N/A,#N/A,FALSE,"Appendix A"}</definedName>
    <definedName name="wrn.Schedules." localSheetId="19" hidden="1">{#N/A,#N/A,FALSE,"Filed Sheet";#N/A,#N/A,FALSE,"Schedule C";#N/A,#N/A,FALSE,"Appendix A"}</definedName>
    <definedName name="wrn.Schedules." hidden="1">{#N/A,#N/A,FALSE,"Filed Sheet";#N/A,#N/A,FALSE,"Schedule C";#N/A,#N/A,FALSE,"Appendix A"}</definedName>
    <definedName name="wrn.SENIORS." hidden="1">{#N/A,#N/A,FALSE,"Sheet1"}</definedName>
    <definedName name="wrn.Statements." hidden="1">{"Statements",#N/A,TRUE,"Income Statement";"Statements",#N/A,TRUE,"Cash Flow Statement";"Statements",#N/A,TRUE,"Balance Sheet ";#N/A,#N/A,TRUE,"Revenue Data Table";#N/A,#N/A,TRUE,"Costs &amp; Expenses Data Table";#N/A,#N/A,TRUE,"Cash Flow Data Table ";#N/A,#N/A,TRUE,"Shor-term Interest Expense"}</definedName>
    <definedName name="wrn.summary." hidden="1">{"Redefn",#N/A,FALSE,"99REDEFN";"ReBase",#N/A,FALSE,"99REBAS";"RbExpl",#N/A,FALSE,"RBExp";"WrkCsh",#N/A,FALSE,"WrkngCash";"Income",#N/A,FALSE,"99REVINC";"incexpln",#N/A,FALSE,"IncomeExpl";"Costexpln",#N/A,FALSE,"CostExpl";"tax.print",#N/A,FALSE,"99REINTX";"CapStruct",#N/A,FALSE,"CAPSTR";"RevReq",#N/A,FALSE,"Rev Req";"causes",#N/A,FALSE,"Causes"}</definedName>
    <definedName name="wrn.Summary._.2." hidden="1">{#N/A,#N/A,TRUE,"Model"}</definedName>
    <definedName name="wrn.SUMMARY._1" hidden="1">{#N/A,#N/A,FALSE,"Data Entry";"CUST_ADD",#N/A,FALSE,"Calculations";"Calculations",#N/A,FALSE,"Calculations";#N/A,#N/A,FALSE,"NPV";"INPUTS",#N/A,FALSE,"PCC";"RESULTS1",#N/A,FALSE,"PCC";"RESULTS2",#N/A,FALSE,"PCC";#N/A,#N/A,FALSE,"Stage1"}</definedName>
    <definedName name="wrn.Tax._.Sheet._.5._.Yr." hidden="1">{"Tax Calc 5 Yr",#N/A,FALSE,"CDN P-L Tax"}</definedName>
    <definedName name="wrn.Tax._.Variance._.Reconciliation." hidden="1">{"taxrecp1",#N/A,FALSE,"T2S(1) Rec";"taxrecp2",#N/A,FALSE,"T2S(1) Rec";"taxrecp3",#N/A,FALSE,"T2S(1) Rec"}</definedName>
    <definedName name="wrn.THRUPUT95." hidden="1">{"REV95",#N/A,FALSE,"AVG_T1-4";"THRU95",#N/A,FALSE,"AVG_T1-4"}</definedName>
    <definedName name="wrn.THUPUT96." hidden="1">{"REV96",#N/A,FALSE,"AVG_T1-4";"THRU96",#N/A,FALSE,"AVG_T1-4"}</definedName>
    <definedName name="wrn.usreporting." hidden="1">{#N/A,#N/A,FALSE,"DIT Summary";#N/A,#N/A,FALSE,"WCL Tax Provision";#N/A,#N/A,FALSE,"SCL Tax Provision";#N/A,#N/A,FALSE,"Tax Payable"}</definedName>
    <definedName name="wrn.usreporting.1" hidden="1">{#N/A,#N/A,FALSE,"DIT Summary";#N/A,#N/A,FALSE,"WCL Tax Provision";#N/A,#N/A,FALSE,"SCL Tax Provision";#N/A,#N/A,FALSE,"Tax Payable"}</definedName>
    <definedName name="wrn.Wacc." hidden="1">{"Area1",#N/A,FALSE,"OREWACC";"Area2",#N/A,FALSE,"OREWACC"}</definedName>
    <definedName name="wrn.XX." hidden="1">{#N/A,#N/A,FALSE,"337"}</definedName>
    <definedName name="wuil" hidden="1">{"income",#N/A,FALSE,"income_statement"}</definedName>
    <definedName name="wvu.Schedule._.1._.P._.1." localSheetId="7" hidden="1">{TRUE,TRUE,-1.25,-15.5,456.75,255.75,FALSE,TRUE,TRUE,TRUE,0,1,#N/A,1,#N/A,9.44776119402985,25.1666666666667,1,FALSE,FALSE,3,TRUE,1,FALSE,75,"Swvu.Schedule._.1._.P._.1.","ACwvu.Schedule._.1._.P._.1.",#N/A,FALSE,FALSE,0.75,0,0.4,0,1,"","",TRUE,FALSE,FALSE,FALSE,1,78,#N/A,#N/A,"=R1C1:R69C11",FALSE,#N/A,#N/A,TRUE,FALSE,TRUE,1,65532,65532,FALSE,FALSE,TRUE,TRUE,TRUE}</definedName>
    <definedName name="wvu.Schedule._.1._.P._.2." localSheetId="7" hidden="1">{TRUE,TRUE,-1.25,-15.5,456.75,255.75,FALSE,TRUE,TRUE,TRUE,0,16,#N/A,73,#N/A,9.44776119402985,25.75,1,FALSE,FALSE,3,TRUE,1,FALSE,75,"Swvu.Schedule._.1._.P._.2.","ACwvu.Schedule._.1._.P._.2.",#N/A,FALSE,FALSE,0.75,0,0.4,0,1,"","",TRUE,FALSE,FALSE,FALSE,1,78,#N/A,#N/A,"=R73C16:R149C26",FALSE,#N/A,#N/A,TRUE,FALSE,TRUE,1,65532,65532,FALSE,FALSE,TRUE,TRUE,TRUE}</definedName>
    <definedName name="wvu.Schedule._.1._.P._.3." localSheetId="7" hidden="1">{TRUE,TRUE,-1.25,-15.5,456.75,255.75,FALSE,TRUE,TRUE,TRUE,0,16,#N/A,155,#N/A,9.44776119402985,25.5,1,FALSE,FALSE,3,TRUE,1,FALSE,75,"Swvu.Schedule._.1._.P._.3.","ACwvu.Schedule._.1._.P._.3.",#N/A,FALSE,FALSE,0.75,0,0.4,0,1,"","",TRUE,FALSE,FALSE,FALSE,1,78,#N/A,#N/A,"=R155C16:R225C26",FALSE,#N/A,#N/A,TRUE,FALSE,TRUE,1,65532,65532,FALSE,FALSE,TRUE,TRUE,TRUE}</definedName>
    <definedName name="wvu.Schedule._.1._.P._.4." localSheetId="7" hidden="1">{TRUE,TRUE,-1.25,-15.5,456.75,255.75,FALSE,TRUE,TRUE,TRUE,0,16,#N/A,231,#N/A,9.44776119402985,25.5,1,FALSE,FALSE,3,TRUE,1,FALSE,75,"Swvu.Schedule._.1._.P._.4.","ACwvu.Schedule._.1._.P._.4.",#N/A,FALSE,FALSE,0.75,0,0.4,0,1,"","",TRUE,FALSE,FALSE,FALSE,1,78,#N/A,#N/A,"=R231C16:R303C26",FALSE,#N/A,#N/A,TRUE,FALSE,TRUE,1,65532,65532,FALSE,FALSE,TRUE,TRUE,TRUE}</definedName>
    <definedName name="wvu.Schedule._.1._.P._.5." localSheetId="7" hidden="1">{TRUE,TRUE,-1.25,-15.5,456.75,255.75,FALSE,TRUE,TRUE,TRUE,0,16,#N/A,310,#N/A,9.44776119402985,25.3333333333333,1,FALSE,FALSE,3,TRUE,1,FALSE,75,"Swvu.Schedule._.1._.P._.5.","ACwvu.Schedule._.1._.P._.5.",#N/A,FALSE,FALSE,0.75,0,0.4,0,1,"","",TRUE,FALSE,FALSE,FALSE,1,78,#N/A,#N/A,"=R310C16:R358C26",FALSE,#N/A,#N/A,TRUE,FALSE,TRUE,1,65532,65532,FALSE,FALSE,TRUE,TRUE,TRUE}</definedName>
    <definedName name="wvu.Schedule._.1._.P._.6." localSheetId="7" hidden="1">{TRUE,TRUE,-1.25,-15.5,456.75,255.75,FALSE,TRUE,TRUE,TRUE,0,16,#N/A,363,#N/A,9.44776119402985,24,1,FALSE,FALSE,3,TRUE,1,FALSE,75,"Swvu.Schedule._.1._.P._.6.","ACwvu.Schedule._.1._.P._.6.",#N/A,FALSE,FALSE,0.75,0,0.4,0,1,"","",TRUE,FALSE,FALSE,FALSE,1,78,#N/A,#N/A,"=R363C16:R419C26",FALSE,#N/A,#N/A,TRUE,FALSE,TRUE,1,65532,65532,FALSE,FALSE,TRUE,TRUE,TRUE}</definedName>
    <definedName name="Xbrl_Tag_027ee32f_7a28_48e8_a433_f9e1bcb42536" hidden="1">'[11]Derivatives Gain_Loss Table'!#REF!</definedName>
    <definedName name="Xbrl_Tag_04f12a02_3420_4efe_98f7_624f45f611d5" hidden="1">'[11]Income Statement'!#REF!</definedName>
    <definedName name="Xbrl_Tag_063a9e15_02b7_4659_ac7f_d261a32ef1ba" hidden="1">'[11]Income Statement'!#REF!</definedName>
    <definedName name="Xbrl_Tag_098a02bd_e70e_4666_b780_6a47cd03bf1d" hidden="1">'[17]X - Segment Table Q4-2013'!#REF!</definedName>
    <definedName name="Xbrl_Tag_0b9058a1_2a42_49f5_bdd1_ff5bf38763b0" hidden="1">'[17]X - Segment Table Q4-2013'!#REF!</definedName>
    <definedName name="Xbrl_Tag_0c6b62bc_2e19_430f_97c8_0f3bfa07c3d4" hidden="1">'[11]Income Statement'!#REF!</definedName>
    <definedName name="Xbrl_Tag_0db8d13c_91b8_4b1d_b690_5854dbc4e0b1" hidden="1">'[17]X - Segment Table Q4-2013'!#REF!</definedName>
    <definedName name="Xbrl_Tag_1127d091_8325_4a38_86a6_419f1827553d" hidden="1">'[11]Derivatives Gain_Loss Table'!#REF!</definedName>
    <definedName name="Xbrl_Tag_127d1fe4_f182_46e4_851a_76eb7d1a6a38" hidden="1">'[11]Derivatives Gain_Loss Table'!#REF!</definedName>
    <definedName name="Xbrl_Tag_19cf5fe0_af17_4574_ac1c_841be7a9beb2" hidden="1">'[11]Derivatives Gain_Loss Table'!#REF!</definedName>
    <definedName name="Xbrl_Tag_1a9df9c5_e04e_46ce_99a4_34ca8dfd2806" hidden="1">'[17]X - Segment Table Q4-2013'!#REF!</definedName>
    <definedName name="Xbrl_Tag_1ea4b823_5a8a_4ffb_b6c6_accc568b2b30" hidden="1">'[17]X - Segment Table Q4-2013'!#REF!</definedName>
    <definedName name="Xbrl_Tag_1feb6c50_167b_4e2f_9775_70425b31a50d" hidden="1">'[17]X - Segment Table Q4-2013'!#REF!</definedName>
    <definedName name="Xbrl_Tag_24f49af8_e207_4390_9c56_8ed7b00bc272" hidden="1">'[11]Comprehensive Income Statement'!#REF!</definedName>
    <definedName name="Xbrl_Tag_257e28f4_8d39_4fa5_90b0_f7b7bd8d1afd" hidden="1">'[11]Income Statement'!#REF!</definedName>
    <definedName name="Xbrl_Tag_2ae2f6c5_2877_4cee_8e18_b3b316d649fa" hidden="1">'[11]Income Statement'!#REF!</definedName>
    <definedName name="Xbrl_Tag_2c4722ad_84bd_41c7_aceb_86a1cff6ef4a" hidden="1">'[17]X - Segment Table Q4-2013'!#REF!</definedName>
    <definedName name="Xbrl_Tag_2f4e4b07_6dc1_4e25_bb21_40de9108e87b" hidden="1">'[17]X - Segment Table Q4-2013'!#REF!</definedName>
    <definedName name="Xbrl_Tag_34955914_69f1_484f_8d72_cedb68eb5cc8" hidden="1">'[17]X - Segment Table Q4-2013'!#REF!</definedName>
    <definedName name="Xbrl_Tag_39e1d39d_4bf2_4c86_a14a_cf9f9891987d" hidden="1">'[17]X - Segment Table Q4-2013'!#REF!</definedName>
    <definedName name="Xbrl_Tag_3d8f1d3e_90bc_44d4_bcd3_a755b0c9c4f4" hidden="1">'[11]Income Statement'!#REF!</definedName>
    <definedName name="Xbrl_Tag_41de381b_ef29_4661_88ef_6d917a85e577" hidden="1">'[17]X - Segment Table Q4-2013'!#REF!</definedName>
    <definedName name="Xbrl_Tag_41f19b07_90ec_4c45_8d2f_107e7b78edc2" hidden="1">'[17]X - Segment Table Q4-2013'!#REF!</definedName>
    <definedName name="Xbrl_Tag_42f8fdc1_9eb4_4436_97a9_d729583ce3ab" hidden="1">'[17]X - Segment Table Q4-2013'!#REF!</definedName>
    <definedName name="Xbrl_Tag_44d1c908_50bf_46ff_9bae_062544d9c102" hidden="1">'[17]X - Segment Table Q4-2013'!#REF!</definedName>
    <definedName name="Xbrl_Tag_4c20ccda_354e_4e82_afa1_833d578c14eb" hidden="1">'[17]X - Segment Table Q4-2013'!#REF!</definedName>
    <definedName name="Xbrl_Tag_4f513996_d9e7_4dd8_bef6_78ccaab3a9fb" hidden="1">'[17]X - Segment Table Q4-2013'!#REF!</definedName>
    <definedName name="Xbrl_Tag_5073a74d_6396_463f_b487_5f518566bd69" hidden="1">'[11]Income Statement'!#REF!</definedName>
    <definedName name="Xbrl_Tag_50d1bc04_a4f7_4c4e_9766_d0ea71b12f45" hidden="1">'[11]Derivatives Gain_Loss Table'!#REF!</definedName>
    <definedName name="Xbrl_Tag_5559c34a_6daa_4532_8309_63ee866fc938" hidden="1">'[17]X - Segment Table Q4-2013'!#REF!</definedName>
    <definedName name="Xbrl_Tag_556494b6_a380_4776_a5b7_96d694c830e6" hidden="1">'[11]Income Statement'!#REF!</definedName>
    <definedName name="Xbrl_Tag_5a6092eb_9b4c_4770_89cf_c7b9a93c8faf" hidden="1">'[17]X - Segment Table Q4-2013'!#REF!</definedName>
    <definedName name="Xbrl_Tag_5a64da49_163c_44fe_bb2e_d863612f0544" hidden="1">'[11]Income Statement'!#REF!</definedName>
    <definedName name="Xbrl_Tag_5a7a2471_69c5_4f24_94ca_2235921bd02f" hidden="1">'[17]X - Segment Table Q4-2013'!#REF!</definedName>
    <definedName name="Xbrl_Tag_5c876545_57c7_423d_9a8f_88b19441c85d" hidden="1">'[17]X - Segment Table Q4-2013'!#REF!</definedName>
    <definedName name="Xbrl_Tag_5e2004e3_6971_4238_9000_24ca5b83bbda" hidden="1">'[17]X - Segment Table Q4-2013'!#REF!</definedName>
    <definedName name="Xbrl_Tag_5eef82ed_66b9_4137_9d69_19d7f57b25f8" hidden="1">'[11]Income Statement'!#REF!</definedName>
    <definedName name="Xbrl_Tag_60be6f09_b1c7_42d4_89ab_9ae118ff43a1" hidden="1">'[17]X - Segment Table Q4-2013'!#REF!</definedName>
    <definedName name="Xbrl_Tag_65456847_7ebd_45fa_879a_5842ba59dfdb" hidden="1">'[11]Income Statement'!#REF!</definedName>
    <definedName name="Xbrl_Tag_71deb036_931c_4038_8de7_11ce3974e028" hidden="1">'[17]X - Segment Table Q4-2013'!#REF!</definedName>
    <definedName name="Xbrl_Tag_76f211bd_d870_42d8_b760_101d5dd022a6" hidden="1">'[17]X - Segment Table Q4-2013'!#REF!</definedName>
    <definedName name="Xbrl_Tag_793255a7_2ab3_4505_9a06_ab13aae6d30f" hidden="1">'[17]X - Segment Table Q4-2013'!#REF!</definedName>
    <definedName name="Xbrl_Tag_7a8f67cf_3082_4778_9dfa_88d42f127b63" hidden="1">'[11]Income Statement'!#REF!</definedName>
    <definedName name="Xbrl_Tag_8019b2d4_2e9a_44cd_8196_e8404f49cd28" hidden="1">'[11]Income Statement'!#REF!</definedName>
    <definedName name="Xbrl_Tag_8183bd57_421d_41f0_9a78_fd6449bd94d5" hidden="1">'[11]Derivatives Gain_Loss Table'!#REF!</definedName>
    <definedName name="Xbrl_Tag_82c30878_299b_457f_a6a1_b96f612d4d93" hidden="1">'[17]X - Segment Table Q4-2013'!#REF!</definedName>
    <definedName name="Xbrl_Tag_83e487e4_aeff_4084_a7b6_cc852d0bf0da" hidden="1">'[17]X - Segment Table Q4-2013'!#REF!</definedName>
    <definedName name="Xbrl_Tag_8560c3c0_af3d_406f_8f97_cd85947ffa2d" hidden="1">'[11]Income Statement'!#REF!</definedName>
    <definedName name="Xbrl_Tag_87f75862_d797_438b_b129_f7f47c2e241e" hidden="1">'[11]Comprehensive Income Statement'!#REF!</definedName>
    <definedName name="Xbrl_Tag_8919cd5e_8627_43a2_941f_ba8c9af9abfd" hidden="1">'[11]Income Statement'!#REF!</definedName>
    <definedName name="Xbrl_Tag_89a7f27f_1d58_4499_aadc_eb5e2188cece" hidden="1">'[11]Derivatives Gain_Loss Table'!#REF!</definedName>
    <definedName name="Xbrl_Tag_8a490b80_be3b_4b03_9f83_58eac315a139" hidden="1">'[17]X - Segment Table Q4-2013'!#REF!</definedName>
    <definedName name="Xbrl_Tag_8a8ce54d_80a7_40c0_aec6_3bfcba599491" hidden="1">'[11]Income Statement'!#REF!</definedName>
    <definedName name="Xbrl_Tag_919e7f7b_4ffd_45f5_920d_9a68ac0d516b" hidden="1">'[11]Derivatives Gain_Loss Table'!#REF!</definedName>
    <definedName name="Xbrl_Tag_93efd749_eea5_4eba_823c_f23ee577448b" hidden="1">'[11]Income Statement'!#REF!</definedName>
    <definedName name="Xbrl_Tag_957d5b60_d945_4e25_a496_3168ffe4ae27" hidden="1">'[11]Income Statement'!#REF!</definedName>
    <definedName name="Xbrl_Tag_959f8dd3_3f4a_426a_9090_de5371c319cb" hidden="1">'[17]X - Segment Table Q4-2013'!#REF!</definedName>
    <definedName name="Xbrl_Tag_96243770_2b14_4d8a_ab29_f05014ccd8a5" hidden="1">'[11]Income Statement'!#REF!</definedName>
    <definedName name="Xbrl_Tag_9ae7eca2_e294_4b07_88a4_6fd59634b73d" hidden="1">'[17]X - Segment Table Q4-2013'!#REF!</definedName>
    <definedName name="Xbrl_Tag_a09ba55a_a166_46ff_99d0_729fbf97c3ec" hidden="1">'[11]Income Statement'!#REF!</definedName>
    <definedName name="Xbrl_Tag_a20f589d_cec3_47b2_ac17_e077519a3969" hidden="1">'[11]Comprehensive Income Statement'!#REF!</definedName>
    <definedName name="Xbrl_Tag_a59c664a_082f_48d9_b600_e240d50941b4" hidden="1">'[17]X - Segment Table Q4-2013'!#REF!</definedName>
    <definedName name="Xbrl_Tag_a5d4a189_e252_4c4d_838c_b2f5614534cf" hidden="1">'[17]X - Segment Table Q4-2013'!#REF!</definedName>
    <definedName name="Xbrl_Tag_a65273a1_d1af_491b_8079_1c8a2a895ed0" hidden="1">'[17]X - Segment Table Q4-2013'!#REF!</definedName>
    <definedName name="Xbrl_Tag_ab864a02_732e_47f6_9927_34e07e6060b6" hidden="1">'[11]Income Statement'!#REF!</definedName>
    <definedName name="Xbrl_Tag_ad2db914_b56b_406a_a74d_18b92c578066" hidden="1">'[17]X - Segment Table Q4-2013'!#REF!</definedName>
    <definedName name="Xbrl_Tag_b00af0bc_d9b5_4ef5_a67e_28baca2bda7e" hidden="1">'[11]Comprehensive Income Statement'!#REF!</definedName>
    <definedName name="Xbrl_Tag_b0593807_b87c_4dea_a31a_0a7df7fcb0a9" hidden="1">'[17]X - Segment Table Q4-2013'!#REF!</definedName>
    <definedName name="Xbrl_Tag_b26358ca_a641_4165_92d4_ed3ff23564b4" hidden="1">'[17]X - Segment Table Q4-2013'!#REF!</definedName>
    <definedName name="Xbrl_Tag_b3ab0dee_7aa0_472e_b10e_c9f86df6f3d4" hidden="1">'[17]X - Segment Table Q4-2013'!#REF!</definedName>
    <definedName name="Xbrl_Tag_b7fd907e_3249_4ea3_b66c_962b1fa95604" hidden="1">'[11]Income Statement'!#REF!</definedName>
    <definedName name="Xbrl_Tag_b9649311_0f30_4d97_85d8_4c6d391050af" hidden="1">'[11]Comprehensive Income Statement'!#REF!</definedName>
    <definedName name="Xbrl_Tag_ba1bf081_c483_42f4_92a6_63e8f6338750" hidden="1">'[11]Comprehensive Income Statement'!#REF!</definedName>
    <definedName name="Xbrl_Tag_bfa5d5fd_c96e_410d_8427_3e2f38b47198" hidden="1">'[11]Income Statement'!#REF!</definedName>
    <definedName name="Xbrl_Tag_bfe45df7_6214_442e_a83a_a21966ff57d1" hidden="1">'[11]Derivatives Gain_Loss Table'!#REF!</definedName>
    <definedName name="Xbrl_Tag_c241ee7b_d46e_4f8b_8e9f_73859d68f91c" hidden="1">'[17]X - Segment Table Q4-2013'!#REF!</definedName>
    <definedName name="Xbrl_Tag_c7c1ba2c_2ac3_43dd_9886_9ce9034278de" hidden="1">'[17]X - Segment Table Q4-2013'!#REF!</definedName>
    <definedName name="Xbrl_Tag_c93933d3_d087_4738_b666_4d75701d71a7" hidden="1">'[17]X - Segment Table Q4-2013'!#REF!</definedName>
    <definedName name="Xbrl_Tag_d3931975_3c1c_4a5a_a095_d7297d54c11c" hidden="1">'[17]X - Segment Table Q4-2013'!#REF!</definedName>
    <definedName name="Xbrl_Tag_d79b717a_6a1d_4384_a581_498e7af0e618" hidden="1">'[17]X - Segment Table Q4-2013'!#REF!</definedName>
    <definedName name="Xbrl_Tag_d8466a64_0173_4518_8ea6_6d4c15d92b3b" hidden="1">'[17]X - Segment Table Q4-2013'!#REF!</definedName>
    <definedName name="Xbrl_Tag_d84ff0c7_6d7d_4db1_99ff_179f8c14a701" hidden="1">'[11]Income Statement'!#REF!</definedName>
    <definedName name="Xbrl_Tag_e39b0796_b33c_4895_b97d_3fdae66d2549" hidden="1">'[17]X - Segment Table Q4-2013'!#REF!</definedName>
    <definedName name="Xbrl_Tag_f00d828e_026d_4e8d_997c_1bf0178b982c" hidden="1">'[11]Derivatives Gain_Loss Table'!#REF!</definedName>
    <definedName name="Xbrl_Tag_fa12570c_8fc9_4041_b258_7e1b96352a03" hidden="1">'[17]X - Segment Table Q4-2013'!#REF!</definedName>
    <definedName name="Xbrl_Tag_fa4eff9f_bb37_4559_8fd1_f044314ed52b" hidden="1">'[11]Derivatives Gain_Loss Table'!#REF!</definedName>
    <definedName name="Xbrl_Tag_fbb320d8_5e04_444a_a1da_886a4af0a35a" hidden="1">'[11]Income Statement'!#REF!</definedName>
    <definedName name="Xbrl_Tag_fbb54a6e_5284_4747_8c68_1a34bfcc5cd3" hidden="1">'[11]Income Statement'!#REF!</definedName>
    <definedName name="Xbrl_Tag_fd74aa28_d220_4547_92f2_6b63ccc2bb99" hidden="1">'[11]Derivatives Gain_Loss Table'!#REF!</definedName>
    <definedName name="Xbrl_Tag_ff401910_08e8_4445_943f_5c35e6092449" hidden="1">'[11]Income Statement'!#REF!</definedName>
    <definedName name="XYZ" hidden="1">{#N/A,#N/A,FALSE,"DIT Summary";#N/A,#N/A,FALSE,"WCL Tax Provision";#N/A,#N/A,FALSE,"SCL Tax Provision";#N/A,#N/A,FALSE,"Tax Payable"}</definedName>
    <definedName name="y" hidden="1">{"Balance Sheet",#N/A,FALSE,"Stmt of Financial Position"}</definedName>
    <definedName name="Z_03216896_582A_4275_9F71_EC829E74F501_.wvu.PrintArea" localSheetId="7" hidden="1">'Sch. 20'!$A$1:$M$71</definedName>
    <definedName name="Z_13A1B49D_BE8A_4A34_9DE7_57C682154965_.wvu.PrintArea" localSheetId="7" hidden="1">'Sch. 20'!$A$1:$M$71</definedName>
    <definedName name="Z_26272691_5274_4288_90D4_382E5772F19F_.wvu.PrintArea" localSheetId="7" hidden="1">'Sch. 20'!$A$1:$M$71</definedName>
    <definedName name="Z_291C2213_AB60_49BF_92D4_1627BB1C3573_.wvu.PrintArea" localSheetId="7" hidden="1">'Sch. 20'!$A$1:$M$71</definedName>
    <definedName name="Z_36D11777_0EF2_4820_BD6C_43D39D712CD5_.wvu.PrintArea" localSheetId="7" hidden="1">'Sch. 20'!$A$1:$M$71</definedName>
    <definedName name="Z_4325006E_C831_43D3_9B03_994D3B9AC624_.wvu.PrintArea" localSheetId="7" hidden="1">'Sch. 20'!$A$1:$M$71</definedName>
    <definedName name="Z_4C6F7691_61E3_4281_A0A0_99F736425324_.wvu.PrintArea" localSheetId="7" hidden="1">'[1]T3 S1.2'!$A$3:$N$56</definedName>
    <definedName name="Z_4D76C81C_8D53_4518_B2D1_022B7104C7D3_.wvu.PrintArea" localSheetId="7" hidden="1">'Sch. 20'!$A$1:$M$71</definedName>
    <definedName name="Z_54C4D6D9_B3AA_4515_B42B_A05AF63D9501_.wvu.PrintArea" localSheetId="7" hidden="1">'Sch. 20'!$A$1:$M$71</definedName>
    <definedName name="Z_80BA3269_9A62_47B3_8D47_134B616EAB09_.wvu.PrintArea" localSheetId="7" hidden="1">'Sch. 20'!$A$1:$M$71</definedName>
    <definedName name="Z_8530360A_34F6_4596_87BE_6025490F3FFE_.wvu.PrintArea" localSheetId="7" hidden="1">'Sch. 20'!$A$1:$M$71</definedName>
    <definedName name="Z_9FF5325E_7A25_433E_AFC4_63C0C98C7181_.wvu.PrintArea" localSheetId="7" hidden="1">'Sch. 20'!$A$1:$M$71</definedName>
    <definedName name="Z_AA111F9E_52B5_49E2_9B1B_43DC5EDE33F8_.wvu.PrintArea" localSheetId="7" hidden="1">'Sch. 20'!$A$1:$M$71</definedName>
    <definedName name="Z_B47B7980_9269_4C69_A8B4_906371C24137_.wvu.PrintArea" localSheetId="7" hidden="1">'Sch. 20'!$A$1:$M$71</definedName>
    <definedName name="Z_B5251273_7F92_46B9_8A96_ED77916E0C0B_.wvu.PrintArea" localSheetId="7" hidden="1">'Sch. 20'!$A$1:$M$71</definedName>
    <definedName name="Z_B9483924_244C_46F7_9601_5E894BC397D0_.wvu.PrintArea" localSheetId="7" hidden="1">'Sch. 20'!$A$1:$M$71</definedName>
    <definedName name="Z_BAFA5847_51D3_431E_9082_1B06B839B4B5_.wvu.PrintArea" localSheetId="7" hidden="1">'Sch. 20'!$A$1:$M$71</definedName>
    <definedName name="Z_BC176845_E097_4178_BA98_45C72AF2F081_.wvu.PrintArea" localSheetId="7" hidden="1">'Sch. 20'!$A$1:$M$71</definedName>
    <definedName name="Z_C14D4097_A4EF_4F47_8E45_4032DBCBAA99_.wvu.PrintArea" localSheetId="7" hidden="1">'Sch. 20'!$A$1:$M$71</definedName>
    <definedName name="Z_C286D361_7C40_487D_96AB_A7901328B6B2_.wvu.PrintArea" localSheetId="7" hidden="1">'[1]T3 S1.4'!$A$13:$N$70</definedName>
    <definedName name="Z_C8320B38_8C6D_48E4_B02C_979114D8106C_.wvu.PrintArea" localSheetId="7" hidden="1">'Sch. 20'!$A$1:$M$71</definedName>
    <definedName name="Z_DE5AF50C_C45B_4DAF_B625_F6AD5FA84B39_.wvu.PrintArea" localSheetId="7" hidden="1">'Sch. 20'!$A$1:$M$71</definedName>
    <definedName name="Z_DEDDA5DA_C0F1_44C9_A69E_79A52ED631CC_.wvu.PrintArea" localSheetId="7" hidden="1">'Sch. 20'!$A$1:$M$71</definedName>
    <definedName name="Z_ECDD18D8_5E22_4BA5_811F_CD83020A8FAF_.wvu.PrintArea" localSheetId="7" hidden="1">'Sch. 20'!$A$1:$M$71</definedName>
    <definedName name="Z_ED640ABD_53F9_44DC_BAD2_6A5A7E6141AB_.wvu.PrintArea" localSheetId="7" hidden="1">'Sch. 20'!$A$1:$M$71</definedName>
    <definedName name="Z_F51EC656_2EA8_4452_B2B6_1AAC85AC2A95_.wvu.PrintArea" localSheetId="7" hidden="1">'[1]T3 S1.2'!$A$3:$N$56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1" i="31" l="1"/>
  <c r="A180" i="9"/>
  <c r="M85" i="10"/>
  <c r="O85" i="10"/>
  <c r="Q85" i="10" s="1"/>
  <c r="M86" i="10"/>
  <c r="O86" i="10"/>
  <c r="M87" i="10"/>
  <c r="O87" i="10" s="1"/>
  <c r="Q87" i="10" s="1"/>
  <c r="D61" i="43"/>
  <c r="D63" i="43" s="1"/>
  <c r="D27" i="43"/>
  <c r="F34" i="40"/>
  <c r="F26" i="40"/>
  <c r="J21" i="40"/>
  <c r="A847" i="33"/>
  <c r="X319" i="34"/>
  <c r="G589" i="34"/>
  <c r="I589" i="34" s="1"/>
  <c r="A16" i="44"/>
  <c r="A18" i="44"/>
  <c r="A19" i="44" s="1"/>
  <c r="A21" i="44" s="1"/>
  <c r="A22" i="44" s="1"/>
  <c r="A24" i="44" s="1"/>
  <c r="A25" i="44" s="1"/>
  <c r="A27" i="44" s="1"/>
  <c r="A29" i="44" s="1"/>
  <c r="A31" i="44" s="1"/>
  <c r="A32" i="44" s="1"/>
  <c r="A34" i="44" s="1"/>
  <c r="A35" i="44" s="1"/>
  <c r="A37" i="44" s="1"/>
  <c r="A40" i="44" s="1"/>
  <c r="A42" i="44" s="1"/>
  <c r="A44" i="44" s="1"/>
  <c r="A45" i="44" s="1"/>
  <c r="A47" i="44" s="1"/>
  <c r="A49" i="44" s="1"/>
  <c r="A50" i="44" s="1"/>
  <c r="A53" i="44" s="1"/>
  <c r="A55" i="44" s="1"/>
  <c r="A57" i="44" s="1"/>
  <c r="A58" i="44" s="1"/>
  <c r="A60" i="44" s="1"/>
  <c r="A61" i="44" s="1"/>
  <c r="A63" i="44" s="1"/>
  <c r="A64" i="44" s="1"/>
  <c r="A66" i="44" s="1"/>
  <c r="A67" i="44" s="1"/>
  <c r="A69" i="44" s="1"/>
  <c r="A70" i="44" s="1"/>
  <c r="A71" i="44" s="1"/>
  <c r="A73" i="44" s="1"/>
  <c r="A74" i="44" s="1"/>
  <c r="A75" i="44" s="1"/>
  <c r="A77" i="44" s="1"/>
  <c r="H19" i="44"/>
  <c r="H22" i="44"/>
  <c r="H25" i="44"/>
  <c r="H32" i="44"/>
  <c r="H35" i="44"/>
  <c r="H45" i="44"/>
  <c r="H50" i="44"/>
  <c r="H58" i="44"/>
  <c r="H64" i="44"/>
  <c r="H67" i="44"/>
  <c r="H71" i="44"/>
  <c r="H75" i="44"/>
  <c r="A17" i="43"/>
  <c r="A18" i="43"/>
  <c r="A19" i="43"/>
  <c r="A20" i="43" s="1"/>
  <c r="A21" i="43" s="1"/>
  <c r="A22" i="43" s="1"/>
  <c r="A23" i="43" s="1"/>
  <c r="A24" i="43" s="1"/>
  <c r="A25" i="43" s="1"/>
  <c r="A26" i="43" s="1"/>
  <c r="A27" i="43" s="1"/>
  <c r="A30" i="43" s="1"/>
  <c r="A31" i="43" s="1"/>
  <c r="A32" i="43" s="1"/>
  <c r="A33" i="43" s="1"/>
  <c r="A34" i="43" s="1"/>
  <c r="A35" i="43" s="1"/>
  <c r="A38" i="43" s="1"/>
  <c r="A39" i="43" s="1"/>
  <c r="A40" i="43" s="1"/>
  <c r="A41" i="43" s="1"/>
  <c r="A42" i="43" s="1"/>
  <c r="A43" i="43" s="1"/>
  <c r="A44" i="43" s="1"/>
  <c r="A45" i="43" s="1"/>
  <c r="A46" i="43" s="1"/>
  <c r="A47" i="43" s="1"/>
  <c r="A48" i="43" s="1"/>
  <c r="A49" i="43" s="1"/>
  <c r="A50" i="43" s="1"/>
  <c r="A51" i="43" s="1"/>
  <c r="A54" i="43" s="1"/>
  <c r="A55" i="43" s="1"/>
  <c r="A56" i="43" s="1"/>
  <c r="A57" i="43" s="1"/>
  <c r="A58" i="43" s="1"/>
  <c r="A59" i="43" s="1"/>
  <c r="A61" i="43" s="1"/>
  <c r="A63" i="43" s="1"/>
  <c r="A17" i="42"/>
  <c r="A18" i="42" s="1"/>
  <c r="A19" i="42" s="1"/>
  <c r="A20" i="42" s="1"/>
  <c r="A21" i="42" s="1"/>
  <c r="A24" i="42" s="1"/>
  <c r="A25" i="42" s="1"/>
  <c r="A26" i="42" s="1"/>
  <c r="A27" i="42" s="1"/>
  <c r="A28" i="42" s="1"/>
  <c r="A29" i="42" s="1"/>
  <c r="A30" i="42" s="1"/>
  <c r="A31" i="42" s="1"/>
  <c r="A32" i="42" s="1"/>
  <c r="A33" i="42" s="1"/>
  <c r="A34" i="42" s="1"/>
  <c r="A35" i="42" s="1"/>
  <c r="A36" i="42" s="1"/>
  <c r="A37" i="42" s="1"/>
  <c r="A40" i="42" s="1"/>
  <c r="A41" i="42" s="1"/>
  <c r="A42" i="42" s="1"/>
  <c r="A43" i="42" s="1"/>
  <c r="A44" i="42" s="1"/>
  <c r="A45" i="42" s="1"/>
  <c r="A46" i="42" s="1"/>
  <c r="A48" i="42" s="1"/>
  <c r="E21" i="42"/>
  <c r="G21" i="42"/>
  <c r="I21" i="42"/>
  <c r="K21" i="42"/>
  <c r="E25" i="42"/>
  <c r="E28" i="42"/>
  <c r="E31" i="42"/>
  <c r="E37" i="42" s="1"/>
  <c r="G37" i="42"/>
  <c r="G48" i="42" s="1"/>
  <c r="I37" i="42"/>
  <c r="K37" i="42"/>
  <c r="K48" i="42" s="1"/>
  <c r="E44" i="42"/>
  <c r="E46" i="42" s="1"/>
  <c r="E45" i="42"/>
  <c r="G46" i="42"/>
  <c r="I46" i="42"/>
  <c r="K46" i="42"/>
  <c r="I48" i="42"/>
  <c r="E28" i="41"/>
  <c r="G28" i="41"/>
  <c r="M17" i="41" s="1"/>
  <c r="I28" i="41"/>
  <c r="O16" i="41" s="1"/>
  <c r="O28" i="41"/>
  <c r="J15" i="40"/>
  <c r="J16" i="40"/>
  <c r="J17" i="40"/>
  <c r="J18" i="40"/>
  <c r="J19" i="40"/>
  <c r="J20" i="40"/>
  <c r="F21" i="40"/>
  <c r="H21" i="40"/>
  <c r="J24" i="40"/>
  <c r="J25" i="40"/>
  <c r="H26" i="40"/>
  <c r="J26" i="40"/>
  <c r="M28" i="41" s="1"/>
  <c r="F28" i="40"/>
  <c r="J28" i="40" s="1"/>
  <c r="H28" i="40"/>
  <c r="F30" i="40"/>
  <c r="J30" i="40" s="1"/>
  <c r="F32" i="40"/>
  <c r="J32" i="40" s="1"/>
  <c r="H34" i="40"/>
  <c r="F38" i="40"/>
  <c r="J38" i="40"/>
  <c r="J44" i="40" s="1"/>
  <c r="A39" i="40"/>
  <c r="A40" i="40" s="1"/>
  <c r="A41" i="40" s="1"/>
  <c r="A42" i="40" s="1"/>
  <c r="A43" i="40" s="1"/>
  <c r="A44" i="40" s="1"/>
  <c r="A47" i="40" s="1"/>
  <c r="A48" i="40" s="1"/>
  <c r="A49" i="40" s="1"/>
  <c r="A50" i="40" s="1"/>
  <c r="A52" i="40" s="1"/>
  <c r="J39" i="40"/>
  <c r="J40" i="40"/>
  <c r="J41" i="40"/>
  <c r="J42" i="40"/>
  <c r="J43" i="40"/>
  <c r="F44" i="40"/>
  <c r="H44" i="40"/>
  <c r="H54" i="40" s="1"/>
  <c r="H56" i="40" s="1"/>
  <c r="F47" i="40"/>
  <c r="F50" i="40" s="1"/>
  <c r="F54" i="40" s="1"/>
  <c r="J48" i="40"/>
  <c r="Q48" i="42" s="1"/>
  <c r="J49" i="40"/>
  <c r="S48" i="42" s="1"/>
  <c r="H50" i="40"/>
  <c r="F52" i="40"/>
  <c r="H52" i="40"/>
  <c r="J52" i="40"/>
  <c r="L14" i="39"/>
  <c r="H16" i="39"/>
  <c r="J16" i="39"/>
  <c r="H17" i="39"/>
  <c r="J17" i="39"/>
  <c r="L17" i="39"/>
  <c r="H18" i="39"/>
  <c r="J18" i="39"/>
  <c r="L18" i="39"/>
  <c r="D19" i="39"/>
  <c r="H19" i="39"/>
  <c r="L19" i="39" s="1"/>
  <c r="J19" i="39"/>
  <c r="D20" i="39"/>
  <c r="H20" i="39"/>
  <c r="J20" i="39"/>
  <c r="L20" i="39"/>
  <c r="J21" i="39"/>
  <c r="J23" i="39"/>
  <c r="A25" i="39"/>
  <c r="L25" i="39"/>
  <c r="L29" i="39" s="1"/>
  <c r="A26" i="39"/>
  <c r="A27" i="39" s="1"/>
  <c r="A28" i="39" s="1"/>
  <c r="A29" i="39" s="1"/>
  <c r="A31" i="39" s="1"/>
  <c r="A32" i="39" s="1"/>
  <c r="A33" i="39" s="1"/>
  <c r="A34" i="39" s="1"/>
  <c r="A35" i="39" s="1"/>
  <c r="A37" i="39" s="1"/>
  <c r="A38" i="39" s="1"/>
  <c r="A39" i="39" s="1"/>
  <c r="A40" i="39" s="1"/>
  <c r="A41" i="39" s="1"/>
  <c r="A42" i="39" s="1"/>
  <c r="L26" i="39"/>
  <c r="L27" i="39"/>
  <c r="L28" i="39"/>
  <c r="H29" i="39"/>
  <c r="J29" i="39"/>
  <c r="H31" i="39"/>
  <c r="L31" i="39" s="1"/>
  <c r="J31" i="39"/>
  <c r="H32" i="39"/>
  <c r="J32" i="39"/>
  <c r="H33" i="39"/>
  <c r="J33" i="39"/>
  <c r="L33" i="39" s="1"/>
  <c r="H34" i="39"/>
  <c r="L34" i="39" s="1"/>
  <c r="J34" i="39"/>
  <c r="J35" i="39"/>
  <c r="H37" i="39"/>
  <c r="J37" i="39"/>
  <c r="H38" i="39"/>
  <c r="J38" i="39"/>
  <c r="L38" i="39" s="1"/>
  <c r="H39" i="39"/>
  <c r="L39" i="39" s="1"/>
  <c r="J39" i="39"/>
  <c r="H40" i="39"/>
  <c r="L40" i="39" s="1"/>
  <c r="J40" i="39"/>
  <c r="H41" i="39"/>
  <c r="L41" i="39" s="1"/>
  <c r="J41" i="39"/>
  <c r="J42" i="39"/>
  <c r="J44" i="39"/>
  <c r="A46" i="39"/>
  <c r="A47" i="39" s="1"/>
  <c r="A48" i="39" s="1"/>
  <c r="A50" i="39" s="1"/>
  <c r="A51" i="39" s="1"/>
  <c r="A52" i="39" s="1"/>
  <c r="A54" i="39" s="1"/>
  <c r="A56" i="39" s="1"/>
  <c r="A58" i="39" s="1"/>
  <c r="L46" i="39"/>
  <c r="L47" i="39"/>
  <c r="H50" i="39"/>
  <c r="L50" i="39" s="1"/>
  <c r="J50" i="39"/>
  <c r="H51" i="39"/>
  <c r="J51" i="39"/>
  <c r="J52" i="39" s="1"/>
  <c r="H52" i="39"/>
  <c r="H54" i="39"/>
  <c r="L54" i="39"/>
  <c r="H56" i="39"/>
  <c r="L56" i="39"/>
  <c r="F56" i="40" l="1"/>
  <c r="J58" i="39"/>
  <c r="L32" i="39"/>
  <c r="H35" i="39"/>
  <c r="L37" i="39"/>
  <c r="L42" i="39" s="1"/>
  <c r="H42" i="39"/>
  <c r="H44" i="39" s="1"/>
  <c r="L35" i="39"/>
  <c r="S27" i="42"/>
  <c r="S32" i="42"/>
  <c r="S36" i="42"/>
  <c r="S40" i="42"/>
  <c r="S45" i="42"/>
  <c r="S28" i="42"/>
  <c r="S18" i="42"/>
  <c r="S44" i="42"/>
  <c r="S26" i="42"/>
  <c r="S31" i="42"/>
  <c r="S35" i="42"/>
  <c r="S43" i="42"/>
  <c r="S19" i="42"/>
  <c r="S17" i="42"/>
  <c r="S30" i="42"/>
  <c r="S25" i="42"/>
  <c r="S34" i="42"/>
  <c r="S42" i="42"/>
  <c r="S16" i="42"/>
  <c r="S20" i="42"/>
  <c r="S24" i="42"/>
  <c r="S29" i="42"/>
  <c r="S33" i="42"/>
  <c r="S41" i="42"/>
  <c r="H21" i="39"/>
  <c r="L16" i="39"/>
  <c r="L21" i="39" s="1"/>
  <c r="M18" i="41"/>
  <c r="M24" i="41"/>
  <c r="M20" i="41"/>
  <c r="M26" i="41"/>
  <c r="M16" i="41"/>
  <c r="M22" i="41"/>
  <c r="M48" i="42"/>
  <c r="J34" i="40"/>
  <c r="K28" i="41"/>
  <c r="Q18" i="42"/>
  <c r="E48" i="42"/>
  <c r="Q28" i="42"/>
  <c r="Q19" i="42"/>
  <c r="Q40" i="42"/>
  <c r="L51" i="39"/>
  <c r="L52" i="39" s="1"/>
  <c r="Q41" i="42"/>
  <c r="Q33" i="42"/>
  <c r="Q27" i="42"/>
  <c r="O25" i="41"/>
  <c r="O23" i="41"/>
  <c r="O21" i="41"/>
  <c r="O19" i="41"/>
  <c r="O17" i="41"/>
  <c r="Q29" i="42"/>
  <c r="Q24" i="42"/>
  <c r="Q37" i="42" s="1"/>
  <c r="Q20" i="42"/>
  <c r="Q16" i="42"/>
  <c r="Q36" i="42"/>
  <c r="J47" i="40"/>
  <c r="M25" i="41"/>
  <c r="M23" i="41"/>
  <c r="M21" i="41"/>
  <c r="M19" i="41"/>
  <c r="Q42" i="42"/>
  <c r="Q34" i="42"/>
  <c r="Q25" i="42"/>
  <c r="Q32" i="42"/>
  <c r="K23" i="41"/>
  <c r="Q23" i="41" s="1"/>
  <c r="D23" i="43" s="1"/>
  <c r="G23" i="43" s="1"/>
  <c r="D31" i="44" s="1"/>
  <c r="K21" i="41"/>
  <c r="Q21" i="41" s="1"/>
  <c r="D21" i="43" s="1"/>
  <c r="G21" i="43" s="1"/>
  <c r="D27" i="44" s="1"/>
  <c r="J27" i="44" s="1"/>
  <c r="N27" i="44" s="1"/>
  <c r="K19" i="41"/>
  <c r="Q19" i="41" s="1"/>
  <c r="D19" i="43" s="1"/>
  <c r="G19" i="43" s="1"/>
  <c r="D21" i="44" s="1"/>
  <c r="Q30" i="42"/>
  <c r="Q17" i="42"/>
  <c r="Q45" i="42"/>
  <c r="Q43" i="42"/>
  <c r="Q35" i="42"/>
  <c r="Q31" i="42"/>
  <c r="Q26" i="42"/>
  <c r="O26" i="41"/>
  <c r="O24" i="41"/>
  <c r="O22" i="41"/>
  <c r="O20" i="41"/>
  <c r="O18" i="41"/>
  <c r="Q44" i="42"/>
  <c r="A14" i="38"/>
  <c r="A15" i="38" s="1"/>
  <c r="A16" i="38" s="1"/>
  <c r="A17" i="38" s="1"/>
  <c r="A20" i="38" s="1"/>
  <c r="A21" i="38" s="1"/>
  <c r="A22" i="38" s="1"/>
  <c r="A23" i="38" s="1"/>
  <c r="A24" i="38" s="1"/>
  <c r="A27" i="38" s="1"/>
  <c r="A28" i="38" s="1"/>
  <c r="A29" i="38" s="1"/>
  <c r="A30" i="38" s="1"/>
  <c r="A31" i="38"/>
  <c r="A32" i="38" s="1"/>
  <c r="A35" i="38" s="1"/>
  <c r="A36" i="38"/>
  <c r="A37" i="38" s="1"/>
  <c r="A38" i="38" s="1"/>
  <c r="A39" i="38" s="1"/>
  <c r="A40" i="38" s="1"/>
  <c r="A43" i="38" s="1"/>
  <c r="A44" i="38" s="1"/>
  <c r="A45" i="38" s="1"/>
  <c r="A46" i="38" s="1"/>
  <c r="A47" i="38" s="1"/>
  <c r="A48" i="38" s="1"/>
  <c r="A51" i="38" s="1"/>
  <c r="A53" i="38" s="1"/>
  <c r="A57" i="38" s="1"/>
  <c r="A60" i="38" s="1"/>
  <c r="A62" i="38" s="1"/>
  <c r="A63" i="38" s="1"/>
  <c r="A64" i="38" s="1"/>
  <c r="A65" i="38" s="1"/>
  <c r="A68" i="38" s="1"/>
  <c r="A69" i="38" s="1"/>
  <c r="A70" i="38" s="1"/>
  <c r="A71" i="38" s="1"/>
  <c r="A72" i="38" s="1"/>
  <c r="A73" i="38" s="1"/>
  <c r="A76" i="38" s="1"/>
  <c r="A77" i="38" s="1"/>
  <c r="A78" i="38" s="1"/>
  <c r="A79" i="38" s="1"/>
  <c r="A80" i="38" s="1"/>
  <c r="A81" i="38" s="1"/>
  <c r="A98" i="38" s="1"/>
  <c r="A99" i="38" s="1"/>
  <c r="A100" i="38" s="1"/>
  <c r="A101" i="38" s="1"/>
  <c r="A102" i="38" s="1"/>
  <c r="A103" i="38" s="1"/>
  <c r="A109" i="38" s="1"/>
  <c r="A111" i="38" s="1"/>
  <c r="A112" i="38" s="1"/>
  <c r="A114" i="38" s="1"/>
  <c r="A115" i="38" s="1"/>
  <c r="A117" i="38" s="1"/>
  <c r="A118" i="38" s="1"/>
  <c r="A119" i="38" s="1"/>
  <c r="A122" i="38" s="1"/>
  <c r="A124" i="38" s="1"/>
  <c r="A125" i="38" s="1"/>
  <c r="A127" i="38"/>
  <c r="A128" i="38" s="1"/>
  <c r="A130" i="38" s="1"/>
  <c r="A131" i="38" s="1"/>
  <c r="A132" i="38" s="1"/>
  <c r="A135" i="38" s="1"/>
  <c r="A136" i="38" s="1"/>
  <c r="A138" i="38" s="1"/>
  <c r="A139" i="38" s="1"/>
  <c r="A141" i="38" s="1"/>
  <c r="A142" i="38" s="1"/>
  <c r="A144" i="38" s="1"/>
  <c r="A145" i="38" s="1"/>
  <c r="A146" i="38" s="1"/>
  <c r="A147" i="38" s="1"/>
  <c r="A150" i="38" s="1"/>
  <c r="A152" i="38" s="1"/>
  <c r="A153" i="38" s="1"/>
  <c r="A154" i="38" s="1"/>
  <c r="A157" i="38" s="1"/>
  <c r="A158" i="38" s="1"/>
  <c r="A159" i="38" s="1"/>
  <c r="A165" i="38" s="1"/>
  <c r="A166" i="38" s="1"/>
  <c r="A167" i="38" s="1"/>
  <c r="A168" i="38" s="1"/>
  <c r="A171" i="38" s="1"/>
  <c r="A172" i="38" s="1"/>
  <c r="A173" i="38" s="1"/>
  <c r="A174" i="38" s="1"/>
  <c r="A189" i="38" s="1"/>
  <c r="A190" i="38" s="1"/>
  <c r="A191" i="38" s="1"/>
  <c r="A192" i="38" s="1"/>
  <c r="A193" i="38" s="1"/>
  <c r="A196" i="38" s="1"/>
  <c r="A197" i="38" s="1"/>
  <c r="A198" i="38" s="1"/>
  <c r="A199" i="38" s="1"/>
  <c r="A200" i="38" s="1"/>
  <c r="A203" i="38" s="1"/>
  <c r="A204" i="38" s="1"/>
  <c r="A205" i="38" s="1"/>
  <c r="A206" i="38" s="1"/>
  <c r="A207" i="38" s="1"/>
  <c r="A210" i="38" s="1"/>
  <c r="A211" i="38" s="1"/>
  <c r="A212" i="38" s="1"/>
  <c r="A213" i="38" s="1"/>
  <c r="A216" i="38" s="1"/>
  <c r="A217" i="38" s="1"/>
  <c r="A218" i="38" s="1"/>
  <c r="A219" i="38" s="1"/>
  <c r="A220" i="38" s="1"/>
  <c r="A221" i="38" s="1"/>
  <c r="A222" i="38" s="1"/>
  <c r="A225" i="38" s="1"/>
  <c r="A226" i="38" s="1"/>
  <c r="A227" i="38" s="1"/>
  <c r="A228" i="38" s="1"/>
  <c r="A229" i="38" s="1"/>
  <c r="A230" i="38" s="1"/>
  <c r="A231" i="38" s="1"/>
  <c r="A235" i="38"/>
  <c r="A236" i="38"/>
  <c r="A237" i="38" s="1"/>
  <c r="A238" i="38" s="1"/>
  <c r="A239" i="38" s="1"/>
  <c r="A242" i="38" s="1"/>
  <c r="K17" i="37"/>
  <c r="O17" i="37" s="1"/>
  <c r="A19" i="37"/>
  <c r="A20" i="37" s="1"/>
  <c r="A21" i="37" s="1"/>
  <c r="A22" i="37" s="1"/>
  <c r="A23" i="37" s="1"/>
  <c r="A25" i="37" s="1"/>
  <c r="A26" i="37" s="1"/>
  <c r="A27" i="37" s="1"/>
  <c r="A29" i="37" s="1"/>
  <c r="K19" i="37"/>
  <c r="O19" i="37" s="1"/>
  <c r="K20" i="37"/>
  <c r="O20" i="37" s="1"/>
  <c r="K21" i="37"/>
  <c r="O21" i="37" s="1"/>
  <c r="K22" i="37"/>
  <c r="O22" i="37" s="1"/>
  <c r="M23" i="37"/>
  <c r="K25" i="37"/>
  <c r="O25" i="37" s="1"/>
  <c r="Q25" i="37" s="1"/>
  <c r="K26" i="37"/>
  <c r="O26" i="37"/>
  <c r="Q26" i="37" s="1"/>
  <c r="G14" i="38" s="1"/>
  <c r="K14" i="38" s="1"/>
  <c r="K27" i="37"/>
  <c r="O27" i="37" s="1"/>
  <c r="Q27" i="37" s="1"/>
  <c r="G15" i="38" s="1"/>
  <c r="K15" i="38" s="1"/>
  <c r="K29" i="37"/>
  <c r="O29" i="37" s="1"/>
  <c r="Q29" i="37" s="1"/>
  <c r="G16" i="38" s="1"/>
  <c r="K16" i="38" s="1"/>
  <c r="A34" i="37"/>
  <c r="A36" i="37" s="1"/>
  <c r="A37" i="37" s="1"/>
  <c r="A38" i="37" s="1"/>
  <c r="A39" i="37" s="1"/>
  <c r="K34" i="37"/>
  <c r="O34" i="37" s="1"/>
  <c r="K36" i="37"/>
  <c r="O36" i="37" s="1"/>
  <c r="K37" i="37"/>
  <c r="O37" i="37" s="1"/>
  <c r="K38" i="37"/>
  <c r="O38" i="37" s="1"/>
  <c r="K39" i="37"/>
  <c r="O39" i="37" s="1"/>
  <c r="A40" i="37"/>
  <c r="A41" i="37" s="1"/>
  <c r="A42" i="37" s="1"/>
  <c r="A44" i="37" s="1"/>
  <c r="A45" i="37" s="1"/>
  <c r="A46" i="37" s="1"/>
  <c r="A48" i="37" s="1"/>
  <c r="A50" i="37" s="1"/>
  <c r="A53" i="37" s="1"/>
  <c r="A54" i="37" s="1"/>
  <c r="A55" i="37" s="1"/>
  <c r="A57" i="37" s="1"/>
  <c r="A58" i="37" s="1"/>
  <c r="A59" i="37" s="1"/>
  <c r="A61" i="37" s="1"/>
  <c r="A63" i="37" s="1"/>
  <c r="A66" i="37" s="1"/>
  <c r="A67" i="37" s="1"/>
  <c r="A69" i="37" s="1"/>
  <c r="A70" i="37" s="1"/>
  <c r="A71" i="37" s="1"/>
  <c r="A73" i="37" s="1"/>
  <c r="A74" i="37" s="1"/>
  <c r="A75" i="37" s="1"/>
  <c r="A77" i="37" s="1"/>
  <c r="A79" i="37" s="1"/>
  <c r="A82" i="37" s="1"/>
  <c r="A83" i="37" s="1"/>
  <c r="A85" i="37" s="1"/>
  <c r="A86" i="37" s="1"/>
  <c r="A87" i="37" s="1"/>
  <c r="A89" i="37" s="1"/>
  <c r="A90" i="37" s="1"/>
  <c r="A91" i="37" s="1"/>
  <c r="A93" i="37" s="1"/>
  <c r="A95" i="37" s="1"/>
  <c r="A113" i="37" s="1"/>
  <c r="A115" i="37" s="1"/>
  <c r="A117" i="37" s="1"/>
  <c r="A119" i="37" s="1"/>
  <c r="A123" i="37" s="1"/>
  <c r="A125" i="37" s="1"/>
  <c r="A126" i="37" s="1"/>
  <c r="A127" i="37" s="1"/>
  <c r="A128" i="37" s="1"/>
  <c r="A131" i="37" s="1"/>
  <c r="A133" i="37" s="1"/>
  <c r="A134" i="37" s="1"/>
  <c r="A135" i="37" s="1"/>
  <c r="A136" i="37" s="1"/>
  <c r="A138" i="37" s="1"/>
  <c r="A139" i="37" s="1"/>
  <c r="A140" i="37" s="1"/>
  <c r="A142" i="37" s="1"/>
  <c r="A144" i="37" s="1"/>
  <c r="A146" i="37" s="1"/>
  <c r="A149" i="37" s="1"/>
  <c r="A150" i="37" s="1"/>
  <c r="A152" i="37" s="1"/>
  <c r="A153" i="37" s="1"/>
  <c r="A154" i="37" s="1"/>
  <c r="A155" i="37" s="1"/>
  <c r="A157" i="37" s="1"/>
  <c r="A158" i="37" s="1"/>
  <c r="A159" i="37" s="1"/>
  <c r="A161" i="37" s="1"/>
  <c r="A163" i="37" s="1"/>
  <c r="A165" i="37" s="1"/>
  <c r="A168" i="37" s="1"/>
  <c r="A169" i="37" s="1"/>
  <c r="A171" i="37" s="1"/>
  <c r="A172" i="37" s="1"/>
  <c r="A173" i="37" s="1"/>
  <c r="A175" i="37" s="1"/>
  <c r="A176" i="37" s="1"/>
  <c r="A177" i="37" s="1"/>
  <c r="A179" i="37" s="1"/>
  <c r="A181" i="37" s="1"/>
  <c r="A183" i="37" s="1"/>
  <c r="A186" i="37" s="1"/>
  <c r="A187" i="37" s="1"/>
  <c r="A188" i="37" s="1"/>
  <c r="A190" i="37" s="1"/>
  <c r="A191" i="37" s="1"/>
  <c r="A192" i="37" s="1"/>
  <c r="A194" i="37" s="1"/>
  <c r="A196" i="37" s="1"/>
  <c r="A198" i="37" s="1"/>
  <c r="A214" i="37" s="1"/>
  <c r="A216" i="37" s="1"/>
  <c r="A217" i="37" s="1"/>
  <c r="A218" i="37" s="1"/>
  <c r="A219" i="37" s="1"/>
  <c r="A220" i="37" s="1"/>
  <c r="A221" i="37" s="1"/>
  <c r="A223" i="37" s="1"/>
  <c r="A224" i="37" s="1"/>
  <c r="A225" i="37" s="1"/>
  <c r="A227" i="37" s="1"/>
  <c r="A228" i="37" s="1"/>
  <c r="A229" i="37" s="1"/>
  <c r="A231" i="37" s="1"/>
  <c r="A232" i="37" s="1"/>
  <c r="A233" i="37" s="1"/>
  <c r="A235" i="37" s="1"/>
  <c r="A238" i="37" s="1"/>
  <c r="A240" i="37" s="1"/>
  <c r="A241" i="37" s="1"/>
  <c r="A242" i="37" s="1"/>
  <c r="A243" i="37" s="1"/>
  <c r="A244" i="37" s="1"/>
  <c r="A245" i="37" s="1"/>
  <c r="A247" i="37" s="1"/>
  <c r="A248" i="37" s="1"/>
  <c r="A249" i="37" s="1"/>
  <c r="A251" i="37" s="1"/>
  <c r="A252" i="37" s="1"/>
  <c r="A253" i="37" s="1"/>
  <c r="A255" i="37" s="1"/>
  <c r="A256" i="37" s="1"/>
  <c r="A257" i="37" s="1"/>
  <c r="A259" i="37" s="1"/>
  <c r="A262" i="37" s="1"/>
  <c r="A264" i="37" s="1"/>
  <c r="A265" i="37" s="1"/>
  <c r="A266" i="37" s="1"/>
  <c r="A268" i="37" s="1"/>
  <c r="A269" i="37" s="1"/>
  <c r="A270" i="37" s="1"/>
  <c r="A272" i="37" s="1"/>
  <c r="A274" i="37" s="1"/>
  <c r="A277" i="37" s="1"/>
  <c r="A278" i="37" s="1"/>
  <c r="A279" i="37" s="1"/>
  <c r="A282" i="37" s="1"/>
  <c r="A283" i="37" s="1"/>
  <c r="A284" i="37" s="1"/>
  <c r="A286" i="37" s="1"/>
  <c r="A287" i="37" s="1"/>
  <c r="A288" i="37" s="1"/>
  <c r="A291" i="37" s="1"/>
  <c r="A292" i="37" s="1"/>
  <c r="A293" i="37" s="1"/>
  <c r="A295" i="37" s="1"/>
  <c r="A296" i="37" s="1"/>
  <c r="A297" i="37" s="1"/>
  <c r="A299" i="37" s="1"/>
  <c r="A314" i="37" s="1"/>
  <c r="A315" i="37" s="1"/>
  <c r="A317" i="37" s="1"/>
  <c r="A319" i="37" s="1"/>
  <c r="A321" i="37" s="1"/>
  <c r="A323" i="37" s="1"/>
  <c r="A324" i="37" s="1"/>
  <c r="A325" i="37" s="1"/>
  <c r="A327" i="37" s="1"/>
  <c r="A330" i="37" s="1"/>
  <c r="A331" i="37" s="1"/>
  <c r="A332" i="37" s="1"/>
  <c r="A334" i="37" s="1"/>
  <c r="A336" i="37" s="1"/>
  <c r="A339" i="37" s="1"/>
  <c r="A340" i="37" s="1"/>
  <c r="A344" i="37" s="1"/>
  <c r="A345" i="37" s="1"/>
  <c r="A347" i="37" s="1"/>
  <c r="A348" i="37" s="1"/>
  <c r="A351" i="37" s="1"/>
  <c r="A352" i="37" s="1"/>
  <c r="A354" i="37" s="1"/>
  <c r="A357" i="37" s="1"/>
  <c r="A359" i="37" s="1"/>
  <c r="A360" i="37" s="1"/>
  <c r="A361" i="37" s="1"/>
  <c r="A362" i="37" s="1"/>
  <c r="A364" i="37" s="1"/>
  <c r="A366" i="37" s="1"/>
  <c r="A368" i="37" s="1"/>
  <c r="A371" i="37" s="1"/>
  <c r="A373" i="37" s="1"/>
  <c r="A374" i="37" s="1"/>
  <c r="A375" i="37" s="1"/>
  <c r="A376" i="37" s="1"/>
  <c r="A377" i="37" s="1"/>
  <c r="A379" i="37" s="1"/>
  <c r="A381" i="37" s="1"/>
  <c r="A383" i="37" s="1"/>
  <c r="A403" i="37" s="1"/>
  <c r="A404" i="37" s="1"/>
  <c r="A405" i="37" s="1"/>
  <c r="A406" i="37" s="1"/>
  <c r="A408" i="37" s="1"/>
  <c r="A409" i="37" s="1"/>
  <c r="A410" i="37" s="1"/>
  <c r="A412" i="37" s="1"/>
  <c r="A413" i="37" s="1"/>
  <c r="A416" i="37" s="1"/>
  <c r="A417" i="37" s="1"/>
  <c r="A419" i="37" s="1"/>
  <c r="A421" i="37" s="1"/>
  <c r="A422" i="37" s="1"/>
  <c r="A424" i="37" s="1"/>
  <c r="A428" i="37" s="1"/>
  <c r="A429" i="37" s="1"/>
  <c r="A431" i="37" s="1"/>
  <c r="A434" i="37" s="1"/>
  <c r="A440" i="37" s="1"/>
  <c r="A442" i="37" s="1"/>
  <c r="A443" i="37" s="1"/>
  <c r="A444" i="37" s="1"/>
  <c r="A446" i="37" s="1"/>
  <c r="A447" i="37" s="1"/>
  <c r="A449" i="37" s="1"/>
  <c r="A453" i="37" s="1"/>
  <c r="A454" i="37" s="1"/>
  <c r="A456" i="37" s="1"/>
  <c r="A458" i="37" s="1"/>
  <c r="A459" i="37" s="1"/>
  <c r="A461" i="37" s="1"/>
  <c r="A463" i="37" s="1"/>
  <c r="A465" i="37" s="1"/>
  <c r="A468" i="37" s="1"/>
  <c r="A469" i="37" s="1"/>
  <c r="A471" i="37" s="1"/>
  <c r="A473" i="37" s="1"/>
  <c r="A491" i="37" s="1"/>
  <c r="A494" i="37" s="1"/>
  <c r="A495" i="37" s="1"/>
  <c r="A497" i="37" s="1"/>
  <c r="A498" i="37" s="1"/>
  <c r="A500" i="37" s="1"/>
  <c r="A501" i="37" s="1"/>
  <c r="A503" i="37" s="1"/>
  <c r="A504" i="37" s="1"/>
  <c r="A508" i="37" s="1"/>
  <c r="A510" i="37" s="1"/>
  <c r="A511" i="37" s="1"/>
  <c r="A512" i="37" s="1"/>
  <c r="A513" i="37" s="1"/>
  <c r="A515" i="37" s="1"/>
  <c r="A517" i="37" s="1"/>
  <c r="A518" i="37" s="1"/>
  <c r="A520" i="37" s="1"/>
  <c r="A523" i="37" s="1"/>
  <c r="A526" i="37" s="1"/>
  <c r="A527" i="37" s="1"/>
  <c r="A529" i="37" s="1"/>
  <c r="A530" i="37" s="1"/>
  <c r="A532" i="37" s="1"/>
  <c r="A533" i="37" s="1"/>
  <c r="A535" i="37" s="1"/>
  <c r="A536" i="37" s="1"/>
  <c r="A540" i="37" s="1"/>
  <c r="A542" i="37" s="1"/>
  <c r="A543" i="37" s="1"/>
  <c r="A544" i="37" s="1"/>
  <c r="A545" i="37" s="1"/>
  <c r="A547" i="37" s="1"/>
  <c r="A549" i="37" s="1"/>
  <c r="A550" i="37" s="1"/>
  <c r="A552" i="37" s="1"/>
  <c r="A555" i="37" s="1"/>
  <c r="A557" i="37" s="1"/>
  <c r="A558" i="37" s="1"/>
  <c r="A560" i="37" s="1"/>
  <c r="A561" i="37" s="1"/>
  <c r="A565" i="37" s="1"/>
  <c r="A567" i="37" s="1"/>
  <c r="A568" i="37" s="1"/>
  <c r="A569" i="37" s="1"/>
  <c r="A570" i="37" s="1"/>
  <c r="A572" i="37" s="1"/>
  <c r="A574" i="37" s="1"/>
  <c r="A575" i="37" s="1"/>
  <c r="A577" i="37" s="1"/>
  <c r="A580" i="37" s="1"/>
  <c r="K40" i="37"/>
  <c r="O40" i="37" s="1"/>
  <c r="K41" i="37"/>
  <c r="O41" i="37" s="1"/>
  <c r="M42" i="37"/>
  <c r="K44" i="37"/>
  <c r="O44" i="37" s="1"/>
  <c r="Q44" i="37" s="1"/>
  <c r="K45" i="37"/>
  <c r="O45" i="37" s="1"/>
  <c r="Q45" i="37" s="1"/>
  <c r="G21" i="38" s="1"/>
  <c r="K21" i="38" s="1"/>
  <c r="K46" i="37"/>
  <c r="O46" i="37" s="1"/>
  <c r="Q46" i="37" s="1"/>
  <c r="G22" i="38" s="1"/>
  <c r="K22" i="38" s="1"/>
  <c r="K48" i="37"/>
  <c r="O48" i="37" s="1"/>
  <c r="Q48" i="37" s="1"/>
  <c r="G23" i="38" s="1"/>
  <c r="K23" i="38" s="1"/>
  <c r="K53" i="37"/>
  <c r="O53" i="37" s="1"/>
  <c r="K54" i="37"/>
  <c r="O54" i="37" s="1"/>
  <c r="K55" i="37"/>
  <c r="O55" i="37" s="1"/>
  <c r="Q55" i="37" s="1"/>
  <c r="G28" i="38" s="1"/>
  <c r="K28" i="38" s="1"/>
  <c r="K57" i="37"/>
  <c r="O57" i="37" s="1"/>
  <c r="Q57" i="37" s="1"/>
  <c r="K58" i="37"/>
  <c r="O58" i="37" s="1"/>
  <c r="Q58" i="37" s="1"/>
  <c r="G29" i="38" s="1"/>
  <c r="K29" i="38" s="1"/>
  <c r="K59" i="37"/>
  <c r="O59" i="37" s="1"/>
  <c r="Q59" i="37" s="1"/>
  <c r="G30" i="38" s="1"/>
  <c r="K30" i="38" s="1"/>
  <c r="K61" i="37"/>
  <c r="O61" i="37" s="1"/>
  <c r="Q61" i="37" s="1"/>
  <c r="G31" i="38" s="1"/>
  <c r="K31" i="38" s="1"/>
  <c r="K66" i="37"/>
  <c r="O66" i="37" s="1"/>
  <c r="K67" i="37"/>
  <c r="O67" i="37" s="1"/>
  <c r="K69" i="37"/>
  <c r="O69" i="37" s="1"/>
  <c r="K70" i="37"/>
  <c r="O70" i="37" s="1"/>
  <c r="M71" i="37"/>
  <c r="K73" i="37"/>
  <c r="O73" i="37" s="1"/>
  <c r="Q73" i="37" s="1"/>
  <c r="K74" i="37"/>
  <c r="O74" i="37" s="1"/>
  <c r="Q74" i="37" s="1"/>
  <c r="G37" i="38" s="1"/>
  <c r="K37" i="38" s="1"/>
  <c r="K75" i="37"/>
  <c r="O75" i="37"/>
  <c r="Q75" i="37" s="1"/>
  <c r="G38" i="38" s="1"/>
  <c r="K38" i="38" s="1"/>
  <c r="K77" i="37"/>
  <c r="O77" i="37" s="1"/>
  <c r="Q77" i="37" s="1"/>
  <c r="G39" i="38" s="1"/>
  <c r="K39" i="38" s="1"/>
  <c r="K82" i="37"/>
  <c r="O82" i="37" s="1"/>
  <c r="K83" i="37"/>
  <c r="O83" i="37" s="1"/>
  <c r="K85" i="37"/>
  <c r="O85" i="37" s="1"/>
  <c r="K86" i="37"/>
  <c r="O86" i="37" s="1"/>
  <c r="M87" i="37"/>
  <c r="K89" i="37"/>
  <c r="O89" i="37" s="1"/>
  <c r="Q89" i="37" s="1"/>
  <c r="K90" i="37"/>
  <c r="O90" i="37" s="1"/>
  <c r="Q90" i="37" s="1"/>
  <c r="G45" i="38" s="1"/>
  <c r="K45" i="38" s="1"/>
  <c r="K91" i="37"/>
  <c r="O91" i="37" s="1"/>
  <c r="Q91" i="37" s="1"/>
  <c r="G46" i="38" s="1"/>
  <c r="K46" i="38" s="1"/>
  <c r="K93" i="37"/>
  <c r="O93" i="37" s="1"/>
  <c r="Q93" i="37" s="1"/>
  <c r="G47" i="38" s="1"/>
  <c r="K47" i="38" s="1"/>
  <c r="K113" i="37"/>
  <c r="O113" i="37" s="1"/>
  <c r="K115" i="37"/>
  <c r="O115" i="37" s="1"/>
  <c r="K117" i="37"/>
  <c r="O117" i="37" s="1"/>
  <c r="Q117" i="37" s="1"/>
  <c r="K123" i="37"/>
  <c r="O123" i="37" s="1"/>
  <c r="K125" i="37"/>
  <c r="O125" i="37" s="1"/>
  <c r="K126" i="37"/>
  <c r="O126" i="37" s="1"/>
  <c r="K127" i="37"/>
  <c r="O127" i="37" s="1"/>
  <c r="M128" i="37"/>
  <c r="K131" i="37"/>
  <c r="O131" i="37" s="1"/>
  <c r="K133" i="37"/>
  <c r="O133" i="37" s="1"/>
  <c r="K134" i="37"/>
  <c r="O134" i="37" s="1"/>
  <c r="K135" i="37"/>
  <c r="O135" i="37" s="1"/>
  <c r="M136" i="37"/>
  <c r="K138" i="37"/>
  <c r="O138" i="37" s="1"/>
  <c r="Q138" i="37" s="1"/>
  <c r="K139" i="37"/>
  <c r="O139" i="37" s="1"/>
  <c r="Q139" i="37" s="1"/>
  <c r="G62" i="38" s="1"/>
  <c r="K62" i="38" s="1"/>
  <c r="K140" i="37"/>
  <c r="O140" i="37" s="1"/>
  <c r="Q140" i="37" s="1"/>
  <c r="G63" i="38" s="1"/>
  <c r="K63" i="38" s="1"/>
  <c r="K142" i="37"/>
  <c r="O142" i="37" s="1"/>
  <c r="Q142" i="37" s="1"/>
  <c r="G64" i="38" s="1"/>
  <c r="K64" i="38" s="1"/>
  <c r="K144" i="37"/>
  <c r="O144" i="37" s="1"/>
  <c r="Q144" i="37" s="1"/>
  <c r="K149" i="37"/>
  <c r="O149" i="37" s="1"/>
  <c r="K150" i="37"/>
  <c r="O150" i="37" s="1"/>
  <c r="K152" i="37"/>
  <c r="O152" i="37" s="1"/>
  <c r="K153" i="37"/>
  <c r="O153" i="37" s="1"/>
  <c r="K154" i="37"/>
  <c r="O154" i="37" s="1"/>
  <c r="M155" i="37"/>
  <c r="K157" i="37"/>
  <c r="O157" i="37" s="1"/>
  <c r="Q157" i="37" s="1"/>
  <c r="K158" i="37"/>
  <c r="O158" i="37" s="1"/>
  <c r="Q158" i="37" s="1"/>
  <c r="G70" i="38" s="1"/>
  <c r="K70" i="38" s="1"/>
  <c r="K159" i="37"/>
  <c r="O159" i="37" s="1"/>
  <c r="Q159" i="37" s="1"/>
  <c r="G71" i="38" s="1"/>
  <c r="K71" i="38" s="1"/>
  <c r="K161" i="37"/>
  <c r="O161" i="37" s="1"/>
  <c r="Q161" i="37" s="1"/>
  <c r="G72" i="38" s="1"/>
  <c r="K72" i="38" s="1"/>
  <c r="K163" i="37"/>
  <c r="O163" i="37" s="1"/>
  <c r="Q163" i="37" s="1"/>
  <c r="K168" i="37"/>
  <c r="O168" i="37" s="1"/>
  <c r="K169" i="37"/>
  <c r="O169" i="37" s="1"/>
  <c r="K171" i="37"/>
  <c r="O171" i="37" s="1"/>
  <c r="K172" i="37"/>
  <c r="O172" i="37" s="1"/>
  <c r="M173" i="37"/>
  <c r="K175" i="37"/>
  <c r="O175" i="37" s="1"/>
  <c r="Q175" i="37" s="1"/>
  <c r="K176" i="37"/>
  <c r="O176" i="37" s="1"/>
  <c r="Q176" i="37" s="1"/>
  <c r="G78" i="38" s="1"/>
  <c r="K78" i="38" s="1"/>
  <c r="K177" i="37"/>
  <c r="O177" i="37" s="1"/>
  <c r="Q177" i="37" s="1"/>
  <c r="G79" i="38" s="1"/>
  <c r="K79" i="38" s="1"/>
  <c r="K179" i="37"/>
  <c r="O179" i="37" s="1"/>
  <c r="Q179" i="37" s="1"/>
  <c r="G80" i="38" s="1"/>
  <c r="K80" i="38" s="1"/>
  <c r="K181" i="37"/>
  <c r="O181" i="37" s="1"/>
  <c r="Q181" i="37" s="1"/>
  <c r="K186" i="37"/>
  <c r="M186" i="37"/>
  <c r="K187" i="37"/>
  <c r="O187" i="37" s="1"/>
  <c r="Q187" i="37" s="1"/>
  <c r="K188" i="37"/>
  <c r="O188" i="37" s="1"/>
  <c r="Q188" i="37" s="1"/>
  <c r="K190" i="37"/>
  <c r="O190" i="37" s="1"/>
  <c r="Q190" i="37" s="1"/>
  <c r="K191" i="37"/>
  <c r="O191" i="37" s="1"/>
  <c r="Q191" i="37" s="1"/>
  <c r="G100" i="38" s="1"/>
  <c r="K100" i="38" s="1"/>
  <c r="K192" i="37"/>
  <c r="O192" i="37" s="1"/>
  <c r="Q192" i="37" s="1"/>
  <c r="G101" i="38" s="1"/>
  <c r="K101" i="38" s="1"/>
  <c r="K194" i="37"/>
  <c r="O194" i="37" s="1"/>
  <c r="Q194" i="37" s="1"/>
  <c r="G102" i="38" s="1"/>
  <c r="K102" i="38" s="1"/>
  <c r="K196" i="37"/>
  <c r="O196" i="37" s="1"/>
  <c r="Q196" i="37" s="1"/>
  <c r="K214" i="37"/>
  <c r="O214" i="37" s="1"/>
  <c r="K216" i="37"/>
  <c r="O216" i="37" s="1"/>
  <c r="K217" i="37"/>
  <c r="O217" i="37" s="1"/>
  <c r="K218" i="37"/>
  <c r="O218" i="37" s="1"/>
  <c r="K219" i="37"/>
  <c r="O219" i="37" s="1"/>
  <c r="K220" i="37"/>
  <c r="O220" i="37" s="1"/>
  <c r="M221" i="37"/>
  <c r="K223" i="37"/>
  <c r="O223" i="37" s="1"/>
  <c r="K224" i="37"/>
  <c r="O224" i="37" s="1"/>
  <c r="Q224" i="37" s="1"/>
  <c r="G112" i="38" s="1"/>
  <c r="K112" i="38" s="1"/>
  <c r="M225" i="37"/>
  <c r="K227" i="37"/>
  <c r="O227" i="37" s="1"/>
  <c r="K228" i="37"/>
  <c r="O228" i="37" s="1"/>
  <c r="Q228" i="37" s="1"/>
  <c r="G115" i="38" s="1"/>
  <c r="K115" i="38" s="1"/>
  <c r="M229" i="37"/>
  <c r="K231" i="37"/>
  <c r="O231" i="37" s="1"/>
  <c r="Q231" i="37" s="1"/>
  <c r="G117" i="38" s="1"/>
  <c r="K117" i="38" s="1"/>
  <c r="K232" i="37"/>
  <c r="O232" i="37" s="1"/>
  <c r="Q232" i="37" s="1"/>
  <c r="G118" i="38" s="1"/>
  <c r="K118" i="38" s="1"/>
  <c r="M233" i="37"/>
  <c r="K238" i="37"/>
  <c r="O238" i="37" s="1"/>
  <c r="K240" i="37"/>
  <c r="O240" i="37" s="1"/>
  <c r="K241" i="37"/>
  <c r="O241" i="37" s="1"/>
  <c r="K242" i="37"/>
  <c r="O242" i="37" s="1"/>
  <c r="K243" i="37"/>
  <c r="O243" i="37" s="1"/>
  <c r="K244" i="37"/>
  <c r="O244" i="37" s="1"/>
  <c r="M245" i="37"/>
  <c r="K247" i="37"/>
  <c r="O247" i="37" s="1"/>
  <c r="K248" i="37"/>
  <c r="O248" i="37" s="1"/>
  <c r="Q248" i="37" s="1"/>
  <c r="G125" i="38" s="1"/>
  <c r="K125" i="38" s="1"/>
  <c r="M249" i="37"/>
  <c r="K251" i="37"/>
  <c r="O251" i="37" s="1"/>
  <c r="K252" i="37"/>
  <c r="O252" i="37" s="1"/>
  <c r="Q252" i="37" s="1"/>
  <c r="G128" i="38" s="1"/>
  <c r="K128" i="38" s="1"/>
  <c r="M253" i="37"/>
  <c r="K255" i="37"/>
  <c r="O255" i="37" s="1"/>
  <c r="K256" i="37"/>
  <c r="O256" i="37" s="1"/>
  <c r="Q256" i="37" s="1"/>
  <c r="G131" i="38" s="1"/>
  <c r="K131" i="38" s="1"/>
  <c r="M257" i="37"/>
  <c r="K262" i="37"/>
  <c r="O262" i="37" s="1"/>
  <c r="K264" i="37"/>
  <c r="O264" i="37" s="1"/>
  <c r="K265" i="37"/>
  <c r="O265" i="37" s="1"/>
  <c r="M266" i="37"/>
  <c r="K268" i="37"/>
  <c r="O268" i="37" s="1"/>
  <c r="K269" i="37"/>
  <c r="O269" i="37" s="1"/>
  <c r="M270" i="37"/>
  <c r="K272" i="37"/>
  <c r="O272" i="37" s="1"/>
  <c r="Q272" i="37" s="1"/>
  <c r="K274" i="37"/>
  <c r="O274" i="37" s="1"/>
  <c r="Q274" i="37" s="1"/>
  <c r="K277" i="37"/>
  <c r="O277" i="37" s="1"/>
  <c r="Q277" i="37" s="1"/>
  <c r="G138" i="38" s="1"/>
  <c r="K138" i="38" s="1"/>
  <c r="K278" i="37"/>
  <c r="O278" i="37" s="1"/>
  <c r="Q278" i="37" s="1"/>
  <c r="G139" i="38" s="1"/>
  <c r="K139" i="38" s="1"/>
  <c r="M279" i="37"/>
  <c r="K282" i="37"/>
  <c r="O282" i="37" s="1"/>
  <c r="K283" i="37"/>
  <c r="O283" i="37" s="1"/>
  <c r="Q283" i="37" s="1"/>
  <c r="G142" i="38" s="1"/>
  <c r="K142" i="38" s="1"/>
  <c r="M284" i="37"/>
  <c r="K286" i="37"/>
  <c r="O286" i="37" s="1"/>
  <c r="Q286" i="37" s="1"/>
  <c r="K287" i="37"/>
  <c r="O287" i="37" s="1"/>
  <c r="M288" i="37"/>
  <c r="K291" i="37"/>
  <c r="O291" i="37" s="1"/>
  <c r="Q291" i="37" s="1"/>
  <c r="K292" i="37"/>
  <c r="O292" i="37" s="1"/>
  <c r="Q292" i="37" s="1"/>
  <c r="M293" i="37"/>
  <c r="K295" i="37"/>
  <c r="O295" i="37" s="1"/>
  <c r="Q295" i="37" s="1"/>
  <c r="G144" i="38" s="1"/>
  <c r="K144" i="38" s="1"/>
  <c r="K296" i="37"/>
  <c r="O296" i="37" s="1"/>
  <c r="M297" i="37"/>
  <c r="K314" i="37"/>
  <c r="O314" i="37" s="1"/>
  <c r="K315" i="37"/>
  <c r="O315" i="37" s="1"/>
  <c r="K317" i="37"/>
  <c r="O317" i="37" s="1"/>
  <c r="K319" i="37"/>
  <c r="O319" i="37" s="1"/>
  <c r="Q319" i="37" s="1"/>
  <c r="K321" i="37"/>
  <c r="O321" i="37" s="1"/>
  <c r="Q321" i="37" s="1"/>
  <c r="K323" i="37"/>
  <c r="O323" i="37" s="1"/>
  <c r="K324" i="37"/>
  <c r="O324" i="37" s="1"/>
  <c r="Q324" i="37" s="1"/>
  <c r="G153" i="38" s="1"/>
  <c r="K153" i="38" s="1"/>
  <c r="M325" i="37"/>
  <c r="K330" i="37"/>
  <c r="O330" i="37" s="1"/>
  <c r="K331" i="37"/>
  <c r="O331" i="37" s="1"/>
  <c r="K332" i="37"/>
  <c r="O332" i="37" s="1"/>
  <c r="Q332" i="37" s="1"/>
  <c r="G158" i="38" s="1"/>
  <c r="K158" i="38" s="1"/>
  <c r="K334" i="37"/>
  <c r="O334" i="37" s="1"/>
  <c r="Q334" i="37" s="1"/>
  <c r="K336" i="37"/>
  <c r="O336" i="37" s="1"/>
  <c r="Q336" i="37" s="1"/>
  <c r="K339" i="37"/>
  <c r="O339" i="37" s="1"/>
  <c r="Q339" i="37" s="1"/>
  <c r="K340" i="37"/>
  <c r="O340" i="37" s="1"/>
  <c r="Q340" i="37" s="1"/>
  <c r="K344" i="37"/>
  <c r="O344" i="37" s="1"/>
  <c r="Q344" i="37" s="1"/>
  <c r="K345" i="37"/>
  <c r="O345" i="37" s="1"/>
  <c r="Q345" i="37" s="1"/>
  <c r="K347" i="37"/>
  <c r="O347" i="37" s="1"/>
  <c r="Q347" i="37" s="1"/>
  <c r="K348" i="37"/>
  <c r="O348" i="37" s="1"/>
  <c r="Q348" i="37" s="1"/>
  <c r="K351" i="37"/>
  <c r="O351" i="37" s="1"/>
  <c r="Q351" i="37" s="1"/>
  <c r="K352" i="37"/>
  <c r="O352" i="37" s="1"/>
  <c r="Q352" i="37" s="1"/>
  <c r="K357" i="37"/>
  <c r="O357" i="37" s="1"/>
  <c r="K359" i="37"/>
  <c r="O359" i="37" s="1"/>
  <c r="K360" i="37"/>
  <c r="O360" i="37" s="1"/>
  <c r="K361" i="37"/>
  <c r="O361" i="37" s="1"/>
  <c r="M362" i="37"/>
  <c r="K364" i="37"/>
  <c r="O364" i="37" s="1"/>
  <c r="Q364" i="37" s="1"/>
  <c r="G166" i="38" s="1"/>
  <c r="K166" i="38" s="1"/>
  <c r="K366" i="37"/>
  <c r="O366" i="37" s="1"/>
  <c r="Q366" i="37" s="1"/>
  <c r="G167" i="38" s="1"/>
  <c r="K167" i="38" s="1"/>
  <c r="K371" i="37"/>
  <c r="O371" i="37" s="1"/>
  <c r="K373" i="37"/>
  <c r="O373" i="37" s="1"/>
  <c r="K374" i="37"/>
  <c r="O374" i="37" s="1"/>
  <c r="K375" i="37"/>
  <c r="O375" i="37" s="1"/>
  <c r="K376" i="37"/>
  <c r="O376" i="37" s="1"/>
  <c r="M377" i="37"/>
  <c r="K379" i="37"/>
  <c r="O379" i="37" s="1"/>
  <c r="Q379" i="37" s="1"/>
  <c r="G172" i="38" s="1"/>
  <c r="K172" i="38" s="1"/>
  <c r="K381" i="37"/>
  <c r="O381" i="37" s="1"/>
  <c r="Q381" i="37" s="1"/>
  <c r="G173" i="38" s="1"/>
  <c r="K173" i="38" s="1"/>
  <c r="K403" i="37"/>
  <c r="O403" i="37" s="1"/>
  <c r="K404" i="37"/>
  <c r="O404" i="37" s="1"/>
  <c r="K405" i="37"/>
  <c r="O405" i="37" s="1"/>
  <c r="M406" i="37"/>
  <c r="K408" i="37"/>
  <c r="O408" i="37" s="1"/>
  <c r="K409" i="37"/>
  <c r="O409" i="37" s="1"/>
  <c r="M410" i="37"/>
  <c r="K412" i="37"/>
  <c r="O412" i="37" s="1"/>
  <c r="Q412" i="37" s="1"/>
  <c r="K413" i="37"/>
  <c r="O413" i="37" s="1"/>
  <c r="Q413" i="37" s="1"/>
  <c r="K416" i="37"/>
  <c r="O416" i="37" s="1"/>
  <c r="Q416" i="37" s="1"/>
  <c r="K417" i="37"/>
  <c r="O417" i="37" s="1"/>
  <c r="Q417" i="37" s="1"/>
  <c r="K419" i="37"/>
  <c r="O419" i="37" s="1"/>
  <c r="Q419" i="37" s="1"/>
  <c r="K421" i="37"/>
  <c r="O421" i="37" s="1"/>
  <c r="Q421" i="37" s="1"/>
  <c r="K422" i="37"/>
  <c r="O422" i="37" s="1"/>
  <c r="Q422" i="37" s="1"/>
  <c r="K428" i="37"/>
  <c r="O428" i="37" s="1"/>
  <c r="Q428" i="37" s="1"/>
  <c r="K429" i="37"/>
  <c r="O429" i="37" s="1"/>
  <c r="Q429" i="37" s="1"/>
  <c r="K431" i="37"/>
  <c r="O431" i="37" s="1"/>
  <c r="Q431" i="37" s="1"/>
  <c r="K434" i="37"/>
  <c r="O434" i="37" s="1"/>
  <c r="Q434" i="37" s="1"/>
  <c r="K440" i="37"/>
  <c r="O440" i="37" s="1"/>
  <c r="Q440" i="37" s="1"/>
  <c r="K442" i="37"/>
  <c r="O442" i="37" s="1"/>
  <c r="Q442" i="37" s="1"/>
  <c r="K443" i="37"/>
  <c r="O443" i="37" s="1"/>
  <c r="Q443" i="37" s="1"/>
  <c r="K444" i="37"/>
  <c r="O444" i="37" s="1"/>
  <c r="Q444" i="37" s="1"/>
  <c r="K446" i="37"/>
  <c r="O446" i="37" s="1"/>
  <c r="Q446" i="37" s="1"/>
  <c r="K447" i="37"/>
  <c r="O447" i="37" s="1"/>
  <c r="Q447" i="37" s="1"/>
  <c r="G199" i="38" s="1"/>
  <c r="K199" i="38" s="1"/>
  <c r="K453" i="37"/>
  <c r="O453" i="37" s="1"/>
  <c r="K454" i="37"/>
  <c r="O454" i="37" s="1"/>
  <c r="Q454" i="37" s="1"/>
  <c r="K456" i="37"/>
  <c r="O456" i="37" s="1"/>
  <c r="Q456" i="37" s="1"/>
  <c r="K459" i="37"/>
  <c r="O459" i="37" s="1"/>
  <c r="Q459" i="37" s="1"/>
  <c r="K461" i="37"/>
  <c r="O461" i="37" s="1"/>
  <c r="Q461" i="37" s="1"/>
  <c r="K463" i="37"/>
  <c r="O463" i="37" s="1"/>
  <c r="Q463" i="37" s="1"/>
  <c r="G206" i="38" s="1"/>
  <c r="K206" i="38" s="1"/>
  <c r="K468" i="37"/>
  <c r="O468" i="37" s="1"/>
  <c r="Q468" i="37" s="1"/>
  <c r="K469" i="37"/>
  <c r="O469" i="37" s="1"/>
  <c r="Q469" i="37" s="1"/>
  <c r="G211" i="38" s="1"/>
  <c r="K211" i="38" s="1"/>
  <c r="K471" i="37"/>
  <c r="O471" i="37" s="1"/>
  <c r="Q471" i="37" s="1"/>
  <c r="G212" i="38" s="1"/>
  <c r="K212" i="38" s="1"/>
  <c r="K491" i="37"/>
  <c r="O491" i="37" s="1"/>
  <c r="Q491" i="37" s="1"/>
  <c r="K494" i="37"/>
  <c r="O494" i="37" s="1"/>
  <c r="K495" i="37"/>
  <c r="O495" i="37" s="1"/>
  <c r="K497" i="37"/>
  <c r="O497" i="37" s="1"/>
  <c r="K498" i="37"/>
  <c r="O498" i="37" s="1"/>
  <c r="K500" i="37"/>
  <c r="O500" i="37" s="1"/>
  <c r="K501" i="37"/>
  <c r="O501" i="37" s="1"/>
  <c r="K503" i="37"/>
  <c r="O503" i="37" s="1"/>
  <c r="K508" i="37"/>
  <c r="O508" i="37" s="1"/>
  <c r="K510" i="37"/>
  <c r="O510" i="37" s="1"/>
  <c r="K511" i="37"/>
  <c r="O511" i="37" s="1"/>
  <c r="K512" i="37"/>
  <c r="O512" i="37" s="1"/>
  <c r="K513" i="37"/>
  <c r="O513" i="37" s="1"/>
  <c r="K515" i="37"/>
  <c r="O515" i="37" s="1"/>
  <c r="K517" i="37"/>
  <c r="O517" i="37" s="1"/>
  <c r="K523" i="37"/>
  <c r="O523" i="37" s="1"/>
  <c r="Q523" i="37" s="1"/>
  <c r="K526" i="37"/>
  <c r="O526" i="37" s="1"/>
  <c r="K527" i="37"/>
  <c r="O527" i="37" s="1"/>
  <c r="K529" i="37"/>
  <c r="O529" i="37" s="1"/>
  <c r="K530" i="37"/>
  <c r="O530" i="37" s="1"/>
  <c r="K532" i="37"/>
  <c r="O532" i="37" s="1"/>
  <c r="K533" i="37"/>
  <c r="O533" i="37" s="1"/>
  <c r="K535" i="37"/>
  <c r="O535" i="37" s="1"/>
  <c r="K540" i="37"/>
  <c r="O540" i="37" s="1"/>
  <c r="K542" i="37"/>
  <c r="O542" i="37" s="1"/>
  <c r="K543" i="37"/>
  <c r="O543" i="37" s="1"/>
  <c r="K544" i="37"/>
  <c r="O544" i="37" s="1"/>
  <c r="K545" i="37"/>
  <c r="O545" i="37" s="1"/>
  <c r="K547" i="37"/>
  <c r="O547" i="37" s="1"/>
  <c r="K549" i="37"/>
  <c r="O549" i="37" s="1"/>
  <c r="K555" i="37"/>
  <c r="O555" i="37" s="1"/>
  <c r="Q555" i="37" s="1"/>
  <c r="K557" i="37"/>
  <c r="O557" i="37" s="1"/>
  <c r="K558" i="37"/>
  <c r="O558" i="37" s="1"/>
  <c r="K560" i="37"/>
  <c r="O560" i="37" s="1"/>
  <c r="K565" i="37"/>
  <c r="O565" i="37" s="1"/>
  <c r="K567" i="37"/>
  <c r="O567" i="37" s="1"/>
  <c r="K568" i="37"/>
  <c r="O568" i="37" s="1"/>
  <c r="K569" i="37"/>
  <c r="O569" i="37" s="1"/>
  <c r="K570" i="37"/>
  <c r="O570" i="37" s="1"/>
  <c r="K572" i="37"/>
  <c r="O572" i="37" s="1"/>
  <c r="K574" i="37"/>
  <c r="O574" i="37" s="1"/>
  <c r="K580" i="37"/>
  <c r="O580" i="37" s="1"/>
  <c r="B14" i="36"/>
  <c r="B15" i="36"/>
  <c r="D23" i="36"/>
  <c r="D31" i="36"/>
  <c r="D44" i="36"/>
  <c r="O23" i="37" l="1"/>
  <c r="Q115" i="37"/>
  <c r="G238" i="38"/>
  <c r="G235" i="38"/>
  <c r="K235" i="38" s="1"/>
  <c r="G221" i="38"/>
  <c r="G198" i="38"/>
  <c r="K198" i="38" s="1"/>
  <c r="G146" i="38"/>
  <c r="K146" i="38" s="1"/>
  <c r="G204" i="38"/>
  <c r="K204" i="38" s="1"/>
  <c r="Q169" i="37"/>
  <c r="G76" i="38" s="1"/>
  <c r="G227" i="38"/>
  <c r="K227" i="38" s="1"/>
  <c r="O186" i="37"/>
  <c r="Q23" i="37"/>
  <c r="G13" i="38" s="1"/>
  <c r="O229" i="37"/>
  <c r="Q227" i="37"/>
  <c r="G114" i="38" s="1"/>
  <c r="K114" i="38" s="1"/>
  <c r="O297" i="37"/>
  <c r="Q128" i="37"/>
  <c r="G57" i="38" s="1"/>
  <c r="O146" i="37"/>
  <c r="G242" i="38"/>
  <c r="K242" i="38" s="1"/>
  <c r="Q580" i="37"/>
  <c r="G217" i="38"/>
  <c r="K217" i="38" s="1"/>
  <c r="Q136" i="37"/>
  <c r="G60" i="38" s="1"/>
  <c r="K60" i="38" s="1"/>
  <c r="O87" i="37"/>
  <c r="G205" i="38"/>
  <c r="K205" i="38" s="1"/>
  <c r="O279" i="37"/>
  <c r="O245" i="37"/>
  <c r="Q245" i="37" s="1"/>
  <c r="Q561" i="37"/>
  <c r="O270" i="37"/>
  <c r="Q550" i="37"/>
  <c r="O128" i="37"/>
  <c r="Q87" i="37"/>
  <c r="M17" i="42"/>
  <c r="M30" i="42"/>
  <c r="M34" i="42"/>
  <c r="M42" i="42"/>
  <c r="M16" i="42"/>
  <c r="M20" i="42"/>
  <c r="M24" i="42"/>
  <c r="M29" i="42"/>
  <c r="M43" i="42"/>
  <c r="M33" i="42"/>
  <c r="M41" i="42"/>
  <c r="M19" i="42"/>
  <c r="M28" i="42"/>
  <c r="M27" i="42"/>
  <c r="M32" i="42"/>
  <c r="M36" i="42"/>
  <c r="M40" i="42"/>
  <c r="M31" i="42"/>
  <c r="M18" i="42"/>
  <c r="M44" i="42"/>
  <c r="M26" i="42"/>
  <c r="M35" i="42"/>
  <c r="D32" i="44"/>
  <c r="J32" i="44" s="1"/>
  <c r="N32" i="44" s="1"/>
  <c r="J31" i="44"/>
  <c r="N31" i="44" s="1"/>
  <c r="K20" i="41"/>
  <c r="Q20" i="41" s="1"/>
  <c r="D20" i="43" s="1"/>
  <c r="G20" i="43" s="1"/>
  <c r="D24" i="44" s="1"/>
  <c r="K22" i="41"/>
  <c r="Q22" i="41" s="1"/>
  <c r="D22" i="43" s="1"/>
  <c r="G22" i="43" s="1"/>
  <c r="D29" i="44" s="1"/>
  <c r="J29" i="44" s="1"/>
  <c r="N29" i="44" s="1"/>
  <c r="K24" i="41"/>
  <c r="Q24" i="41" s="1"/>
  <c r="D24" i="43" s="1"/>
  <c r="G24" i="43" s="1"/>
  <c r="D34" i="44" s="1"/>
  <c r="K26" i="41"/>
  <c r="Q26" i="41" s="1"/>
  <c r="D26" i="43" s="1"/>
  <c r="L44" i="39"/>
  <c r="K25" i="41"/>
  <c r="Q25" i="41" s="1"/>
  <c r="D25" i="43" s="1"/>
  <c r="G25" i="43" s="1"/>
  <c r="D37" i="44" s="1"/>
  <c r="J37" i="44" s="1"/>
  <c r="N37" i="44" s="1"/>
  <c r="Q46" i="42"/>
  <c r="S37" i="42"/>
  <c r="J21" i="44"/>
  <c r="N21" i="44" s="1"/>
  <c r="D22" i="44"/>
  <c r="J22" i="44" s="1"/>
  <c r="N22" i="44" s="1"/>
  <c r="O48" i="42"/>
  <c r="J50" i="40"/>
  <c r="J54" i="40" s="1"/>
  <c r="J56" i="40" s="1"/>
  <c r="S46" i="42"/>
  <c r="L58" i="39"/>
  <c r="L23" i="39"/>
  <c r="S21" i="42"/>
  <c r="M45" i="42"/>
  <c r="Q21" i="42"/>
  <c r="K16" i="41"/>
  <c r="Q16" i="41" s="1"/>
  <c r="K17" i="41"/>
  <c r="Q17" i="41" s="1"/>
  <c r="D17" i="43" s="1"/>
  <c r="G17" i="43" s="1"/>
  <c r="D16" i="44" s="1"/>
  <c r="J16" i="44" s="1"/>
  <c r="N16" i="44" s="1"/>
  <c r="H58" i="39"/>
  <c r="H23" i="39"/>
  <c r="M25" i="42"/>
  <c r="K18" i="41"/>
  <c r="Q18" i="41" s="1"/>
  <c r="D18" i="43" s="1"/>
  <c r="G18" i="43" s="1"/>
  <c r="D18" i="44" s="1"/>
  <c r="Q575" i="37"/>
  <c r="O577" i="37"/>
  <c r="G236" i="38"/>
  <c r="Q83" i="37"/>
  <c r="O95" i="37"/>
  <c r="G210" i="38"/>
  <c r="Q473" i="37"/>
  <c r="F39" i="36" s="1"/>
  <c r="Q251" i="37"/>
  <c r="G127" i="38" s="1"/>
  <c r="K127" i="38" s="1"/>
  <c r="O253" i="37"/>
  <c r="G196" i="38"/>
  <c r="Q449" i="37"/>
  <c r="F37" i="36" s="1"/>
  <c r="Q317" i="37"/>
  <c r="O327" i="37"/>
  <c r="G98" i="38"/>
  <c r="Q198" i="37"/>
  <c r="F22" i="36" s="1"/>
  <c r="Q266" i="37"/>
  <c r="O299" i="37"/>
  <c r="O552" i="37"/>
  <c r="Q536" i="37"/>
  <c r="Q504" i="37"/>
  <c r="G218" i="38"/>
  <c r="K218" i="38" s="1"/>
  <c r="O410" i="37"/>
  <c r="Q410" i="37"/>
  <c r="G190" i="38" s="1"/>
  <c r="K190" i="38" s="1"/>
  <c r="O221" i="37"/>
  <c r="Q221" i="37" s="1"/>
  <c r="O257" i="37"/>
  <c r="Q255" i="37"/>
  <c r="G130" i="38" s="1"/>
  <c r="K130" i="38" s="1"/>
  <c r="F43" i="36"/>
  <c r="G237" i="38"/>
  <c r="O465" i="37"/>
  <c r="Q453" i="37"/>
  <c r="G197" i="38"/>
  <c r="K197" i="38" s="1"/>
  <c r="G192" i="38"/>
  <c r="K192" i="38" s="1"/>
  <c r="O354" i="37"/>
  <c r="O325" i="37"/>
  <c r="Q323" i="37"/>
  <c r="G152" i="38" s="1"/>
  <c r="K152" i="38" s="1"/>
  <c r="Q315" i="37"/>
  <c r="O183" i="37"/>
  <c r="O63" i="37"/>
  <c r="G228" i="38"/>
  <c r="O473" i="37"/>
  <c r="Q150" i="37"/>
  <c r="O165" i="37"/>
  <c r="B16" i="36"/>
  <c r="G225" i="38"/>
  <c r="O293" i="37"/>
  <c r="Q287" i="37"/>
  <c r="O288" i="37"/>
  <c r="O233" i="37"/>
  <c r="O198" i="37"/>
  <c r="G51" i="38"/>
  <c r="Q119" i="37"/>
  <c r="F18" i="36" s="1"/>
  <c r="O79" i="37"/>
  <c r="Q67" i="37"/>
  <c r="O406" i="37"/>
  <c r="Q406" i="37"/>
  <c r="O424" i="37"/>
  <c r="O449" i="37"/>
  <c r="O249" i="37"/>
  <c r="Q247" i="37"/>
  <c r="G124" i="38" s="1"/>
  <c r="K124" i="38" s="1"/>
  <c r="G229" i="38"/>
  <c r="G234" i="38"/>
  <c r="G230" i="38"/>
  <c r="G226" i="38"/>
  <c r="K226" i="38" s="1"/>
  <c r="G219" i="38"/>
  <c r="Q518" i="37"/>
  <c r="G191" i="38"/>
  <c r="K191" i="38" s="1"/>
  <c r="O284" i="37"/>
  <c r="Q282" i="37"/>
  <c r="G141" i="38" s="1"/>
  <c r="K141" i="38" s="1"/>
  <c r="O266" i="37"/>
  <c r="O42" i="37"/>
  <c r="O520" i="37"/>
  <c r="O377" i="37"/>
  <c r="O362" i="37"/>
  <c r="O368" i="37" s="1"/>
  <c r="Q331" i="37"/>
  <c r="Q296" i="37"/>
  <c r="G145" i="38" s="1"/>
  <c r="K145" i="38" s="1"/>
  <c r="O225" i="37"/>
  <c r="Q223" i="37"/>
  <c r="G111" i="38" s="1"/>
  <c r="K111" i="38" s="1"/>
  <c r="G216" i="38"/>
  <c r="O155" i="37"/>
  <c r="Q155" i="37"/>
  <c r="G69" i="38" s="1"/>
  <c r="K69" i="38" s="1"/>
  <c r="O119" i="37"/>
  <c r="Q54" i="37"/>
  <c r="Q270" i="37"/>
  <c r="G136" i="38" s="1"/>
  <c r="K136" i="38" s="1"/>
  <c r="O173" i="37"/>
  <c r="Q173" i="37"/>
  <c r="G77" i="38" s="1"/>
  <c r="K77" i="38" s="1"/>
  <c r="G44" i="38"/>
  <c r="K44" i="38" s="1"/>
  <c r="G220" i="38"/>
  <c r="G99" i="38"/>
  <c r="K99" i="38" s="1"/>
  <c r="O136" i="37"/>
  <c r="O71" i="37"/>
  <c r="Q71" i="37"/>
  <c r="G36" i="38" s="1"/>
  <c r="K36" i="38" s="1"/>
  <c r="F369" i="35"/>
  <c r="H369" i="35" s="1"/>
  <c r="F360" i="35"/>
  <c r="F361" i="35" s="1"/>
  <c r="F363" i="35" s="1"/>
  <c r="H363" i="35" s="1"/>
  <c r="F353" i="35"/>
  <c r="F313" i="35"/>
  <c r="H313" i="35" s="1"/>
  <c r="H305" i="35"/>
  <c r="H306" i="35" s="1"/>
  <c r="F305" i="35"/>
  <c r="F306" i="35" s="1"/>
  <c r="H300" i="35"/>
  <c r="F300" i="35"/>
  <c r="H290" i="35"/>
  <c r="H291" i="35" s="1"/>
  <c r="F290" i="35"/>
  <c r="F291" i="35" s="1"/>
  <c r="H284" i="35"/>
  <c r="F284" i="35"/>
  <c r="F255" i="35"/>
  <c r="F259" i="35" s="1"/>
  <c r="F263" i="35" s="1"/>
  <c r="F265" i="35" s="1"/>
  <c r="H265" i="35" s="1"/>
  <c r="F245" i="35"/>
  <c r="H245" i="35" s="1"/>
  <c r="F240" i="35"/>
  <c r="H240" i="35" s="1"/>
  <c r="F235" i="35"/>
  <c r="H235" i="35" s="1"/>
  <c r="H230" i="35"/>
  <c r="F212" i="35"/>
  <c r="H212" i="35" s="1"/>
  <c r="F207" i="35"/>
  <c r="H207" i="35" s="1"/>
  <c r="F202" i="35"/>
  <c r="H202" i="35" s="1"/>
  <c r="F197" i="35"/>
  <c r="H197" i="35" s="1"/>
  <c r="F192" i="35"/>
  <c r="H192" i="35" s="1"/>
  <c r="F187" i="35"/>
  <c r="H187" i="35" s="1"/>
  <c r="F182" i="35"/>
  <c r="H182" i="35" s="1"/>
  <c r="H177" i="35"/>
  <c r="H174" i="35"/>
  <c r="F169" i="35"/>
  <c r="H169" i="35" s="1"/>
  <c r="F146" i="35"/>
  <c r="H146" i="35" s="1"/>
  <c r="F141" i="35"/>
  <c r="H141" i="35" s="1"/>
  <c r="F153" i="35" s="1"/>
  <c r="F154" i="35" s="1"/>
  <c r="F136" i="35"/>
  <c r="H227" i="35" s="1"/>
  <c r="F71" i="35"/>
  <c r="F73" i="35" s="1"/>
  <c r="F78" i="35" s="1"/>
  <c r="F79" i="35" s="1"/>
  <c r="H79" i="35" s="1"/>
  <c r="F54" i="35"/>
  <c r="H54" i="35" s="1"/>
  <c r="F341" i="35" s="1"/>
  <c r="F343" i="35" s="1"/>
  <c r="F345" i="35" s="1"/>
  <c r="H345" i="35" s="1"/>
  <c r="D54" i="35"/>
  <c r="F48" i="35"/>
  <c r="H48" i="35" s="1"/>
  <c r="D48" i="35"/>
  <c r="F43" i="35"/>
  <c r="H43" i="35" s="1"/>
  <c r="D43" i="35"/>
  <c r="F37" i="35"/>
  <c r="H37" i="35" s="1"/>
  <c r="D37" i="35"/>
  <c r="F31" i="35"/>
  <c r="H31" i="35" s="1"/>
  <c r="D31" i="35"/>
  <c r="F25" i="35"/>
  <c r="H25" i="35" s="1"/>
  <c r="D25" i="35"/>
  <c r="F15" i="35"/>
  <c r="F17" i="35" s="1"/>
  <c r="F18" i="35" s="1"/>
  <c r="H18" i="35" s="1"/>
  <c r="B14" i="35"/>
  <c r="B15" i="35" s="1"/>
  <c r="F293" i="35" l="1"/>
  <c r="Q577" i="37"/>
  <c r="F42" i="36" s="1"/>
  <c r="O235" i="37"/>
  <c r="O259" i="37"/>
  <c r="Q31" i="37"/>
  <c r="K219" i="38"/>
  <c r="K236" i="38" s="1"/>
  <c r="Q552" i="37"/>
  <c r="F41" i="36" s="1"/>
  <c r="Q520" i="37"/>
  <c r="F40" i="36" s="1"/>
  <c r="Q362" i="37"/>
  <c r="G165" i="38" s="1"/>
  <c r="Q146" i="37"/>
  <c r="F19" i="36" s="1"/>
  <c r="H136" i="35"/>
  <c r="H308" i="35"/>
  <c r="H293" i="35"/>
  <c r="F348" i="35"/>
  <c r="F350" i="35" s="1"/>
  <c r="F355" i="35" s="1"/>
  <c r="H355" i="35" s="1"/>
  <c r="J18" i="44"/>
  <c r="N18" i="44" s="1"/>
  <c r="D19" i="44"/>
  <c r="J19" i="44" s="1"/>
  <c r="N19" i="44" s="1"/>
  <c r="U25" i="42"/>
  <c r="D39" i="43" s="1"/>
  <c r="G39" i="43" s="1"/>
  <c r="D55" i="44" s="1"/>
  <c r="J55" i="44" s="1"/>
  <c r="N55" i="44" s="1"/>
  <c r="U32" i="42"/>
  <c r="D46" i="43" s="1"/>
  <c r="G46" i="43" s="1"/>
  <c r="D69" i="44" s="1"/>
  <c r="M37" i="42"/>
  <c r="U24" i="42"/>
  <c r="M21" i="42"/>
  <c r="U44" i="42"/>
  <c r="D58" i="43" s="1"/>
  <c r="U19" i="42"/>
  <c r="D33" i="43" s="1"/>
  <c r="G33" i="43" s="1"/>
  <c r="D47" i="44" s="1"/>
  <c r="J47" i="44" s="1"/>
  <c r="N47" i="44" s="1"/>
  <c r="U42" i="42"/>
  <c r="D56" i="43" s="1"/>
  <c r="U27" i="42"/>
  <c r="D41" i="43" s="1"/>
  <c r="G41" i="43" s="1"/>
  <c r="Q28" i="41"/>
  <c r="D16" i="43"/>
  <c r="O31" i="42"/>
  <c r="U31" i="42" s="1"/>
  <c r="D45" i="43" s="1"/>
  <c r="G45" i="43" s="1"/>
  <c r="D66" i="44" s="1"/>
  <c r="O16" i="42"/>
  <c r="O28" i="42"/>
  <c r="U28" i="42" s="1"/>
  <c r="D42" i="43" s="1"/>
  <c r="G42" i="43" s="1"/>
  <c r="D60" i="44" s="1"/>
  <c r="O26" i="42"/>
  <c r="U26" i="42" s="1"/>
  <c r="D40" i="43" s="1"/>
  <c r="G40" i="43" s="1"/>
  <c r="D57" i="44" s="1"/>
  <c r="O35" i="42"/>
  <c r="U35" i="42" s="1"/>
  <c r="D49" i="43" s="1"/>
  <c r="G49" i="43" s="1"/>
  <c r="O20" i="42"/>
  <c r="O27" i="42"/>
  <c r="O43" i="42"/>
  <c r="O24" i="42"/>
  <c r="O32" i="42"/>
  <c r="O17" i="42"/>
  <c r="U17" i="42" s="1"/>
  <c r="D31" i="43" s="1"/>
  <c r="G31" i="43" s="1"/>
  <c r="D42" i="44" s="1"/>
  <c r="J42" i="44" s="1"/>
  <c r="N42" i="44" s="1"/>
  <c r="O29" i="42"/>
  <c r="U29" i="42" s="1"/>
  <c r="D43" i="43" s="1"/>
  <c r="G43" i="43" s="1"/>
  <c r="D63" i="44" s="1"/>
  <c r="O36" i="42"/>
  <c r="U36" i="42" s="1"/>
  <c r="D50" i="43" s="1"/>
  <c r="G50" i="43" s="1"/>
  <c r="D77" i="44" s="1"/>
  <c r="J77" i="44" s="1"/>
  <c r="N77" i="44" s="1"/>
  <c r="O30" i="42"/>
  <c r="U30" i="42" s="1"/>
  <c r="D44" i="43" s="1"/>
  <c r="G44" i="43" s="1"/>
  <c r="O33" i="42"/>
  <c r="O40" i="42"/>
  <c r="O19" i="42"/>
  <c r="O25" i="42"/>
  <c r="O41" i="42"/>
  <c r="O45" i="42"/>
  <c r="U45" i="42" s="1"/>
  <c r="O34" i="42"/>
  <c r="O18" i="42"/>
  <c r="U18" i="42" s="1"/>
  <c r="D32" i="43" s="1"/>
  <c r="G32" i="43" s="1"/>
  <c r="O44" i="42"/>
  <c r="O42" i="42"/>
  <c r="D35" i="44"/>
  <c r="J35" i="44" s="1"/>
  <c r="N35" i="44" s="1"/>
  <c r="J34" i="44"/>
  <c r="N34" i="44" s="1"/>
  <c r="U41" i="42"/>
  <c r="D55" i="43" s="1"/>
  <c r="U34" i="42"/>
  <c r="D48" i="43" s="1"/>
  <c r="G48" i="43" s="1"/>
  <c r="D73" i="44" s="1"/>
  <c r="U20" i="42"/>
  <c r="D34" i="43" s="1"/>
  <c r="G34" i="43" s="1"/>
  <c r="U33" i="42"/>
  <c r="D47" i="43" s="1"/>
  <c r="G47" i="43" s="1"/>
  <c r="J24" i="44"/>
  <c r="N24" i="44" s="1"/>
  <c r="D25" i="44"/>
  <c r="J25" i="44" s="1"/>
  <c r="N25" i="44" s="1"/>
  <c r="U40" i="42"/>
  <c r="M46" i="42"/>
  <c r="U43" i="42"/>
  <c r="D57" i="43" s="1"/>
  <c r="K13" i="38"/>
  <c r="G17" i="38"/>
  <c r="G189" i="38"/>
  <c r="Q424" i="37"/>
  <c r="F36" i="36" s="1"/>
  <c r="Q165" i="37"/>
  <c r="F20" i="36" s="1"/>
  <c r="G68" i="38"/>
  <c r="G109" i="38"/>
  <c r="Q235" i="37"/>
  <c r="F26" i="36" s="1"/>
  <c r="G135" i="38"/>
  <c r="Q299" i="37"/>
  <c r="F28" i="36" s="1"/>
  <c r="K196" i="38"/>
  <c r="G200" i="38"/>
  <c r="O50" i="37"/>
  <c r="Q42" i="37"/>
  <c r="G203" i="38"/>
  <c r="Q465" i="37"/>
  <c r="F38" i="36" s="1"/>
  <c r="Q95" i="37"/>
  <c r="F17" i="36" s="1"/>
  <c r="G43" i="38"/>
  <c r="K216" i="38"/>
  <c r="G222" i="38"/>
  <c r="G81" i="38"/>
  <c r="K76" i="38"/>
  <c r="Q63" i="37"/>
  <c r="F15" i="36" s="1"/>
  <c r="G27" i="38"/>
  <c r="G157" i="38"/>
  <c r="Q354" i="37"/>
  <c r="F30" i="36" s="1"/>
  <c r="K234" i="38"/>
  <c r="G239" i="38"/>
  <c r="K221" i="38" s="1"/>
  <c r="G35" i="38"/>
  <c r="Q79" i="37"/>
  <c r="F16" i="36" s="1"/>
  <c r="Q259" i="37"/>
  <c r="F27" i="36" s="1"/>
  <c r="G122" i="38"/>
  <c r="Q183" i="37"/>
  <c r="F21" i="36" s="1"/>
  <c r="G150" i="38"/>
  <c r="Q327" i="37"/>
  <c r="F29" i="36" s="1"/>
  <c r="K98" i="38"/>
  <c r="G103" i="38"/>
  <c r="Q377" i="37"/>
  <c r="O383" i="37"/>
  <c r="G231" i="38"/>
  <c r="K225" i="38"/>
  <c r="O31" i="37"/>
  <c r="F13" i="36"/>
  <c r="K220" i="38"/>
  <c r="K51" i="38"/>
  <c r="G53" i="38"/>
  <c r="B18" i="36"/>
  <c r="B17" i="36"/>
  <c r="G65" i="38"/>
  <c r="K57" i="38"/>
  <c r="G213" i="38"/>
  <c r="K210" i="38"/>
  <c r="F123" i="35"/>
  <c r="F124" i="35" s="1"/>
  <c r="H124" i="35" s="1"/>
  <c r="F128" i="35"/>
  <c r="F129" i="35" s="1"/>
  <c r="H129" i="35" s="1"/>
  <c r="F308" i="35"/>
  <c r="F102" i="35"/>
  <c r="F103" i="35" s="1"/>
  <c r="H103" i="35" s="1"/>
  <c r="F336" i="35"/>
  <c r="F338" i="35" s="1"/>
  <c r="H338" i="35" s="1"/>
  <c r="F96" i="35"/>
  <c r="F97" i="35" s="1"/>
  <c r="H97" i="35" s="1"/>
  <c r="F108" i="35"/>
  <c r="F109" i="35" s="1"/>
  <c r="H109" i="35" s="1"/>
  <c r="F149" i="35"/>
  <c r="F150" i="35" s="1"/>
  <c r="H154" i="35"/>
  <c r="F90" i="35"/>
  <c r="F91" i="35" s="1"/>
  <c r="H91" i="35" s="1"/>
  <c r="H150" i="35"/>
  <c r="F84" i="35"/>
  <c r="F85" i="35" s="1"/>
  <c r="H85" i="35" s="1"/>
  <c r="B16" i="35"/>
  <c r="K228" i="38" l="1"/>
  <c r="Q368" i="37"/>
  <c r="F34" i="36" s="1"/>
  <c r="J66" i="44"/>
  <c r="N66" i="44" s="1"/>
  <c r="D67" i="44"/>
  <c r="J67" i="44" s="1"/>
  <c r="N67" i="44" s="1"/>
  <c r="J60" i="44"/>
  <c r="N60" i="44" s="1"/>
  <c r="D61" i="44"/>
  <c r="J61" i="44" s="1"/>
  <c r="N61" i="44" s="1"/>
  <c r="D44" i="44"/>
  <c r="J44" i="44" s="1"/>
  <c r="N44" i="44" s="1"/>
  <c r="D45" i="44"/>
  <c r="J45" i="44" s="1"/>
  <c r="N45" i="44" s="1"/>
  <c r="J63" i="44"/>
  <c r="N63" i="44" s="1"/>
  <c r="D64" i="44"/>
  <c r="J64" i="44" s="1"/>
  <c r="N64" i="44" s="1"/>
  <c r="J57" i="44"/>
  <c r="N57" i="44" s="1"/>
  <c r="D58" i="44"/>
  <c r="J58" i="44" s="1"/>
  <c r="N58" i="44" s="1"/>
  <c r="D50" i="44"/>
  <c r="J50" i="44" s="1"/>
  <c r="N50" i="44" s="1"/>
  <c r="D49" i="44"/>
  <c r="J49" i="44" s="1"/>
  <c r="N49" i="44" s="1"/>
  <c r="J73" i="44"/>
  <c r="N73" i="44" s="1"/>
  <c r="D74" i="44"/>
  <c r="J74" i="44" s="1"/>
  <c r="N74" i="44" s="1"/>
  <c r="D75" i="44"/>
  <c r="J75" i="44" s="1"/>
  <c r="N75" i="44" s="1"/>
  <c r="O21" i="42"/>
  <c r="U16" i="42"/>
  <c r="D54" i="43"/>
  <c r="D59" i="43" s="1"/>
  <c r="U46" i="42"/>
  <c r="D38" i="43"/>
  <c r="U37" i="42"/>
  <c r="D71" i="44"/>
  <c r="J71" i="44" s="1"/>
  <c r="N71" i="44" s="1"/>
  <c r="J69" i="44"/>
  <c r="N69" i="44" s="1"/>
  <c r="D70" i="44"/>
  <c r="J70" i="44" s="1"/>
  <c r="N70" i="44" s="1"/>
  <c r="O37" i="42"/>
  <c r="O46" i="42"/>
  <c r="G16" i="43"/>
  <c r="D14" i="44" s="1"/>
  <c r="J14" i="44" s="1"/>
  <c r="N14" i="44" s="1"/>
  <c r="K230" i="38"/>
  <c r="K238" i="38"/>
  <c r="K150" i="38"/>
  <c r="G154" i="38"/>
  <c r="G48" i="38"/>
  <c r="K43" i="38"/>
  <c r="G168" i="38"/>
  <c r="K165" i="38"/>
  <c r="G193" i="38"/>
  <c r="K189" i="38"/>
  <c r="F31" i="36"/>
  <c r="G159" i="38"/>
  <c r="K157" i="38"/>
  <c r="G32" i="38"/>
  <c r="K27" i="38"/>
  <c r="K203" i="38"/>
  <c r="G207" i="38"/>
  <c r="G171" i="38"/>
  <c r="Q383" i="37"/>
  <c r="F35" i="36" s="1"/>
  <c r="F44" i="36" s="1"/>
  <c r="Q50" i="37"/>
  <c r="F14" i="36" s="1"/>
  <c r="F23" i="36" s="1"/>
  <c r="G20" i="38"/>
  <c r="B19" i="36"/>
  <c r="G40" i="38"/>
  <c r="K35" i="38"/>
  <c r="K109" i="38"/>
  <c r="G119" i="38"/>
  <c r="G147" i="38"/>
  <c r="K135" i="38"/>
  <c r="K122" i="38"/>
  <c r="G132" i="38"/>
  <c r="K229" i="38"/>
  <c r="K237" i="38"/>
  <c r="G73" i="38"/>
  <c r="K68" i="38"/>
  <c r="B17" i="35"/>
  <c r="D51" i="43" l="1"/>
  <c r="G38" i="43"/>
  <c r="D53" i="44" s="1"/>
  <c r="J53" i="44" s="1"/>
  <c r="N53" i="44" s="1"/>
  <c r="U21" i="42"/>
  <c r="U48" i="42" s="1"/>
  <c r="D30" i="43"/>
  <c r="F46" i="36"/>
  <c r="K171" i="38"/>
  <c r="G174" i="38"/>
  <c r="G24" i="38"/>
  <c r="K20" i="38"/>
  <c r="B20" i="36"/>
  <c r="D18" i="35"/>
  <c r="B18" i="35"/>
  <c r="D35" i="43" l="1"/>
  <c r="G30" i="43"/>
  <c r="D40" i="44" s="1"/>
  <c r="J40" i="44" s="1"/>
  <c r="N40" i="44" s="1"/>
  <c r="B21" i="36"/>
  <c r="B23" i="35"/>
  <c r="B24" i="35" s="1"/>
  <c r="B22" i="36" l="1"/>
  <c r="B25" i="35"/>
  <c r="B28" i="35" s="1"/>
  <c r="B23" i="36" l="1"/>
  <c r="B26" i="36" s="1"/>
  <c r="B29" i="35"/>
  <c r="B30" i="35" s="1"/>
  <c r="B31" i="35" s="1"/>
  <c r="B27" i="36" l="1"/>
  <c r="B28" i="36" s="1"/>
  <c r="B29" i="36" s="1"/>
  <c r="B30" i="36" s="1"/>
  <c r="B31" i="36"/>
  <c r="B34" i="36" s="1"/>
  <c r="B35" i="36" s="1"/>
  <c r="B36" i="36"/>
  <c r="B37" i="36" s="1"/>
  <c r="B38" i="36" s="1"/>
  <c r="B39" i="36" s="1"/>
  <c r="B40" i="36" s="1"/>
  <c r="B41" i="36" s="1"/>
  <c r="B42" i="36" s="1"/>
  <c r="B43" i="36" s="1"/>
  <c r="B44" i="36" s="1"/>
  <c r="B46" i="36" s="1"/>
  <c r="B34" i="35"/>
  <c r="B35" i="35" s="1"/>
  <c r="B36" i="35" s="1"/>
  <c r="B37" i="35" s="1"/>
  <c r="B40" i="35" s="1"/>
  <c r="B41" i="35" l="1"/>
  <c r="B42" i="35" s="1"/>
  <c r="B43" i="35" s="1"/>
  <c r="B46" i="35" s="1"/>
  <c r="B47" i="35" s="1"/>
  <c r="B48" i="35" s="1"/>
  <c r="B51" i="35" s="1"/>
  <c r="B52" i="35" s="1"/>
  <c r="B53" i="35" s="1"/>
  <c r="B54" i="35" s="1"/>
  <c r="B71" i="35" s="1"/>
  <c r="B72" i="35" s="1"/>
  <c r="B73" i="35" s="1"/>
  <c r="B76" i="35" s="1"/>
  <c r="B77" i="35" s="1"/>
  <c r="B78" i="35" s="1"/>
  <c r="B79" i="35" s="1"/>
  <c r="B82" i="35" s="1"/>
  <c r="B83" i="35" s="1"/>
  <c r="B84" i="35" s="1"/>
  <c r="B85" i="35" s="1"/>
  <c r="B88" i="35" s="1"/>
  <c r="B89" i="35" s="1"/>
  <c r="B90" i="35" s="1"/>
  <c r="B91" i="35" s="1"/>
  <c r="B94" i="35" s="1"/>
  <c r="B95" i="35" s="1"/>
  <c r="B96" i="35" s="1"/>
  <c r="B97" i="35" s="1"/>
  <c r="B100" i="35" s="1"/>
  <c r="B101" i="35" s="1"/>
  <c r="B102" i="35" s="1"/>
  <c r="B103" i="35" s="1"/>
  <c r="B106" i="35" s="1"/>
  <c r="B107" i="35" s="1"/>
  <c r="B108" i="35" s="1"/>
  <c r="B109" i="35" s="1"/>
  <c r="B122" i="35" s="1"/>
  <c r="B123" i="35" s="1"/>
  <c r="B124" i="35" s="1"/>
  <c r="B127" i="35" s="1"/>
  <c r="B128" i="35" s="1"/>
  <c r="B129" i="35" s="1"/>
  <c r="B134" i="35" s="1"/>
  <c r="B135" i="35" s="1"/>
  <c r="B136" i="35" s="1"/>
  <c r="D227" i="35" l="1"/>
  <c r="B139" i="35"/>
  <c r="B140" i="35" s="1"/>
  <c r="B141" i="35" s="1"/>
  <c r="B144" i="35" s="1"/>
  <c r="B145" i="35" s="1"/>
  <c r="B146" i="35" s="1"/>
  <c r="B149" i="35" s="1"/>
  <c r="B150" i="35" s="1"/>
  <c r="B153" i="35" s="1"/>
  <c r="B154" i="35" s="1"/>
  <c r="B168" i="35" s="1"/>
  <c r="B169" i="35" s="1"/>
  <c r="B174" i="35" s="1"/>
  <c r="B177" i="35" s="1"/>
  <c r="B180" i="35" s="1"/>
  <c r="B181" i="35" s="1"/>
  <c r="B182" i="35" s="1"/>
  <c r="B185" i="35" s="1"/>
  <c r="B186" i="35" s="1"/>
  <c r="B187" i="35" s="1"/>
  <c r="B190" i="35" s="1"/>
  <c r="B191" i="35" s="1"/>
  <c r="B192" i="35" s="1"/>
  <c r="B195" i="35" s="1"/>
  <c r="B196" i="35" s="1"/>
  <c r="B197" i="35" s="1"/>
  <c r="B200" i="35" s="1"/>
  <c r="B201" i="35" s="1"/>
  <c r="B202" i="35" s="1"/>
  <c r="B205" i="35" s="1"/>
  <c r="B206" i="35" s="1"/>
  <c r="B207" i="35" s="1"/>
  <c r="B210" i="35" s="1"/>
  <c r="B211" i="35" s="1"/>
  <c r="B212" i="35" s="1"/>
  <c r="B227" i="35" s="1"/>
  <c r="B230" i="35" s="1"/>
  <c r="B233" i="35" s="1"/>
  <c r="B234" i="35" l="1"/>
  <c r="B235" i="35" s="1"/>
  <c r="B238" i="35" s="1"/>
  <c r="B239" i="35" l="1"/>
  <c r="B240" i="35" s="1"/>
  <c r="B243" i="35" s="1"/>
  <c r="D235" i="35"/>
  <c r="B244" i="35" l="1"/>
  <c r="B245" i="35" s="1"/>
  <c r="B250" i="35" s="1"/>
  <c r="B253" i="35" s="1"/>
  <c r="D240" i="35"/>
  <c r="D245" i="35" l="1"/>
  <c r="B254" i="35"/>
  <c r="B255" i="35" s="1"/>
  <c r="B257" i="35" l="1"/>
  <c r="B258" i="35" s="1"/>
  <c r="B259" i="35" s="1"/>
  <c r="D255" i="35"/>
  <c r="B261" i="35" l="1"/>
  <c r="B263" i="35" s="1"/>
  <c r="B265" i="35" s="1"/>
  <c r="B282" i="35" s="1"/>
  <c r="B283" i="35" s="1"/>
  <c r="B284" i="35" s="1"/>
  <c r="D259" i="35"/>
  <c r="B287" i="35" l="1"/>
  <c r="D263" i="35"/>
  <c r="B288" i="35" l="1"/>
  <c r="B289" i="35" l="1"/>
  <c r="B290" i="35" s="1"/>
  <c r="B291" i="35" l="1"/>
  <c r="D291" i="35"/>
  <c r="D290" i="35"/>
  <c r="B293" i="35" l="1"/>
  <c r="B298" i="35" s="1"/>
  <c r="B299" i="35" s="1"/>
  <c r="B300" i="35" s="1"/>
  <c r="B303" i="35" s="1"/>
  <c r="B304" i="35" s="1"/>
  <c r="B305" i="35" s="1"/>
  <c r="B306" i="35" s="1"/>
  <c r="B308" i="35" s="1"/>
  <c r="B311" i="35" s="1"/>
  <c r="B312" i="35" s="1"/>
  <c r="B313" i="35" s="1"/>
  <c r="B336" i="35" s="1"/>
  <c r="D293" i="35"/>
  <c r="B337" i="35" l="1"/>
  <c r="B338" i="35" s="1"/>
  <c r="B341" i="35" s="1"/>
  <c r="B342" i="35" l="1"/>
  <c r="B343" i="35" s="1"/>
  <c r="D338" i="35"/>
  <c r="B344" i="35" l="1"/>
  <c r="B345" i="35" s="1"/>
  <c r="B348" i="35" s="1"/>
  <c r="B349" i="35" s="1"/>
  <c r="B350" i="35" s="1"/>
  <c r="B351" i="35" s="1"/>
  <c r="B352" i="35" s="1"/>
  <c r="B353" i="35" s="1"/>
  <c r="B354" i="35" s="1"/>
  <c r="B355" i="35" s="1"/>
  <c r="B358" i="35" s="1"/>
  <c r="B359" i="35" s="1"/>
  <c r="B360" i="35" s="1"/>
  <c r="B361" i="35" s="1"/>
  <c r="D343" i="35"/>
  <c r="B362" i="35" l="1"/>
  <c r="B363" i="35" s="1"/>
  <c r="B366" i="35" s="1"/>
  <c r="D345" i="35"/>
  <c r="B367" i="35" l="1"/>
  <c r="B368" i="35" s="1"/>
  <c r="B369" i="35" s="1"/>
  <c r="D363" i="35"/>
  <c r="D369" i="35" l="1"/>
  <c r="S863" i="34"/>
  <c r="Q863" i="34"/>
  <c r="J863" i="34"/>
  <c r="S859" i="34"/>
  <c r="R859" i="34"/>
  <c r="Q859" i="34"/>
  <c r="O859" i="34"/>
  <c r="N859" i="34"/>
  <c r="M859" i="34"/>
  <c r="L859" i="34"/>
  <c r="J859" i="34"/>
  <c r="I859" i="34"/>
  <c r="U857" i="34"/>
  <c r="O857" i="34"/>
  <c r="V855" i="34"/>
  <c r="V854" i="34"/>
  <c r="V853" i="34"/>
  <c r="V851" i="34"/>
  <c r="U837" i="34"/>
  <c r="V837" i="34" s="1"/>
  <c r="X837" i="34" s="1"/>
  <c r="S837" i="34"/>
  <c r="R837" i="34"/>
  <c r="Q837" i="34"/>
  <c r="O837" i="34"/>
  <c r="N837" i="34"/>
  <c r="M837" i="34"/>
  <c r="L837" i="34"/>
  <c r="J837" i="34"/>
  <c r="G837" i="34"/>
  <c r="I837" i="34" s="1"/>
  <c r="C837" i="34"/>
  <c r="W835" i="34"/>
  <c r="W834" i="34"/>
  <c r="W833" i="34"/>
  <c r="W832" i="34"/>
  <c r="W831" i="34"/>
  <c r="W829" i="34"/>
  <c r="U829" i="34"/>
  <c r="O829" i="34"/>
  <c r="W828" i="34"/>
  <c r="U828" i="34"/>
  <c r="O828" i="34"/>
  <c r="W827" i="34"/>
  <c r="U827" i="34"/>
  <c r="O827" i="34"/>
  <c r="W826" i="34"/>
  <c r="U826" i="34"/>
  <c r="O826" i="34"/>
  <c r="W825" i="34"/>
  <c r="W837" i="34" s="1"/>
  <c r="U825" i="34"/>
  <c r="O825" i="34"/>
  <c r="V823" i="34"/>
  <c r="V822" i="34"/>
  <c r="S817" i="34"/>
  <c r="R817" i="34"/>
  <c r="Q817" i="34"/>
  <c r="O817" i="34"/>
  <c r="N817" i="34"/>
  <c r="M817" i="34"/>
  <c r="L817" i="34"/>
  <c r="L863" i="34" s="1"/>
  <c r="J817" i="34"/>
  <c r="I817" i="34"/>
  <c r="G817" i="34"/>
  <c r="C817" i="34"/>
  <c r="U814" i="34"/>
  <c r="O814" i="34"/>
  <c r="W813" i="34"/>
  <c r="V813" i="34"/>
  <c r="W812" i="34"/>
  <c r="V812" i="34"/>
  <c r="V798" i="34"/>
  <c r="X798" i="34" s="1"/>
  <c r="U798" i="34"/>
  <c r="S798" i="34"/>
  <c r="R798" i="34"/>
  <c r="Q798" i="34"/>
  <c r="O798" i="34"/>
  <c r="O863" i="34" s="1"/>
  <c r="N798" i="34"/>
  <c r="M798" i="34"/>
  <c r="L798" i="34"/>
  <c r="J798" i="34"/>
  <c r="I798" i="34"/>
  <c r="G798" i="34"/>
  <c r="C798" i="34"/>
  <c r="W796" i="34"/>
  <c r="U796" i="34"/>
  <c r="O796" i="34"/>
  <c r="U795" i="34"/>
  <c r="W789" i="34"/>
  <c r="U789" i="34"/>
  <c r="G789" i="34"/>
  <c r="W788" i="34"/>
  <c r="U788" i="34"/>
  <c r="O788" i="34"/>
  <c r="W787" i="34"/>
  <c r="U787" i="34"/>
  <c r="O787" i="34"/>
  <c r="W786" i="34"/>
  <c r="U786" i="34"/>
  <c r="O786" i="34"/>
  <c r="W778" i="34"/>
  <c r="W798" i="34" s="1"/>
  <c r="V778" i="34"/>
  <c r="U778" i="34"/>
  <c r="S763" i="34"/>
  <c r="R763" i="34"/>
  <c r="Q763" i="34"/>
  <c r="O763" i="34"/>
  <c r="N763" i="34"/>
  <c r="N863" i="34" s="1"/>
  <c r="M763" i="34"/>
  <c r="L763" i="34"/>
  <c r="J763" i="34"/>
  <c r="I763" i="34"/>
  <c r="G763" i="34"/>
  <c r="U761" i="34"/>
  <c r="W761" i="34" s="1"/>
  <c r="O761" i="34"/>
  <c r="W760" i="34"/>
  <c r="U760" i="34"/>
  <c r="O760" i="34"/>
  <c r="U757" i="34"/>
  <c r="O757" i="34"/>
  <c r="W756" i="34"/>
  <c r="U756" i="34"/>
  <c r="O756" i="34"/>
  <c r="W732" i="34"/>
  <c r="V732" i="34"/>
  <c r="U732" i="34"/>
  <c r="S732" i="34"/>
  <c r="R732" i="34"/>
  <c r="Q732" i="34"/>
  <c r="O732" i="34"/>
  <c r="N732" i="34"/>
  <c r="M732" i="34"/>
  <c r="L732" i="34"/>
  <c r="J732" i="34"/>
  <c r="G732" i="34"/>
  <c r="A732" i="34"/>
  <c r="A730" i="34"/>
  <c r="U727" i="34"/>
  <c r="S727" i="34"/>
  <c r="R727" i="34"/>
  <c r="Q727" i="34"/>
  <c r="O727" i="34"/>
  <c r="N727" i="34"/>
  <c r="M727" i="34"/>
  <c r="M863" i="34" s="1"/>
  <c r="L727" i="34"/>
  <c r="J727" i="34"/>
  <c r="G727" i="34"/>
  <c r="A727" i="34"/>
  <c r="A725" i="34"/>
  <c r="T709" i="34"/>
  <c r="R707" i="34"/>
  <c r="N707" i="34"/>
  <c r="M707" i="34"/>
  <c r="L707" i="34"/>
  <c r="J707" i="34"/>
  <c r="G707" i="34"/>
  <c r="I707" i="34" s="1"/>
  <c r="W704" i="34"/>
  <c r="V704" i="34"/>
  <c r="X704" i="34" s="1"/>
  <c r="U704" i="34"/>
  <c r="S704" i="34"/>
  <c r="R704" i="34"/>
  <c r="Q704" i="34"/>
  <c r="Q707" i="34" s="1"/>
  <c r="O704" i="34"/>
  <c r="N704" i="34"/>
  <c r="M704" i="34"/>
  <c r="L704" i="34"/>
  <c r="J704" i="34"/>
  <c r="I704" i="34"/>
  <c r="G704" i="34"/>
  <c r="X702" i="34"/>
  <c r="W702" i="34"/>
  <c r="U702" i="34"/>
  <c r="O702" i="34"/>
  <c r="S689" i="34"/>
  <c r="S707" i="34" s="1"/>
  <c r="R689" i="34"/>
  <c r="Q689" i="34"/>
  <c r="O689" i="34"/>
  <c r="O707" i="34" s="1"/>
  <c r="N689" i="34"/>
  <c r="M689" i="34"/>
  <c r="L689" i="34"/>
  <c r="J689" i="34"/>
  <c r="I689" i="34"/>
  <c r="G689" i="34"/>
  <c r="X687" i="34"/>
  <c r="U687" i="34"/>
  <c r="W687" i="34" s="1"/>
  <c r="W689" i="34" s="1"/>
  <c r="W707" i="34" s="1"/>
  <c r="O687" i="34"/>
  <c r="A687" i="34"/>
  <c r="X685" i="34"/>
  <c r="W685" i="34"/>
  <c r="V685" i="34"/>
  <c r="U685" i="34"/>
  <c r="O685" i="34"/>
  <c r="J685" i="34"/>
  <c r="A685" i="34"/>
  <c r="A684" i="34"/>
  <c r="S668" i="34"/>
  <c r="R668" i="34"/>
  <c r="Q668" i="34"/>
  <c r="N668" i="34"/>
  <c r="L668" i="34"/>
  <c r="U666" i="34"/>
  <c r="S666" i="34"/>
  <c r="R666" i="34"/>
  <c r="Q666" i="34"/>
  <c r="O666" i="34"/>
  <c r="N666" i="34"/>
  <c r="M666" i="34"/>
  <c r="M668" i="34" s="1"/>
  <c r="L666" i="34"/>
  <c r="J666" i="34"/>
  <c r="G666" i="34"/>
  <c r="V666" i="34" s="1"/>
  <c r="X664" i="34"/>
  <c r="U664" i="34"/>
  <c r="W664" i="34" s="1"/>
  <c r="W666" i="34" s="1"/>
  <c r="O664" i="34"/>
  <c r="S651" i="34"/>
  <c r="R651" i="34"/>
  <c r="Q651" i="34"/>
  <c r="N651" i="34"/>
  <c r="M651" i="34"/>
  <c r="L651" i="34"/>
  <c r="G651" i="34"/>
  <c r="X649" i="34"/>
  <c r="W649" i="34"/>
  <c r="U649" i="34"/>
  <c r="O649" i="34"/>
  <c r="U647" i="34"/>
  <c r="O647" i="34"/>
  <c r="J647" i="34"/>
  <c r="O646" i="34"/>
  <c r="U646" i="34" s="1"/>
  <c r="J646" i="34"/>
  <c r="J644" i="34"/>
  <c r="U643" i="34"/>
  <c r="W643" i="34" s="1"/>
  <c r="O643" i="34"/>
  <c r="J643" i="34"/>
  <c r="A643" i="34"/>
  <c r="A641" i="34"/>
  <c r="A640" i="34"/>
  <c r="R623" i="34"/>
  <c r="N623" i="34"/>
  <c r="M623" i="34"/>
  <c r="L623" i="34"/>
  <c r="J623" i="34"/>
  <c r="G623" i="34"/>
  <c r="I623" i="34" s="1"/>
  <c r="X621" i="34"/>
  <c r="W621" i="34"/>
  <c r="V621" i="34"/>
  <c r="U621" i="34"/>
  <c r="S621" i="34"/>
  <c r="R621" i="34"/>
  <c r="Q621" i="34"/>
  <c r="Q623" i="34" s="1"/>
  <c r="O621" i="34"/>
  <c r="N621" i="34"/>
  <c r="M621" i="34"/>
  <c r="L621" i="34"/>
  <c r="J621" i="34"/>
  <c r="I621" i="34"/>
  <c r="G621" i="34"/>
  <c r="X619" i="34"/>
  <c r="W619" i="34"/>
  <c r="U619" i="34"/>
  <c r="O619" i="34"/>
  <c r="S606" i="34"/>
  <c r="S623" i="34" s="1"/>
  <c r="R606" i="34"/>
  <c r="Q606" i="34"/>
  <c r="N606" i="34"/>
  <c r="M606" i="34"/>
  <c r="L606" i="34"/>
  <c r="J606" i="34"/>
  <c r="I606" i="34"/>
  <c r="G606" i="34"/>
  <c r="X604" i="34"/>
  <c r="W604" i="34"/>
  <c r="U604" i="34"/>
  <c r="O604" i="34"/>
  <c r="X602" i="34"/>
  <c r="U602" i="34"/>
  <c r="W602" i="34" s="1"/>
  <c r="O602" i="34"/>
  <c r="J602" i="34"/>
  <c r="V601" i="34"/>
  <c r="X601" i="34" s="1"/>
  <c r="U601" i="34"/>
  <c r="W601" i="34" s="1"/>
  <c r="O601" i="34"/>
  <c r="J601" i="34"/>
  <c r="U599" i="34"/>
  <c r="O599" i="34"/>
  <c r="J599" i="34"/>
  <c r="O598" i="34"/>
  <c r="J598" i="34"/>
  <c r="R589" i="34"/>
  <c r="Q589" i="34"/>
  <c r="N589" i="34"/>
  <c r="M589" i="34"/>
  <c r="L589" i="34"/>
  <c r="J589" i="34"/>
  <c r="U587" i="34"/>
  <c r="O587" i="34"/>
  <c r="J587" i="34"/>
  <c r="A587" i="34"/>
  <c r="S583" i="34"/>
  <c r="S589" i="34" s="1"/>
  <c r="R583" i="34"/>
  <c r="Q583" i="34"/>
  <c r="N583" i="34"/>
  <c r="M583" i="34"/>
  <c r="L583" i="34"/>
  <c r="I583" i="34"/>
  <c r="J583" i="34" s="1"/>
  <c r="G583" i="34"/>
  <c r="A583" i="34"/>
  <c r="W582" i="34"/>
  <c r="O581" i="34"/>
  <c r="J581" i="34"/>
  <c r="A581" i="34"/>
  <c r="S566" i="34"/>
  <c r="R566" i="34"/>
  <c r="Q566" i="34"/>
  <c r="M566" i="34"/>
  <c r="J566" i="34"/>
  <c r="G566" i="34"/>
  <c r="I566" i="34" s="1"/>
  <c r="O564" i="34"/>
  <c r="U564" i="34" s="1"/>
  <c r="J564" i="34"/>
  <c r="S562" i="34"/>
  <c r="R562" i="34"/>
  <c r="Q562" i="34"/>
  <c r="O562" i="34"/>
  <c r="N562" i="34"/>
  <c r="M562" i="34"/>
  <c r="L562" i="34"/>
  <c r="J562" i="34"/>
  <c r="G562" i="34"/>
  <c r="I562" i="34" s="1"/>
  <c r="X560" i="34"/>
  <c r="W560" i="34"/>
  <c r="V560" i="34"/>
  <c r="U560" i="34"/>
  <c r="O560" i="34"/>
  <c r="J560" i="34"/>
  <c r="W559" i="34"/>
  <c r="W562" i="34" s="1"/>
  <c r="U559" i="34"/>
  <c r="V559" i="34" s="1"/>
  <c r="X559" i="34" s="1"/>
  <c r="O559" i="34"/>
  <c r="J559" i="34"/>
  <c r="S556" i="34"/>
  <c r="R556" i="34"/>
  <c r="Q556" i="34"/>
  <c r="N556" i="34"/>
  <c r="N566" i="34" s="1"/>
  <c r="M556" i="34"/>
  <c r="L556" i="34"/>
  <c r="L566" i="34" s="1"/>
  <c r="J556" i="34"/>
  <c r="I556" i="34"/>
  <c r="G556" i="34"/>
  <c r="U554" i="34"/>
  <c r="O554" i="34"/>
  <c r="J554" i="34"/>
  <c r="O553" i="34"/>
  <c r="J553" i="34"/>
  <c r="S548" i="34"/>
  <c r="Q548" i="34"/>
  <c r="N548" i="34"/>
  <c r="M548" i="34"/>
  <c r="L548" i="34"/>
  <c r="J546" i="34"/>
  <c r="O546" i="34" s="1"/>
  <c r="U546" i="34" s="1"/>
  <c r="S543" i="34"/>
  <c r="R543" i="34"/>
  <c r="Q543" i="34"/>
  <c r="N543" i="34"/>
  <c r="M543" i="34"/>
  <c r="L543" i="34"/>
  <c r="G543" i="34"/>
  <c r="O541" i="34"/>
  <c r="U541" i="34" s="1"/>
  <c r="J541" i="34"/>
  <c r="J540" i="34"/>
  <c r="O540" i="34" s="1"/>
  <c r="S536" i="34"/>
  <c r="R536" i="34"/>
  <c r="R548" i="34" s="1"/>
  <c r="Q536" i="34"/>
  <c r="N536" i="34"/>
  <c r="M536" i="34"/>
  <c r="L536" i="34"/>
  <c r="G536" i="34"/>
  <c r="W534" i="34"/>
  <c r="U534" i="34"/>
  <c r="O534" i="34"/>
  <c r="J534" i="34"/>
  <c r="J533" i="34"/>
  <c r="O533" i="34" s="1"/>
  <c r="U533" i="34" s="1"/>
  <c r="W533" i="34" s="1"/>
  <c r="O532" i="34"/>
  <c r="U532" i="34" s="1"/>
  <c r="J532" i="34"/>
  <c r="A532" i="34"/>
  <c r="J531" i="34"/>
  <c r="J536" i="34" s="1"/>
  <c r="A531" i="34"/>
  <c r="R516" i="34"/>
  <c r="N516" i="34"/>
  <c r="L516" i="34"/>
  <c r="G516" i="34"/>
  <c r="W514" i="34"/>
  <c r="U514" i="34"/>
  <c r="V514" i="34" s="1"/>
  <c r="X514" i="34" s="1"/>
  <c r="O514" i="34"/>
  <c r="J514" i="34"/>
  <c r="S511" i="34"/>
  <c r="R511" i="34"/>
  <c r="Q511" i="34"/>
  <c r="O511" i="34"/>
  <c r="N511" i="34"/>
  <c r="M511" i="34"/>
  <c r="L511" i="34"/>
  <c r="J511" i="34"/>
  <c r="I511" i="34"/>
  <c r="G511" i="34"/>
  <c r="V509" i="34"/>
  <c r="X509" i="34" s="1"/>
  <c r="U509" i="34"/>
  <c r="W509" i="34" s="1"/>
  <c r="O509" i="34"/>
  <c r="J509" i="34"/>
  <c r="U508" i="34"/>
  <c r="O508" i="34"/>
  <c r="J508" i="34"/>
  <c r="R504" i="34"/>
  <c r="N504" i="34"/>
  <c r="M504" i="34"/>
  <c r="M516" i="34" s="1"/>
  <c r="L504" i="34"/>
  <c r="J504" i="34"/>
  <c r="G504" i="34"/>
  <c r="O502" i="34"/>
  <c r="U502" i="34" s="1"/>
  <c r="J502" i="34"/>
  <c r="J501" i="34"/>
  <c r="O501" i="34" s="1"/>
  <c r="U501" i="34" s="1"/>
  <c r="S499" i="34"/>
  <c r="S504" i="34" s="1"/>
  <c r="S516" i="34" s="1"/>
  <c r="R499" i="34"/>
  <c r="Q499" i="34"/>
  <c r="Q504" i="34" s="1"/>
  <c r="Q516" i="34" s="1"/>
  <c r="O499" i="34"/>
  <c r="O504" i="34" s="1"/>
  <c r="O516" i="34" s="1"/>
  <c r="N499" i="34"/>
  <c r="M499" i="34"/>
  <c r="L499" i="34"/>
  <c r="J499" i="34"/>
  <c r="I499" i="34"/>
  <c r="G499" i="34"/>
  <c r="W498" i="34"/>
  <c r="V498" i="34"/>
  <c r="U498" i="34"/>
  <c r="O498" i="34"/>
  <c r="J498" i="34"/>
  <c r="V497" i="34"/>
  <c r="U497" i="34"/>
  <c r="U499" i="34" s="1"/>
  <c r="V499" i="34" s="1"/>
  <c r="X499" i="34" s="1"/>
  <c r="O497" i="34"/>
  <c r="J497" i="34"/>
  <c r="W494" i="34"/>
  <c r="V494" i="34"/>
  <c r="U494" i="34"/>
  <c r="S494" i="34"/>
  <c r="R494" i="34"/>
  <c r="Q494" i="34"/>
  <c r="O494" i="34"/>
  <c r="N494" i="34"/>
  <c r="M494" i="34"/>
  <c r="L494" i="34"/>
  <c r="J494" i="34"/>
  <c r="I494" i="34"/>
  <c r="G494" i="34"/>
  <c r="S487" i="34"/>
  <c r="Q487" i="34"/>
  <c r="N487" i="34"/>
  <c r="M487" i="34"/>
  <c r="L487" i="34"/>
  <c r="U485" i="34"/>
  <c r="O485" i="34"/>
  <c r="J485" i="34"/>
  <c r="O483" i="34"/>
  <c r="U483" i="34" s="1"/>
  <c r="J483" i="34"/>
  <c r="S481" i="34"/>
  <c r="R481" i="34"/>
  <c r="Q481" i="34"/>
  <c r="N481" i="34"/>
  <c r="M481" i="34"/>
  <c r="L481" i="34"/>
  <c r="S479" i="34"/>
  <c r="R479" i="34"/>
  <c r="R487" i="34" s="1"/>
  <c r="Q479" i="34"/>
  <c r="N479" i="34"/>
  <c r="M479" i="34"/>
  <c r="L479" i="34"/>
  <c r="G479" i="34"/>
  <c r="J478" i="34"/>
  <c r="O478" i="34" s="1"/>
  <c r="U478" i="34" s="1"/>
  <c r="W477" i="34"/>
  <c r="V477" i="34"/>
  <c r="U477" i="34"/>
  <c r="O477" i="34"/>
  <c r="J477" i="34"/>
  <c r="A477" i="34"/>
  <c r="U476" i="34"/>
  <c r="O476" i="34"/>
  <c r="J476" i="34"/>
  <c r="A476" i="34"/>
  <c r="J475" i="34"/>
  <c r="A475" i="34"/>
  <c r="S459" i="34"/>
  <c r="R459" i="34"/>
  <c r="Q459" i="34"/>
  <c r="N459" i="34"/>
  <c r="L459" i="34"/>
  <c r="G459" i="34"/>
  <c r="J457" i="34"/>
  <c r="O457" i="34" s="1"/>
  <c r="U457" i="34" s="1"/>
  <c r="O455" i="34"/>
  <c r="U455" i="34" s="1"/>
  <c r="J455" i="34"/>
  <c r="S453" i="34"/>
  <c r="R453" i="34"/>
  <c r="Q453" i="34"/>
  <c r="N453" i="34"/>
  <c r="M453" i="34"/>
  <c r="L453" i="34"/>
  <c r="G453" i="34"/>
  <c r="S451" i="34"/>
  <c r="R451" i="34"/>
  <c r="Q451" i="34"/>
  <c r="N451" i="34"/>
  <c r="M451" i="34"/>
  <c r="M459" i="34" s="1"/>
  <c r="L451" i="34"/>
  <c r="G451" i="34"/>
  <c r="U450" i="34"/>
  <c r="V450" i="34" s="1"/>
  <c r="O450" i="34"/>
  <c r="J450" i="34"/>
  <c r="U449" i="34"/>
  <c r="J449" i="34"/>
  <c r="O449" i="34" s="1"/>
  <c r="J448" i="34"/>
  <c r="R442" i="34"/>
  <c r="G442" i="34"/>
  <c r="U440" i="34"/>
  <c r="S440" i="34"/>
  <c r="R440" i="34"/>
  <c r="Q440" i="34"/>
  <c r="N440" i="34"/>
  <c r="M440" i="34"/>
  <c r="M442" i="34" s="1"/>
  <c r="L440" i="34"/>
  <c r="J440" i="34"/>
  <c r="G440" i="34"/>
  <c r="V439" i="34"/>
  <c r="V440" i="34" s="1"/>
  <c r="U439" i="34"/>
  <c r="O439" i="34"/>
  <c r="W439" i="34" s="1"/>
  <c r="J439" i="34"/>
  <c r="V438" i="34"/>
  <c r="U438" i="34"/>
  <c r="O438" i="34"/>
  <c r="J438" i="34"/>
  <c r="S435" i="34"/>
  <c r="S442" i="34" s="1"/>
  <c r="R435" i="34"/>
  <c r="Q435" i="34"/>
  <c r="Q442" i="34" s="1"/>
  <c r="N435" i="34"/>
  <c r="N442" i="34" s="1"/>
  <c r="M435" i="34"/>
  <c r="L435" i="34"/>
  <c r="L442" i="34" s="1"/>
  <c r="J435" i="34"/>
  <c r="G435" i="34"/>
  <c r="W434" i="34"/>
  <c r="U434" i="34"/>
  <c r="V434" i="34" s="1"/>
  <c r="O434" i="34"/>
  <c r="V433" i="34"/>
  <c r="V435" i="34" s="1"/>
  <c r="U433" i="34"/>
  <c r="O433" i="34"/>
  <c r="W433" i="34" s="1"/>
  <c r="U432" i="34"/>
  <c r="U431" i="34"/>
  <c r="W431" i="34" s="1"/>
  <c r="O431" i="34"/>
  <c r="U430" i="34"/>
  <c r="W430" i="34" s="1"/>
  <c r="O430" i="34"/>
  <c r="U428" i="34"/>
  <c r="W428" i="34" s="1"/>
  <c r="O428" i="34"/>
  <c r="U427" i="34"/>
  <c r="O427" i="34"/>
  <c r="O425" i="34"/>
  <c r="J425" i="34"/>
  <c r="S424" i="34"/>
  <c r="R424" i="34"/>
  <c r="Q424" i="34"/>
  <c r="N424" i="34"/>
  <c r="M424" i="34"/>
  <c r="L424" i="34"/>
  <c r="J424" i="34"/>
  <c r="G424" i="34"/>
  <c r="J422" i="34"/>
  <c r="O422" i="34" s="1"/>
  <c r="U422" i="34" s="1"/>
  <c r="O421" i="34"/>
  <c r="U421" i="34" s="1"/>
  <c r="W421" i="34" s="1"/>
  <c r="J421" i="34"/>
  <c r="J420" i="34"/>
  <c r="O420" i="34" s="1"/>
  <c r="O424" i="34" s="1"/>
  <c r="A419" i="34"/>
  <c r="R404" i="34"/>
  <c r="M404" i="34"/>
  <c r="G404" i="34"/>
  <c r="S402" i="34"/>
  <c r="S404" i="34" s="1"/>
  <c r="R402" i="34"/>
  <c r="Q402" i="34"/>
  <c r="Q404" i="34" s="1"/>
  <c r="O402" i="34"/>
  <c r="N402" i="34"/>
  <c r="N404" i="34" s="1"/>
  <c r="M402" i="34"/>
  <c r="L402" i="34"/>
  <c r="L404" i="34" s="1"/>
  <c r="G402" i="34"/>
  <c r="V401" i="34"/>
  <c r="U401" i="34"/>
  <c r="J401" i="34"/>
  <c r="W401" i="34" s="1"/>
  <c r="W400" i="34"/>
  <c r="U400" i="34"/>
  <c r="V400" i="34" s="1"/>
  <c r="J400" i="34"/>
  <c r="J402" i="34" s="1"/>
  <c r="I402" i="34" s="1"/>
  <c r="W397" i="34"/>
  <c r="J397" i="34"/>
  <c r="O397" i="34" s="1"/>
  <c r="U397" i="34" s="1"/>
  <c r="V397" i="34" s="1"/>
  <c r="X397" i="34" s="1"/>
  <c r="S395" i="34"/>
  <c r="R395" i="34"/>
  <c r="Q395" i="34"/>
  <c r="N395" i="34"/>
  <c r="M395" i="34"/>
  <c r="L395" i="34"/>
  <c r="G395" i="34"/>
  <c r="U394" i="34"/>
  <c r="J394" i="34"/>
  <c r="O394" i="34" s="1"/>
  <c r="O393" i="34"/>
  <c r="U393" i="34" s="1"/>
  <c r="J393" i="34"/>
  <c r="J392" i="34"/>
  <c r="R388" i="34"/>
  <c r="S386" i="34"/>
  <c r="R386" i="34"/>
  <c r="Q386" i="34"/>
  <c r="N386" i="34"/>
  <c r="M386" i="34"/>
  <c r="L386" i="34"/>
  <c r="G386" i="34"/>
  <c r="I386" i="34" s="1"/>
  <c r="O385" i="34"/>
  <c r="U385" i="34" s="1"/>
  <c r="J385" i="34"/>
  <c r="J384" i="34"/>
  <c r="J386" i="34" s="1"/>
  <c r="S381" i="34"/>
  <c r="R381" i="34"/>
  <c r="Q381" i="34"/>
  <c r="N381" i="34"/>
  <c r="M381" i="34"/>
  <c r="L381" i="34"/>
  <c r="G381" i="34"/>
  <c r="O380" i="34"/>
  <c r="U380" i="34" s="1"/>
  <c r="J380" i="34"/>
  <c r="J379" i="34"/>
  <c r="O379" i="34" s="1"/>
  <c r="S376" i="34"/>
  <c r="R376" i="34"/>
  <c r="Q376" i="34"/>
  <c r="N376" i="34"/>
  <c r="M376" i="34"/>
  <c r="L376" i="34"/>
  <c r="G376" i="34"/>
  <c r="U375" i="34"/>
  <c r="J375" i="34"/>
  <c r="O375" i="34" s="1"/>
  <c r="J374" i="34"/>
  <c r="O374" i="34" s="1"/>
  <c r="U374" i="34" s="1"/>
  <c r="J372" i="34"/>
  <c r="O372" i="34" s="1"/>
  <c r="U372" i="34" s="1"/>
  <c r="O371" i="34"/>
  <c r="U371" i="34" s="1"/>
  <c r="V371" i="34" s="1"/>
  <c r="J371" i="34"/>
  <c r="J369" i="34"/>
  <c r="O369" i="34" s="1"/>
  <c r="U369" i="34" s="1"/>
  <c r="J368" i="34"/>
  <c r="R365" i="34"/>
  <c r="Q365" i="34"/>
  <c r="G365" i="34"/>
  <c r="O363" i="34"/>
  <c r="U363" i="34" s="1"/>
  <c r="W363" i="34" s="1"/>
  <c r="J362" i="34"/>
  <c r="O362" i="34" s="1"/>
  <c r="U362" i="34" s="1"/>
  <c r="S360" i="34"/>
  <c r="R360" i="34"/>
  <c r="Q360" i="34"/>
  <c r="N360" i="34"/>
  <c r="M360" i="34"/>
  <c r="M388" i="34" s="1"/>
  <c r="L360" i="34"/>
  <c r="L388" i="34" s="1"/>
  <c r="G360" i="34"/>
  <c r="G388" i="34" s="1"/>
  <c r="O359" i="34"/>
  <c r="U359" i="34" s="1"/>
  <c r="J359" i="34"/>
  <c r="J358" i="34"/>
  <c r="O358" i="34" s="1"/>
  <c r="G355" i="34"/>
  <c r="A353" i="34"/>
  <c r="R336" i="34"/>
  <c r="G336" i="34"/>
  <c r="S334" i="34"/>
  <c r="R334" i="34"/>
  <c r="Q334" i="34"/>
  <c r="N334" i="34"/>
  <c r="M334" i="34"/>
  <c r="L334" i="34"/>
  <c r="G334" i="34"/>
  <c r="J333" i="34"/>
  <c r="O333" i="34" s="1"/>
  <c r="U333" i="34" s="1"/>
  <c r="J332" i="34"/>
  <c r="O332" i="34" s="1"/>
  <c r="S329" i="34"/>
  <c r="R329" i="34"/>
  <c r="Q329" i="34"/>
  <c r="N329" i="34"/>
  <c r="M329" i="34"/>
  <c r="L329" i="34"/>
  <c r="G329" i="34"/>
  <c r="J328" i="34"/>
  <c r="O328" i="34" s="1"/>
  <c r="U328" i="34" s="1"/>
  <c r="J327" i="34"/>
  <c r="O327" i="34" s="1"/>
  <c r="S324" i="34"/>
  <c r="R324" i="34"/>
  <c r="Q324" i="34"/>
  <c r="N324" i="34"/>
  <c r="M324" i="34"/>
  <c r="L324" i="34"/>
  <c r="G324" i="34"/>
  <c r="V323" i="34"/>
  <c r="J323" i="34"/>
  <c r="O323" i="34" s="1"/>
  <c r="U323" i="34" s="1"/>
  <c r="W323" i="34" s="1"/>
  <c r="O322" i="34"/>
  <c r="J322" i="34"/>
  <c r="R319" i="34"/>
  <c r="L319" i="34"/>
  <c r="L336" i="34" s="1"/>
  <c r="G319" i="34"/>
  <c r="S317" i="34"/>
  <c r="S336" i="34" s="1"/>
  <c r="R317" i="34"/>
  <c r="Q317" i="34"/>
  <c r="N317" i="34"/>
  <c r="N319" i="34" s="1"/>
  <c r="M317" i="34"/>
  <c r="M319" i="34" s="1"/>
  <c r="M336" i="34" s="1"/>
  <c r="L317" i="34"/>
  <c r="G317" i="34"/>
  <c r="J316" i="34"/>
  <c r="O316" i="34" s="1"/>
  <c r="U316" i="34" s="1"/>
  <c r="V315" i="34"/>
  <c r="J315" i="34"/>
  <c r="O315" i="34" s="1"/>
  <c r="U315" i="34" s="1"/>
  <c r="W315" i="34" s="1"/>
  <c r="O314" i="34"/>
  <c r="U314" i="34" s="1"/>
  <c r="J314" i="34"/>
  <c r="O313" i="34"/>
  <c r="U313" i="34" s="1"/>
  <c r="J313" i="34"/>
  <c r="J312" i="34"/>
  <c r="O312" i="34" s="1"/>
  <c r="N307" i="34"/>
  <c r="G307" i="34"/>
  <c r="S304" i="34"/>
  <c r="R304" i="34"/>
  <c r="Q304" i="34"/>
  <c r="N304" i="34"/>
  <c r="M304" i="34"/>
  <c r="L304" i="34"/>
  <c r="G304" i="34"/>
  <c r="J303" i="34"/>
  <c r="O303" i="34" s="1"/>
  <c r="U303" i="34" s="1"/>
  <c r="J302" i="34"/>
  <c r="S299" i="34"/>
  <c r="R299" i="34"/>
  <c r="R307" i="34" s="1"/>
  <c r="Q299" i="34"/>
  <c r="Q307" i="34" s="1"/>
  <c r="N299" i="34"/>
  <c r="M299" i="34"/>
  <c r="L299" i="34"/>
  <c r="G299" i="34"/>
  <c r="J298" i="34"/>
  <c r="O298" i="34" s="1"/>
  <c r="U298" i="34" s="1"/>
  <c r="J297" i="34"/>
  <c r="O297" i="34" s="1"/>
  <c r="S294" i="34"/>
  <c r="R294" i="34"/>
  <c r="Q294" i="34"/>
  <c r="N294" i="34"/>
  <c r="M294" i="34"/>
  <c r="L294" i="34"/>
  <c r="J294" i="34"/>
  <c r="I294" i="34" s="1"/>
  <c r="G294" i="34"/>
  <c r="J293" i="34"/>
  <c r="O293" i="34" s="1"/>
  <c r="U293" i="34" s="1"/>
  <c r="J292" i="34"/>
  <c r="O292" i="34" s="1"/>
  <c r="R289" i="34"/>
  <c r="Q289" i="34"/>
  <c r="N289" i="34"/>
  <c r="G289" i="34"/>
  <c r="S287" i="34"/>
  <c r="S307" i="34" s="1"/>
  <c r="R287" i="34"/>
  <c r="Q287" i="34"/>
  <c r="N287" i="34"/>
  <c r="M287" i="34"/>
  <c r="L287" i="34"/>
  <c r="L307" i="34" s="1"/>
  <c r="G287" i="34"/>
  <c r="U286" i="34"/>
  <c r="O286" i="34"/>
  <c r="J286" i="34"/>
  <c r="J285" i="34"/>
  <c r="O285" i="34" s="1"/>
  <c r="U285" i="34" s="1"/>
  <c r="J284" i="34"/>
  <c r="O284" i="34" s="1"/>
  <c r="U284" i="34" s="1"/>
  <c r="J283" i="34"/>
  <c r="O283" i="34" s="1"/>
  <c r="A283" i="34"/>
  <c r="U282" i="34"/>
  <c r="O282" i="34"/>
  <c r="J282" i="34"/>
  <c r="A282" i="34"/>
  <c r="S266" i="34"/>
  <c r="G266" i="34"/>
  <c r="U264" i="34"/>
  <c r="J264" i="34"/>
  <c r="O264" i="34" s="1"/>
  <c r="S262" i="34"/>
  <c r="R262" i="34"/>
  <c r="Q262" i="34"/>
  <c r="N262" i="34"/>
  <c r="M262" i="34"/>
  <c r="L262" i="34"/>
  <c r="G262" i="34"/>
  <c r="J261" i="34"/>
  <c r="O261" i="34" s="1"/>
  <c r="U261" i="34" s="1"/>
  <c r="J260" i="34"/>
  <c r="O260" i="34" s="1"/>
  <c r="U257" i="34"/>
  <c r="O257" i="34"/>
  <c r="J257" i="34"/>
  <c r="S255" i="34"/>
  <c r="R255" i="34"/>
  <c r="R266" i="34" s="1"/>
  <c r="Q255" i="34"/>
  <c r="Q266" i="34" s="1"/>
  <c r="N255" i="34"/>
  <c r="N266" i="34" s="1"/>
  <c r="M255" i="34"/>
  <c r="M266" i="34" s="1"/>
  <c r="L255" i="34"/>
  <c r="L266" i="34" s="1"/>
  <c r="I255" i="34"/>
  <c r="G255" i="34"/>
  <c r="O253" i="34"/>
  <c r="U253" i="34" s="1"/>
  <c r="J253" i="34"/>
  <c r="J251" i="34"/>
  <c r="S246" i="34"/>
  <c r="U245" i="34"/>
  <c r="O244" i="34"/>
  <c r="U244" i="34" s="1"/>
  <c r="J244" i="34"/>
  <c r="S242" i="34"/>
  <c r="R242" i="34"/>
  <c r="Q242" i="34"/>
  <c r="O242" i="34"/>
  <c r="N242" i="34"/>
  <c r="M242" i="34"/>
  <c r="L242" i="34"/>
  <c r="G242" i="34"/>
  <c r="W241" i="34"/>
  <c r="J241" i="34"/>
  <c r="O241" i="34" s="1"/>
  <c r="U241" i="34" s="1"/>
  <c r="V241" i="34" s="1"/>
  <c r="U240" i="34"/>
  <c r="O240" i="34"/>
  <c r="J240" i="34"/>
  <c r="O237" i="34"/>
  <c r="U237" i="34" s="1"/>
  <c r="J237" i="34"/>
  <c r="S235" i="34"/>
  <c r="R235" i="34"/>
  <c r="R246" i="34" s="1"/>
  <c r="L235" i="34"/>
  <c r="L246" i="34" s="1"/>
  <c r="G235" i="34"/>
  <c r="J233" i="34"/>
  <c r="O233" i="34" s="1"/>
  <c r="U233" i="34" s="1"/>
  <c r="V233" i="34" s="1"/>
  <c r="S231" i="34"/>
  <c r="R231" i="34"/>
  <c r="Q231" i="34"/>
  <c r="Q235" i="34" s="1"/>
  <c r="Q246" i="34" s="1"/>
  <c r="N231" i="34"/>
  <c r="N235" i="34" s="1"/>
  <c r="N246" i="34" s="1"/>
  <c r="M231" i="34"/>
  <c r="M235" i="34" s="1"/>
  <c r="M246" i="34" s="1"/>
  <c r="L231" i="34"/>
  <c r="G231" i="34"/>
  <c r="G246" i="34" s="1"/>
  <c r="U230" i="34"/>
  <c r="V230" i="34" s="1"/>
  <c r="O230" i="34"/>
  <c r="J230" i="34"/>
  <c r="J229" i="34"/>
  <c r="A229" i="34"/>
  <c r="A230" i="34" s="1"/>
  <c r="A231" i="34" s="1"/>
  <c r="A227" i="34"/>
  <c r="O211" i="34"/>
  <c r="U211" i="34" s="1"/>
  <c r="J211" i="34"/>
  <c r="S209" i="34"/>
  <c r="R209" i="34"/>
  <c r="Q209" i="34"/>
  <c r="O209" i="34"/>
  <c r="N209" i="34"/>
  <c r="M209" i="34"/>
  <c r="L209" i="34"/>
  <c r="G209" i="34"/>
  <c r="W208" i="34"/>
  <c r="J208" i="34"/>
  <c r="O208" i="34" s="1"/>
  <c r="U208" i="34" s="1"/>
  <c r="V208" i="34" s="1"/>
  <c r="U207" i="34"/>
  <c r="U209" i="34" s="1"/>
  <c r="V209" i="34" s="1"/>
  <c r="O207" i="34"/>
  <c r="J207" i="34"/>
  <c r="J209" i="34" s="1"/>
  <c r="I209" i="34" s="1"/>
  <c r="O204" i="34"/>
  <c r="U204" i="34" s="1"/>
  <c r="J204" i="34"/>
  <c r="S202" i="34"/>
  <c r="S213" i="34" s="1"/>
  <c r="L202" i="34"/>
  <c r="L213" i="34" s="1"/>
  <c r="U201" i="34"/>
  <c r="J200" i="34"/>
  <c r="W200" i="34" s="1"/>
  <c r="O199" i="34"/>
  <c r="U199" i="34" s="1"/>
  <c r="W199" i="34" s="1"/>
  <c r="J199" i="34"/>
  <c r="S197" i="34"/>
  <c r="R197" i="34"/>
  <c r="R202" i="34" s="1"/>
  <c r="R213" i="34" s="1"/>
  <c r="Q197" i="34"/>
  <c r="Q202" i="34" s="1"/>
  <c r="Q213" i="34" s="1"/>
  <c r="N197" i="34"/>
  <c r="N202" i="34" s="1"/>
  <c r="N213" i="34" s="1"/>
  <c r="M197" i="34"/>
  <c r="M202" i="34" s="1"/>
  <c r="M213" i="34" s="1"/>
  <c r="L197" i="34"/>
  <c r="G197" i="34"/>
  <c r="J196" i="34"/>
  <c r="O196" i="34" s="1"/>
  <c r="U196" i="34" s="1"/>
  <c r="W195" i="34"/>
  <c r="J195" i="34"/>
  <c r="O195" i="34" s="1"/>
  <c r="U195" i="34" s="1"/>
  <c r="V195" i="34" s="1"/>
  <c r="U194" i="34"/>
  <c r="O194" i="34"/>
  <c r="J194" i="34"/>
  <c r="L188" i="34"/>
  <c r="U186" i="34"/>
  <c r="O186" i="34"/>
  <c r="J186" i="34"/>
  <c r="S184" i="34"/>
  <c r="R184" i="34"/>
  <c r="Q184" i="34"/>
  <c r="N184" i="34"/>
  <c r="M184" i="34"/>
  <c r="L184" i="34"/>
  <c r="I184" i="34"/>
  <c r="G184" i="34"/>
  <c r="O183" i="34"/>
  <c r="U183" i="34" s="1"/>
  <c r="J183" i="34"/>
  <c r="J184" i="34" s="1"/>
  <c r="O182" i="34"/>
  <c r="O184" i="34" s="1"/>
  <c r="J182" i="34"/>
  <c r="W179" i="34"/>
  <c r="V179" i="34"/>
  <c r="O179" i="34"/>
  <c r="J179" i="34"/>
  <c r="S177" i="34"/>
  <c r="L177" i="34"/>
  <c r="O175" i="34"/>
  <c r="U175" i="34" s="1"/>
  <c r="J175" i="34"/>
  <c r="S173" i="34"/>
  <c r="R173" i="34"/>
  <c r="Q173" i="34"/>
  <c r="N173" i="34"/>
  <c r="M173" i="34"/>
  <c r="L173" i="34"/>
  <c r="G173" i="34"/>
  <c r="G177" i="34" s="1"/>
  <c r="U172" i="34"/>
  <c r="O172" i="34"/>
  <c r="J172" i="34"/>
  <c r="J171" i="34"/>
  <c r="O171" i="34" s="1"/>
  <c r="U171" i="34" s="1"/>
  <c r="J170" i="34"/>
  <c r="J173" i="34" s="1"/>
  <c r="I173" i="34" s="1"/>
  <c r="I177" i="34" s="1"/>
  <c r="S166" i="34"/>
  <c r="R166" i="34"/>
  <c r="R177" i="34" s="1"/>
  <c r="R188" i="34" s="1"/>
  <c r="Q166" i="34"/>
  <c r="Q177" i="34" s="1"/>
  <c r="Q188" i="34" s="1"/>
  <c r="N166" i="34"/>
  <c r="N177" i="34" s="1"/>
  <c r="N188" i="34" s="1"/>
  <c r="M166" i="34"/>
  <c r="M177" i="34" s="1"/>
  <c r="M188" i="34" s="1"/>
  <c r="L166" i="34"/>
  <c r="G166" i="34"/>
  <c r="G188" i="34" s="1"/>
  <c r="W165" i="34"/>
  <c r="V165" i="34"/>
  <c r="U165" i="34"/>
  <c r="O165" i="34"/>
  <c r="J165" i="34"/>
  <c r="O164" i="34"/>
  <c r="U164" i="34" s="1"/>
  <c r="J164" i="34"/>
  <c r="O163" i="34"/>
  <c r="U163" i="34" s="1"/>
  <c r="J163" i="34"/>
  <c r="J166" i="34" s="1"/>
  <c r="A163" i="34"/>
  <c r="R146" i="34"/>
  <c r="Q146" i="34"/>
  <c r="W144" i="34"/>
  <c r="J144" i="34"/>
  <c r="O144" i="34" s="1"/>
  <c r="U144" i="34" s="1"/>
  <c r="V144" i="34" s="1"/>
  <c r="X144" i="34" s="1"/>
  <c r="W142" i="34"/>
  <c r="V142" i="34"/>
  <c r="S142" i="34"/>
  <c r="S146" i="34" s="1"/>
  <c r="R142" i="34"/>
  <c r="Q142" i="34"/>
  <c r="N142" i="34"/>
  <c r="N146" i="34" s="1"/>
  <c r="M142" i="34"/>
  <c r="M146" i="34" s="1"/>
  <c r="L142" i="34"/>
  <c r="L146" i="34" s="1"/>
  <c r="J142" i="34"/>
  <c r="J146" i="34" s="1"/>
  <c r="I146" i="34" s="1"/>
  <c r="I142" i="34"/>
  <c r="O141" i="34"/>
  <c r="U141" i="34" s="1"/>
  <c r="U142" i="34" s="1"/>
  <c r="U146" i="34" s="1"/>
  <c r="V146" i="34" s="1"/>
  <c r="X146" i="34" s="1"/>
  <c r="J141" i="34"/>
  <c r="N137" i="34"/>
  <c r="W135" i="34"/>
  <c r="J135" i="34"/>
  <c r="O135" i="34" s="1"/>
  <c r="U135" i="34" s="1"/>
  <c r="V135" i="34" s="1"/>
  <c r="X135" i="34" s="1"/>
  <c r="S133" i="34"/>
  <c r="R133" i="34"/>
  <c r="Q133" i="34"/>
  <c r="N133" i="34"/>
  <c r="M133" i="34"/>
  <c r="L133" i="34"/>
  <c r="G133" i="34"/>
  <c r="O132" i="34"/>
  <c r="U132" i="34" s="1"/>
  <c r="J132" i="34"/>
  <c r="O131" i="34"/>
  <c r="O133" i="34" s="1"/>
  <c r="J131" i="34"/>
  <c r="J133" i="34" s="1"/>
  <c r="I133" i="34" s="1"/>
  <c r="J128" i="34"/>
  <c r="O128" i="34" s="1"/>
  <c r="U128" i="34" s="1"/>
  <c r="S126" i="34"/>
  <c r="S137" i="34" s="1"/>
  <c r="Q126" i="34"/>
  <c r="Q137" i="34" s="1"/>
  <c r="N126" i="34"/>
  <c r="S124" i="34"/>
  <c r="R124" i="34"/>
  <c r="R126" i="34" s="1"/>
  <c r="R137" i="34" s="1"/>
  <c r="Q124" i="34"/>
  <c r="N124" i="34"/>
  <c r="M124" i="34"/>
  <c r="M126" i="34" s="1"/>
  <c r="M137" i="34" s="1"/>
  <c r="L124" i="34"/>
  <c r="L126" i="34" s="1"/>
  <c r="L137" i="34" s="1"/>
  <c r="G124" i="34"/>
  <c r="G137" i="34" s="1"/>
  <c r="U123" i="34"/>
  <c r="O123" i="34"/>
  <c r="J123" i="34"/>
  <c r="J122" i="34"/>
  <c r="A122" i="34"/>
  <c r="A120" i="34"/>
  <c r="G106" i="34"/>
  <c r="O104" i="34"/>
  <c r="U104" i="34" s="1"/>
  <c r="J104" i="34"/>
  <c r="S102" i="34"/>
  <c r="R102" i="34"/>
  <c r="Q102" i="34"/>
  <c r="N102" i="34"/>
  <c r="M102" i="34"/>
  <c r="L102" i="34"/>
  <c r="G102" i="34"/>
  <c r="W101" i="34"/>
  <c r="J101" i="34"/>
  <c r="O101" i="34" s="1"/>
  <c r="U101" i="34" s="1"/>
  <c r="V101" i="34" s="1"/>
  <c r="U100" i="34"/>
  <c r="O100" i="34"/>
  <c r="J100" i="34"/>
  <c r="O97" i="34"/>
  <c r="U97" i="34" s="1"/>
  <c r="J97" i="34"/>
  <c r="R95" i="34"/>
  <c r="R106" i="34" s="1"/>
  <c r="M95" i="34"/>
  <c r="M106" i="34" s="1"/>
  <c r="G95" i="34"/>
  <c r="S93" i="34"/>
  <c r="S95" i="34" s="1"/>
  <c r="S106" i="34" s="1"/>
  <c r="R93" i="34"/>
  <c r="Q93" i="34"/>
  <c r="Q95" i="34" s="1"/>
  <c r="Q106" i="34" s="1"/>
  <c r="N93" i="34"/>
  <c r="N95" i="34" s="1"/>
  <c r="N106" i="34" s="1"/>
  <c r="M93" i="34"/>
  <c r="L93" i="34"/>
  <c r="L95" i="34" s="1"/>
  <c r="L106" i="34" s="1"/>
  <c r="G93" i="34"/>
  <c r="O92" i="34"/>
  <c r="U92" i="34" s="1"/>
  <c r="J92" i="34"/>
  <c r="J91" i="34"/>
  <c r="O91" i="34" s="1"/>
  <c r="G85" i="34"/>
  <c r="V83" i="34"/>
  <c r="X83" i="34" s="1"/>
  <c r="J83" i="34"/>
  <c r="O83" i="34" s="1"/>
  <c r="U83" i="34" s="1"/>
  <c r="W83" i="34" s="1"/>
  <c r="S81" i="34"/>
  <c r="R81" i="34"/>
  <c r="Q81" i="34"/>
  <c r="N81" i="34"/>
  <c r="M81" i="34"/>
  <c r="L81" i="34"/>
  <c r="G81" i="34"/>
  <c r="J80" i="34"/>
  <c r="O80" i="34" s="1"/>
  <c r="U80" i="34" s="1"/>
  <c r="J79" i="34"/>
  <c r="O79" i="34" s="1"/>
  <c r="O76" i="34"/>
  <c r="U76" i="34" s="1"/>
  <c r="J76" i="34"/>
  <c r="S74" i="34"/>
  <c r="S85" i="34" s="1"/>
  <c r="R74" i="34"/>
  <c r="R85" i="34" s="1"/>
  <c r="Q74" i="34"/>
  <c r="Q85" i="34" s="1"/>
  <c r="N74" i="34"/>
  <c r="N85" i="34" s="1"/>
  <c r="M74" i="34"/>
  <c r="M85" i="34" s="1"/>
  <c r="L74" i="34"/>
  <c r="L85" i="34" s="1"/>
  <c r="I74" i="34"/>
  <c r="G74" i="34"/>
  <c r="J72" i="34"/>
  <c r="J74" i="34" s="1"/>
  <c r="A72" i="34"/>
  <c r="A71" i="34"/>
  <c r="O55" i="34"/>
  <c r="U55" i="34" s="1"/>
  <c r="J55" i="34"/>
  <c r="S53" i="34"/>
  <c r="R53" i="34"/>
  <c r="Q53" i="34"/>
  <c r="N53" i="34"/>
  <c r="M53" i="34"/>
  <c r="L53" i="34"/>
  <c r="G53" i="34"/>
  <c r="J52" i="34"/>
  <c r="O52" i="34" s="1"/>
  <c r="U52" i="34" s="1"/>
  <c r="V52" i="34" s="1"/>
  <c r="O51" i="34"/>
  <c r="J51" i="34"/>
  <c r="J53" i="34" s="1"/>
  <c r="I53" i="34" s="1"/>
  <c r="O48" i="34"/>
  <c r="U48" i="34" s="1"/>
  <c r="J48" i="34"/>
  <c r="Q46" i="34"/>
  <c r="Q57" i="34" s="1"/>
  <c r="N46" i="34"/>
  <c r="N57" i="34" s="1"/>
  <c r="S44" i="34"/>
  <c r="S46" i="34" s="1"/>
  <c r="S57" i="34" s="1"/>
  <c r="R44" i="34"/>
  <c r="R46" i="34" s="1"/>
  <c r="R57" i="34" s="1"/>
  <c r="Q44" i="34"/>
  <c r="N44" i="34"/>
  <c r="M44" i="34"/>
  <c r="M46" i="34" s="1"/>
  <c r="M57" i="34" s="1"/>
  <c r="L44" i="34"/>
  <c r="L46" i="34" s="1"/>
  <c r="L57" i="34" s="1"/>
  <c r="G44" i="34"/>
  <c r="G57" i="34" s="1"/>
  <c r="J43" i="34"/>
  <c r="O43" i="34" s="1"/>
  <c r="U43" i="34" s="1"/>
  <c r="J42" i="34"/>
  <c r="O42" i="34" s="1"/>
  <c r="U42" i="34" s="1"/>
  <c r="J41" i="34"/>
  <c r="O41" i="34" s="1"/>
  <c r="U41" i="34" s="1"/>
  <c r="O40" i="34"/>
  <c r="U40" i="34" s="1"/>
  <c r="J40" i="34"/>
  <c r="W39" i="34"/>
  <c r="J39" i="34"/>
  <c r="O39" i="34" s="1"/>
  <c r="U39" i="34" s="1"/>
  <c r="V39" i="34" s="1"/>
  <c r="O38" i="34"/>
  <c r="J38" i="34"/>
  <c r="J44" i="34" s="1"/>
  <c r="Q33" i="34"/>
  <c r="J31" i="34"/>
  <c r="O31" i="34" s="1"/>
  <c r="U31" i="34" s="1"/>
  <c r="S29" i="34"/>
  <c r="R29" i="34"/>
  <c r="Q29" i="34"/>
  <c r="N29" i="34"/>
  <c r="M29" i="34"/>
  <c r="L29" i="34"/>
  <c r="G29" i="34"/>
  <c r="J28" i="34"/>
  <c r="O28" i="34" s="1"/>
  <c r="U28" i="34" s="1"/>
  <c r="J27" i="34"/>
  <c r="O24" i="34"/>
  <c r="U24" i="34" s="1"/>
  <c r="J24" i="34"/>
  <c r="Q22" i="34"/>
  <c r="N22" i="34"/>
  <c r="N33" i="34" s="1"/>
  <c r="S20" i="34"/>
  <c r="S22" i="34" s="1"/>
  <c r="S33" i="34" s="1"/>
  <c r="R20" i="34"/>
  <c r="R22" i="34" s="1"/>
  <c r="R33" i="34" s="1"/>
  <c r="Q20" i="34"/>
  <c r="N20" i="34"/>
  <c r="M20" i="34"/>
  <c r="M22" i="34" s="1"/>
  <c r="M33" i="34" s="1"/>
  <c r="L20" i="34"/>
  <c r="L22" i="34" s="1"/>
  <c r="L33" i="34" s="1"/>
  <c r="G20" i="34"/>
  <c r="G22" i="34" s="1"/>
  <c r="O19" i="34"/>
  <c r="U19" i="34" s="1"/>
  <c r="J19" i="34"/>
  <c r="O18" i="34"/>
  <c r="U18" i="34" s="1"/>
  <c r="J18" i="34"/>
  <c r="A18" i="34"/>
  <c r="J17" i="34"/>
  <c r="O17" i="34" s="1"/>
  <c r="U17" i="34" s="1"/>
  <c r="A17" i="34"/>
  <c r="J16" i="34"/>
  <c r="J20" i="34" s="1"/>
  <c r="A16" i="34"/>
  <c r="V857" i="33"/>
  <c r="N857" i="33"/>
  <c r="P857" i="33" s="1"/>
  <c r="R855" i="33"/>
  <c r="Q855" i="33"/>
  <c r="P855" i="33"/>
  <c r="M855" i="33"/>
  <c r="L855" i="33"/>
  <c r="T853" i="33"/>
  <c r="V853" i="33" s="1"/>
  <c r="N853" i="33"/>
  <c r="U851" i="33"/>
  <c r="W851" i="33" s="1"/>
  <c r="N851" i="33"/>
  <c r="T851" i="33" s="1"/>
  <c r="V851" i="33" s="1"/>
  <c r="W850" i="33"/>
  <c r="U850" i="33"/>
  <c r="N850" i="33"/>
  <c r="T850" i="33" s="1"/>
  <c r="V850" i="33" s="1"/>
  <c r="W849" i="33"/>
  <c r="N849" i="33"/>
  <c r="T849" i="33" s="1"/>
  <c r="V849" i="33" s="1"/>
  <c r="J849" i="33"/>
  <c r="J847" i="33"/>
  <c r="R833" i="33"/>
  <c r="Q833" i="33"/>
  <c r="P833" i="33"/>
  <c r="M833" i="33"/>
  <c r="L833" i="33"/>
  <c r="G833" i="33"/>
  <c r="C833" i="33"/>
  <c r="V831" i="33"/>
  <c r="V830" i="33"/>
  <c r="V829" i="33"/>
  <c r="V828" i="33"/>
  <c r="V827" i="33"/>
  <c r="V825" i="33"/>
  <c r="V824" i="33"/>
  <c r="V823" i="33"/>
  <c r="V822" i="33"/>
  <c r="T821" i="33"/>
  <c r="V821" i="33" s="1"/>
  <c r="N821" i="33"/>
  <c r="J819" i="33"/>
  <c r="N819" i="33" s="1"/>
  <c r="T819" i="33" s="1"/>
  <c r="J818" i="33"/>
  <c r="J833" i="33" s="1"/>
  <c r="I833" i="33" s="1"/>
  <c r="U815" i="33"/>
  <c r="T815" i="33"/>
  <c r="N815" i="33"/>
  <c r="R813" i="33"/>
  <c r="Q813" i="33"/>
  <c r="P813" i="33"/>
  <c r="M813" i="33"/>
  <c r="L813" i="33"/>
  <c r="G813" i="33"/>
  <c r="C813" i="33"/>
  <c r="N811" i="33"/>
  <c r="T811" i="33" s="1"/>
  <c r="J810" i="33"/>
  <c r="J809" i="33"/>
  <c r="N809" i="33" s="1"/>
  <c r="T809" i="33" s="1"/>
  <c r="J808" i="33"/>
  <c r="N808" i="33" s="1"/>
  <c r="R794" i="33"/>
  <c r="Q794" i="33"/>
  <c r="P794" i="33"/>
  <c r="M794" i="33"/>
  <c r="L794" i="33"/>
  <c r="L859" i="33" s="1"/>
  <c r="G794" i="33"/>
  <c r="C794" i="33"/>
  <c r="V792" i="33"/>
  <c r="T792" i="33"/>
  <c r="N791" i="33"/>
  <c r="T791" i="33" s="1"/>
  <c r="V791" i="33" s="1"/>
  <c r="T789" i="33"/>
  <c r="V789" i="33" s="1"/>
  <c r="N789" i="33"/>
  <c r="N788" i="33"/>
  <c r="T788" i="33" s="1"/>
  <c r="V788" i="33" s="1"/>
  <c r="V785" i="33"/>
  <c r="T784" i="33"/>
  <c r="V784" i="33" s="1"/>
  <c r="N784" i="33"/>
  <c r="J784" i="33"/>
  <c r="N783" i="33"/>
  <c r="T783" i="33" s="1"/>
  <c r="V783" i="33" s="1"/>
  <c r="J783" i="33"/>
  <c r="J782" i="33"/>
  <c r="N782" i="33" s="1"/>
  <c r="T782" i="33" s="1"/>
  <c r="V782" i="33" s="1"/>
  <c r="J778" i="33"/>
  <c r="N778" i="33" s="1"/>
  <c r="T778" i="33" s="1"/>
  <c r="V778" i="33" s="1"/>
  <c r="T777" i="33"/>
  <c r="N777" i="33"/>
  <c r="J777" i="33"/>
  <c r="N776" i="33"/>
  <c r="T776" i="33" s="1"/>
  <c r="J776" i="33"/>
  <c r="J794" i="33" s="1"/>
  <c r="I794" i="33" s="1"/>
  <c r="A776" i="33"/>
  <c r="T774" i="33"/>
  <c r="N774" i="33"/>
  <c r="N794" i="33" s="1"/>
  <c r="R760" i="33"/>
  <c r="P760" i="33"/>
  <c r="M760" i="33"/>
  <c r="L760" i="33"/>
  <c r="G760" i="33"/>
  <c r="N758" i="33"/>
  <c r="T758" i="33" s="1"/>
  <c r="V758" i="33" s="1"/>
  <c r="N757" i="33"/>
  <c r="T757" i="33" s="1"/>
  <c r="V757" i="33" s="1"/>
  <c r="N754" i="33"/>
  <c r="T754" i="33" s="1"/>
  <c r="V754" i="33" s="1"/>
  <c r="N753" i="33"/>
  <c r="T753" i="33" s="1"/>
  <c r="V753" i="33" s="1"/>
  <c r="I751" i="33"/>
  <c r="J751" i="33" s="1"/>
  <c r="T750" i="33"/>
  <c r="N750" i="33"/>
  <c r="J750" i="33"/>
  <c r="N749" i="33"/>
  <c r="T749" i="33" s="1"/>
  <c r="J749" i="33"/>
  <c r="W748" i="33"/>
  <c r="N748" i="33"/>
  <c r="T748" i="33" s="1"/>
  <c r="V748" i="33" s="1"/>
  <c r="J748" i="33"/>
  <c r="V747" i="33"/>
  <c r="I747" i="33"/>
  <c r="U746" i="33"/>
  <c r="W746" i="33" s="1"/>
  <c r="J746" i="33"/>
  <c r="N746" i="33" s="1"/>
  <c r="T746" i="33" s="1"/>
  <c r="V746" i="33" s="1"/>
  <c r="T743" i="33"/>
  <c r="N743" i="33"/>
  <c r="J743" i="33"/>
  <c r="N741" i="33"/>
  <c r="T741" i="33" s="1"/>
  <c r="J741" i="33"/>
  <c r="J740" i="33"/>
  <c r="N740" i="33" s="1"/>
  <c r="T740" i="33" s="1"/>
  <c r="N739" i="33"/>
  <c r="T739" i="33" s="1"/>
  <c r="J739" i="33"/>
  <c r="J738" i="33"/>
  <c r="N738" i="33" s="1"/>
  <c r="T738" i="33" s="1"/>
  <c r="N737" i="33"/>
  <c r="T737" i="33" s="1"/>
  <c r="J737" i="33"/>
  <c r="T733" i="33"/>
  <c r="V733" i="33" s="1"/>
  <c r="N733" i="33"/>
  <c r="R730" i="33"/>
  <c r="Q730" i="33"/>
  <c r="P730" i="33"/>
  <c r="M730" i="33"/>
  <c r="L730" i="33"/>
  <c r="J730" i="33"/>
  <c r="I730" i="33"/>
  <c r="G730" i="33"/>
  <c r="N728" i="33"/>
  <c r="N730" i="33" s="1"/>
  <c r="J728" i="33"/>
  <c r="R725" i="33"/>
  <c r="Q725" i="33"/>
  <c r="P725" i="33"/>
  <c r="M725" i="33"/>
  <c r="M859" i="33" s="1"/>
  <c r="L725" i="33"/>
  <c r="U723" i="33"/>
  <c r="W723" i="33" s="1"/>
  <c r="N723" i="33"/>
  <c r="T723" i="33" s="1"/>
  <c r="V723" i="33" s="1"/>
  <c r="G723" i="33"/>
  <c r="J723" i="33" s="1"/>
  <c r="A723" i="33"/>
  <c r="W722" i="33"/>
  <c r="J722" i="33"/>
  <c r="N722" i="33" s="1"/>
  <c r="Q705" i="33"/>
  <c r="R702" i="33"/>
  <c r="Q702" i="33"/>
  <c r="P702" i="33"/>
  <c r="M702" i="33"/>
  <c r="L702" i="33"/>
  <c r="W700" i="33"/>
  <c r="J700" i="33"/>
  <c r="N700" i="33" s="1"/>
  <c r="T700" i="33" s="1"/>
  <c r="V700" i="33" s="1"/>
  <c r="T698" i="33"/>
  <c r="J698" i="33"/>
  <c r="N698" i="33" s="1"/>
  <c r="J696" i="33"/>
  <c r="N696" i="33" s="1"/>
  <c r="T696" i="33" s="1"/>
  <c r="T695" i="33"/>
  <c r="J695" i="33"/>
  <c r="N695" i="33" s="1"/>
  <c r="W694" i="33"/>
  <c r="J694" i="33"/>
  <c r="N694" i="33" s="1"/>
  <c r="T694" i="33" s="1"/>
  <c r="V694" i="33" s="1"/>
  <c r="J693" i="33"/>
  <c r="N693" i="33" s="1"/>
  <c r="T693" i="33" s="1"/>
  <c r="U691" i="33"/>
  <c r="W691" i="33" s="1"/>
  <c r="J691" i="33"/>
  <c r="N691" i="33" s="1"/>
  <c r="T691" i="33" s="1"/>
  <c r="R687" i="33"/>
  <c r="R705" i="33" s="1"/>
  <c r="Q687" i="33"/>
  <c r="P687" i="33"/>
  <c r="P705" i="33" s="1"/>
  <c r="M687" i="33"/>
  <c r="M705" i="33" s="1"/>
  <c r="L687" i="33"/>
  <c r="L705" i="33" s="1"/>
  <c r="I687" i="33"/>
  <c r="G687" i="33"/>
  <c r="G702" i="33" s="1"/>
  <c r="W685" i="33"/>
  <c r="N685" i="33"/>
  <c r="T685" i="33" s="1"/>
  <c r="V685" i="33" s="1"/>
  <c r="J685" i="33"/>
  <c r="J683" i="33"/>
  <c r="N683" i="33" s="1"/>
  <c r="T683" i="33" s="1"/>
  <c r="T682" i="33"/>
  <c r="V682" i="33" s="1"/>
  <c r="N682" i="33"/>
  <c r="J682" i="33"/>
  <c r="A682" i="33"/>
  <c r="V680" i="33"/>
  <c r="N680" i="33"/>
  <c r="T680" i="33" s="1"/>
  <c r="U680" i="33" s="1"/>
  <c r="W680" i="33" s="1"/>
  <c r="J680" i="33"/>
  <c r="J687" i="33" s="1"/>
  <c r="R664" i="33"/>
  <c r="Q664" i="33"/>
  <c r="P664" i="33"/>
  <c r="M664" i="33"/>
  <c r="L664" i="33"/>
  <c r="W662" i="33"/>
  <c r="T662" i="33"/>
  <c r="V662" i="33" s="1"/>
  <c r="N662" i="33"/>
  <c r="J662" i="33"/>
  <c r="V660" i="33"/>
  <c r="N660" i="33"/>
  <c r="T660" i="33" s="1"/>
  <c r="U660" i="33" s="1"/>
  <c r="W660" i="33" s="1"/>
  <c r="J660" i="33"/>
  <c r="W658" i="33"/>
  <c r="T658" i="33"/>
  <c r="V658" i="33" s="1"/>
  <c r="N658" i="33"/>
  <c r="J658" i="33"/>
  <c r="W657" i="33"/>
  <c r="J657" i="33"/>
  <c r="N657" i="33" s="1"/>
  <c r="T657" i="33" s="1"/>
  <c r="V657" i="33" s="1"/>
  <c r="W656" i="33"/>
  <c r="J656" i="33"/>
  <c r="N656" i="33" s="1"/>
  <c r="T656" i="33" s="1"/>
  <c r="V656" i="33" s="1"/>
  <c r="W655" i="33"/>
  <c r="N655" i="33"/>
  <c r="T655" i="33" s="1"/>
  <c r="V655" i="33" s="1"/>
  <c r="J655" i="33"/>
  <c r="J653" i="33"/>
  <c r="N653" i="33" s="1"/>
  <c r="R649" i="33"/>
  <c r="R666" i="33" s="1"/>
  <c r="Q649" i="33"/>
  <c r="Q666" i="33" s="1"/>
  <c r="P649" i="33"/>
  <c r="P666" i="33" s="1"/>
  <c r="M649" i="33"/>
  <c r="M666" i="33" s="1"/>
  <c r="L649" i="33"/>
  <c r="L666" i="33" s="1"/>
  <c r="G649" i="33"/>
  <c r="G664" i="33" s="1"/>
  <c r="G666" i="33" s="1"/>
  <c r="W647" i="33"/>
  <c r="N647" i="33"/>
  <c r="T647" i="33" s="1"/>
  <c r="V647" i="33" s="1"/>
  <c r="J647" i="33"/>
  <c r="J645" i="33"/>
  <c r="N645" i="33" s="1"/>
  <c r="T645" i="33" s="1"/>
  <c r="J644" i="33"/>
  <c r="N644" i="33" s="1"/>
  <c r="T644" i="33" s="1"/>
  <c r="N642" i="33"/>
  <c r="T642" i="33" s="1"/>
  <c r="U642" i="33" s="1"/>
  <c r="W642" i="33" s="1"/>
  <c r="J642" i="33"/>
  <c r="U641" i="33"/>
  <c r="W641" i="33" s="1"/>
  <c r="J641" i="33"/>
  <c r="N641" i="33" s="1"/>
  <c r="T641" i="33" s="1"/>
  <c r="V641" i="33" s="1"/>
  <c r="T639" i="33"/>
  <c r="J639" i="33"/>
  <c r="N639" i="33" s="1"/>
  <c r="A639" i="33"/>
  <c r="N638" i="33"/>
  <c r="T638" i="33" s="1"/>
  <c r="J638" i="33"/>
  <c r="A638" i="33"/>
  <c r="J635" i="33"/>
  <c r="R619" i="33"/>
  <c r="Q619" i="33"/>
  <c r="P619" i="33"/>
  <c r="M619" i="33"/>
  <c r="L619" i="33"/>
  <c r="W617" i="33"/>
  <c r="N617" i="33"/>
  <c r="T617" i="33" s="1"/>
  <c r="V617" i="33" s="1"/>
  <c r="J617" i="33"/>
  <c r="J615" i="33"/>
  <c r="N615" i="33" s="1"/>
  <c r="T615" i="33" s="1"/>
  <c r="J613" i="33"/>
  <c r="N613" i="33" s="1"/>
  <c r="T613" i="33" s="1"/>
  <c r="V613" i="33" s="1"/>
  <c r="T612" i="33"/>
  <c r="V612" i="33" s="1"/>
  <c r="N612" i="33"/>
  <c r="J612" i="33"/>
  <c r="W611" i="33"/>
  <c r="J611" i="33"/>
  <c r="N611" i="33" s="1"/>
  <c r="T611" i="33" s="1"/>
  <c r="V611" i="33" s="1"/>
  <c r="W610" i="33"/>
  <c r="N610" i="33"/>
  <c r="T610" i="33" s="1"/>
  <c r="V610" i="33" s="1"/>
  <c r="J610" i="33"/>
  <c r="J608" i="33"/>
  <c r="J619" i="33" s="1"/>
  <c r="I619" i="33" s="1"/>
  <c r="R604" i="33"/>
  <c r="R621" i="33" s="1"/>
  <c r="Q604" i="33"/>
  <c r="Q621" i="33" s="1"/>
  <c r="P604" i="33"/>
  <c r="P621" i="33" s="1"/>
  <c r="M604" i="33"/>
  <c r="M621" i="33" s="1"/>
  <c r="L604" i="33"/>
  <c r="G604" i="33"/>
  <c r="G619" i="33" s="1"/>
  <c r="N602" i="33"/>
  <c r="T602" i="33" s="1"/>
  <c r="J602" i="33"/>
  <c r="J600" i="33"/>
  <c r="N600" i="33" s="1"/>
  <c r="T600" i="33" s="1"/>
  <c r="J599" i="33"/>
  <c r="N599" i="33" s="1"/>
  <c r="T599" i="33" s="1"/>
  <c r="J597" i="33"/>
  <c r="N597" i="33" s="1"/>
  <c r="T597" i="33" s="1"/>
  <c r="J596" i="33"/>
  <c r="N596" i="33" s="1"/>
  <c r="T596" i="33" s="1"/>
  <c r="V594" i="33"/>
  <c r="J594" i="33"/>
  <c r="N594" i="33" s="1"/>
  <c r="T594" i="33" s="1"/>
  <c r="U594" i="33" s="1"/>
  <c r="W594" i="33" s="1"/>
  <c r="U593" i="33"/>
  <c r="W593" i="33" s="1"/>
  <c r="N593" i="33"/>
  <c r="T593" i="33" s="1"/>
  <c r="V593" i="33" s="1"/>
  <c r="J593" i="33"/>
  <c r="T590" i="33"/>
  <c r="T604" i="33" s="1"/>
  <c r="N590" i="33"/>
  <c r="J590" i="33"/>
  <c r="J604" i="33" s="1"/>
  <c r="R587" i="33"/>
  <c r="Q587" i="33"/>
  <c r="P587" i="33"/>
  <c r="M587" i="33"/>
  <c r="G587" i="33"/>
  <c r="U585" i="33"/>
  <c r="W585" i="33" s="1"/>
  <c r="T585" i="33"/>
  <c r="V585" i="33" s="1"/>
  <c r="N585" i="33"/>
  <c r="J585" i="33"/>
  <c r="R583" i="33"/>
  <c r="Q583" i="33"/>
  <c r="P583" i="33"/>
  <c r="M583" i="33"/>
  <c r="L583" i="33"/>
  <c r="L587" i="33" s="1"/>
  <c r="G583" i="33"/>
  <c r="J581" i="33"/>
  <c r="N581" i="33" s="1"/>
  <c r="A581" i="33"/>
  <c r="A583" i="33" s="1"/>
  <c r="U580" i="33"/>
  <c r="W580" i="33" s="1"/>
  <c r="T580" i="33"/>
  <c r="V580" i="33" s="1"/>
  <c r="N580" i="33"/>
  <c r="J580" i="33"/>
  <c r="J583" i="33" s="1"/>
  <c r="R566" i="33"/>
  <c r="Q566" i="33"/>
  <c r="P566" i="33"/>
  <c r="M566" i="33"/>
  <c r="G566" i="33"/>
  <c r="U564" i="33"/>
  <c r="W564" i="33" s="1"/>
  <c r="T564" i="33"/>
  <c r="V564" i="33" s="1"/>
  <c r="N564" i="33"/>
  <c r="J564" i="33"/>
  <c r="R562" i="33"/>
  <c r="Q562" i="33"/>
  <c r="P562" i="33"/>
  <c r="M562" i="33"/>
  <c r="L562" i="33"/>
  <c r="L566" i="33" s="1"/>
  <c r="G562" i="33"/>
  <c r="J560" i="33"/>
  <c r="N560" i="33" s="1"/>
  <c r="U559" i="33"/>
  <c r="W559" i="33" s="1"/>
  <c r="T559" i="33"/>
  <c r="V559" i="33" s="1"/>
  <c r="N559" i="33"/>
  <c r="J559" i="33"/>
  <c r="J562" i="33" s="1"/>
  <c r="I562" i="33" s="1"/>
  <c r="R556" i="33"/>
  <c r="Q556" i="33"/>
  <c r="P556" i="33"/>
  <c r="M556" i="33"/>
  <c r="L556" i="33"/>
  <c r="G556" i="33"/>
  <c r="J554" i="33"/>
  <c r="N554" i="33" s="1"/>
  <c r="U553" i="33"/>
  <c r="W553" i="33" s="1"/>
  <c r="T553" i="33"/>
  <c r="V553" i="33" s="1"/>
  <c r="N553" i="33"/>
  <c r="J553" i="33"/>
  <c r="T552" i="33"/>
  <c r="U552" i="33" s="1"/>
  <c r="W552" i="33" s="1"/>
  <c r="N552" i="33"/>
  <c r="J552" i="33"/>
  <c r="J556" i="33" s="1"/>
  <c r="M548" i="33"/>
  <c r="U546" i="33"/>
  <c r="W546" i="33" s="1"/>
  <c r="T546" i="33"/>
  <c r="V546" i="33" s="1"/>
  <c r="N546" i="33"/>
  <c r="J546" i="33"/>
  <c r="T545" i="33"/>
  <c r="V545" i="33" s="1"/>
  <c r="N545" i="33"/>
  <c r="J545" i="33"/>
  <c r="R543" i="33"/>
  <c r="R548" i="33" s="1"/>
  <c r="Q543" i="33"/>
  <c r="P543" i="33"/>
  <c r="M543" i="33"/>
  <c r="L543" i="33"/>
  <c r="G543" i="33"/>
  <c r="G548" i="33" s="1"/>
  <c r="J541" i="33"/>
  <c r="N541" i="33" s="1"/>
  <c r="T541" i="33" s="1"/>
  <c r="T540" i="33"/>
  <c r="U540" i="33" s="1"/>
  <c r="W540" i="33" s="1"/>
  <c r="N540" i="33"/>
  <c r="J540" i="33"/>
  <c r="N539" i="33"/>
  <c r="N543" i="33" s="1"/>
  <c r="J539" i="33"/>
  <c r="J543" i="33" s="1"/>
  <c r="I543" i="33" s="1"/>
  <c r="R536" i="33"/>
  <c r="Q536" i="33"/>
  <c r="Q548" i="33" s="1"/>
  <c r="P536" i="33"/>
  <c r="P548" i="33" s="1"/>
  <c r="M536" i="33"/>
  <c r="L536" i="33"/>
  <c r="L548" i="33" s="1"/>
  <c r="G536" i="33"/>
  <c r="N535" i="33"/>
  <c r="U534" i="33"/>
  <c r="W534" i="33" s="1"/>
  <c r="J534" i="33"/>
  <c r="N534" i="33" s="1"/>
  <c r="T534" i="33" s="1"/>
  <c r="V534" i="33" s="1"/>
  <c r="W533" i="33"/>
  <c r="U533" i="33"/>
  <c r="T533" i="33"/>
  <c r="V533" i="33" s="1"/>
  <c r="N533" i="33"/>
  <c r="J533" i="33"/>
  <c r="N532" i="33"/>
  <c r="T532" i="33" s="1"/>
  <c r="J532" i="33"/>
  <c r="J536" i="33" s="1"/>
  <c r="W531" i="33"/>
  <c r="J531" i="33"/>
  <c r="N531" i="33" s="1"/>
  <c r="T531" i="33" s="1"/>
  <c r="V531" i="33" s="1"/>
  <c r="A531" i="33"/>
  <c r="T530" i="33"/>
  <c r="U530" i="33" s="1"/>
  <c r="W530" i="33" s="1"/>
  <c r="N530" i="33"/>
  <c r="N536" i="33" s="1"/>
  <c r="N548" i="33" s="1"/>
  <c r="J530" i="33"/>
  <c r="N514" i="33"/>
  <c r="T514" i="33" s="1"/>
  <c r="J514" i="33"/>
  <c r="J513" i="33"/>
  <c r="N513" i="33" s="1"/>
  <c r="T513" i="33" s="1"/>
  <c r="R511" i="33"/>
  <c r="Q511" i="33"/>
  <c r="P511" i="33"/>
  <c r="M511" i="33"/>
  <c r="L511" i="33"/>
  <c r="G511" i="33"/>
  <c r="N510" i="33"/>
  <c r="T509" i="33"/>
  <c r="U509" i="33" s="1"/>
  <c r="W509" i="33" s="1"/>
  <c r="N509" i="33"/>
  <c r="J509" i="33"/>
  <c r="W508" i="33"/>
  <c r="J508" i="33"/>
  <c r="N508" i="33" s="1"/>
  <c r="T508" i="33" s="1"/>
  <c r="V508" i="33" s="1"/>
  <c r="J507" i="33"/>
  <c r="N507" i="33" s="1"/>
  <c r="J502" i="33"/>
  <c r="N502" i="33" s="1"/>
  <c r="T502" i="33" s="1"/>
  <c r="J501" i="33"/>
  <c r="N501" i="33" s="1"/>
  <c r="T501" i="33" s="1"/>
  <c r="R499" i="33"/>
  <c r="Q499" i="33"/>
  <c r="P499" i="33"/>
  <c r="M499" i="33"/>
  <c r="L499" i="33"/>
  <c r="G499" i="33"/>
  <c r="G504" i="33" s="1"/>
  <c r="G516" i="33" s="1"/>
  <c r="J498" i="33"/>
  <c r="N498" i="33" s="1"/>
  <c r="T498" i="33" s="1"/>
  <c r="V498" i="33" s="1"/>
  <c r="N497" i="33"/>
  <c r="T497" i="33" s="1"/>
  <c r="J497" i="33"/>
  <c r="J499" i="33" s="1"/>
  <c r="I499" i="33" s="1"/>
  <c r="R494" i="33"/>
  <c r="R504" i="33" s="1"/>
  <c r="R516" i="33" s="1"/>
  <c r="Q494" i="33"/>
  <c r="Q504" i="33" s="1"/>
  <c r="Q516" i="33" s="1"/>
  <c r="P494" i="33"/>
  <c r="P504" i="33" s="1"/>
  <c r="P516" i="33" s="1"/>
  <c r="M494" i="33"/>
  <c r="M504" i="33" s="1"/>
  <c r="M516" i="33" s="1"/>
  <c r="L494" i="33"/>
  <c r="L504" i="33" s="1"/>
  <c r="L516" i="33" s="1"/>
  <c r="G494" i="33"/>
  <c r="N493" i="33"/>
  <c r="T493" i="33" s="1"/>
  <c r="J493" i="33"/>
  <c r="U492" i="33"/>
  <c r="J492" i="33"/>
  <c r="N492" i="33" s="1"/>
  <c r="T492" i="33" s="1"/>
  <c r="V492" i="33" s="1"/>
  <c r="N491" i="33"/>
  <c r="J491" i="33"/>
  <c r="J494" i="33" s="1"/>
  <c r="T485" i="33"/>
  <c r="J485" i="33"/>
  <c r="N485" i="33" s="1"/>
  <c r="N483" i="33"/>
  <c r="T483" i="33" s="1"/>
  <c r="J483" i="33"/>
  <c r="Q481" i="33"/>
  <c r="Q487" i="33" s="1"/>
  <c r="L481" i="33"/>
  <c r="L487" i="33" s="1"/>
  <c r="R479" i="33"/>
  <c r="R481" i="33" s="1"/>
  <c r="R487" i="33" s="1"/>
  <c r="Q479" i="33"/>
  <c r="P479" i="33"/>
  <c r="P481" i="33" s="1"/>
  <c r="P487" i="33" s="1"/>
  <c r="M479" i="33"/>
  <c r="M481" i="33" s="1"/>
  <c r="M487" i="33" s="1"/>
  <c r="L479" i="33"/>
  <c r="G479" i="33"/>
  <c r="G481" i="33" s="1"/>
  <c r="J478" i="33"/>
  <c r="N478" i="33" s="1"/>
  <c r="T478" i="33" s="1"/>
  <c r="V478" i="33" s="1"/>
  <c r="N477" i="33"/>
  <c r="T477" i="33" s="1"/>
  <c r="J477" i="33"/>
  <c r="U476" i="33"/>
  <c r="J476" i="33"/>
  <c r="N476" i="33" s="1"/>
  <c r="T476" i="33" s="1"/>
  <c r="V476" i="33" s="1"/>
  <c r="A476" i="33"/>
  <c r="N475" i="33"/>
  <c r="T475" i="33" s="1"/>
  <c r="J475" i="33"/>
  <c r="J479" i="33" s="1"/>
  <c r="I479" i="33" s="1"/>
  <c r="A475" i="33"/>
  <c r="J473" i="33"/>
  <c r="J457" i="33"/>
  <c r="N457" i="33" s="1"/>
  <c r="T457" i="33" s="1"/>
  <c r="U457" i="33" s="1"/>
  <c r="W457" i="33" s="1"/>
  <c r="U455" i="33"/>
  <c r="W455" i="33" s="1"/>
  <c r="J455" i="33"/>
  <c r="N455" i="33" s="1"/>
  <c r="T455" i="33" s="1"/>
  <c r="V455" i="33" s="1"/>
  <c r="R451" i="33"/>
  <c r="R453" i="33" s="1"/>
  <c r="R459" i="33" s="1"/>
  <c r="Q451" i="33"/>
  <c r="Q453" i="33" s="1"/>
  <c r="Q459" i="33" s="1"/>
  <c r="P451" i="33"/>
  <c r="P453" i="33" s="1"/>
  <c r="P459" i="33" s="1"/>
  <c r="M451" i="33"/>
  <c r="M453" i="33" s="1"/>
  <c r="M459" i="33" s="1"/>
  <c r="L451" i="33"/>
  <c r="L453" i="33" s="1"/>
  <c r="L459" i="33" s="1"/>
  <c r="G451" i="33"/>
  <c r="G459" i="33" s="1"/>
  <c r="N450" i="33"/>
  <c r="T450" i="33" s="1"/>
  <c r="J450" i="33"/>
  <c r="U449" i="33"/>
  <c r="J449" i="33"/>
  <c r="N449" i="33" s="1"/>
  <c r="T449" i="33" s="1"/>
  <c r="V449" i="33" s="1"/>
  <c r="N448" i="33"/>
  <c r="J448" i="33"/>
  <c r="J451" i="33" s="1"/>
  <c r="I451" i="33" s="1"/>
  <c r="J446" i="33"/>
  <c r="G442" i="33"/>
  <c r="R440" i="33"/>
  <c r="Q440" i="33"/>
  <c r="P440" i="33"/>
  <c r="P442" i="33" s="1"/>
  <c r="M440" i="33"/>
  <c r="L440" i="33"/>
  <c r="J440" i="33"/>
  <c r="G440" i="33"/>
  <c r="T439" i="33"/>
  <c r="V439" i="33" s="1"/>
  <c r="J439" i="33"/>
  <c r="N439" i="33" s="1"/>
  <c r="J438" i="33"/>
  <c r="N438" i="33" s="1"/>
  <c r="R435" i="33"/>
  <c r="Q435" i="33"/>
  <c r="P435" i="33"/>
  <c r="M435" i="33"/>
  <c r="L435" i="33"/>
  <c r="G435" i="33"/>
  <c r="N434" i="33"/>
  <c r="T434" i="33" s="1"/>
  <c r="J434" i="33"/>
  <c r="J433" i="33"/>
  <c r="N433" i="33" s="1"/>
  <c r="T433" i="33" s="1"/>
  <c r="V433" i="33" s="1"/>
  <c r="J431" i="33"/>
  <c r="N431" i="33" s="1"/>
  <c r="T431" i="33" s="1"/>
  <c r="V431" i="33" s="1"/>
  <c r="N430" i="33"/>
  <c r="T430" i="33" s="1"/>
  <c r="V430" i="33" s="1"/>
  <c r="J430" i="33"/>
  <c r="J435" i="33" s="1"/>
  <c r="T428" i="33"/>
  <c r="V428" i="33" s="1"/>
  <c r="J428" i="33"/>
  <c r="J427" i="33"/>
  <c r="N427" i="33" s="1"/>
  <c r="T427" i="33" s="1"/>
  <c r="R424" i="33"/>
  <c r="R442" i="33" s="1"/>
  <c r="Q424" i="33"/>
  <c r="Q442" i="33" s="1"/>
  <c r="P424" i="33"/>
  <c r="M424" i="33"/>
  <c r="M442" i="33" s="1"/>
  <c r="L424" i="33"/>
  <c r="L442" i="33" s="1"/>
  <c r="G424" i="33"/>
  <c r="J422" i="33"/>
  <c r="N422" i="33" s="1"/>
  <c r="T422" i="33" s="1"/>
  <c r="V422" i="33" s="1"/>
  <c r="J421" i="33"/>
  <c r="N421" i="33" s="1"/>
  <c r="T421" i="33" s="1"/>
  <c r="N420" i="33"/>
  <c r="T420" i="33" s="1"/>
  <c r="J420" i="33"/>
  <c r="J419" i="33"/>
  <c r="N419" i="33" s="1"/>
  <c r="T419" i="33" s="1"/>
  <c r="U419" i="33" s="1"/>
  <c r="W419" i="33" s="1"/>
  <c r="A419" i="33"/>
  <c r="J418" i="33"/>
  <c r="N418" i="33" s="1"/>
  <c r="R405" i="33"/>
  <c r="M405" i="33"/>
  <c r="G405" i="33"/>
  <c r="R403" i="33"/>
  <c r="Q403" i="33"/>
  <c r="P403" i="33"/>
  <c r="M403" i="33"/>
  <c r="L403" i="33"/>
  <c r="G403" i="33"/>
  <c r="V402" i="33"/>
  <c r="J402" i="33"/>
  <c r="N402" i="33" s="1"/>
  <c r="T402" i="33" s="1"/>
  <c r="U402" i="33" s="1"/>
  <c r="J401" i="33"/>
  <c r="N401" i="33" s="1"/>
  <c r="N403" i="33" s="1"/>
  <c r="N398" i="33"/>
  <c r="T398" i="33" s="1"/>
  <c r="J398" i="33"/>
  <c r="R396" i="33"/>
  <c r="Q396" i="33"/>
  <c r="Q405" i="33" s="1"/>
  <c r="P396" i="33"/>
  <c r="P405" i="33" s="1"/>
  <c r="M396" i="33"/>
  <c r="L396" i="33"/>
  <c r="L405" i="33" s="1"/>
  <c r="G396" i="33"/>
  <c r="N395" i="33"/>
  <c r="T395" i="33" s="1"/>
  <c r="J395" i="33"/>
  <c r="V394" i="33"/>
  <c r="J394" i="33"/>
  <c r="N394" i="33" s="1"/>
  <c r="T394" i="33" s="1"/>
  <c r="U394" i="33" s="1"/>
  <c r="W394" i="33" s="1"/>
  <c r="J393" i="33"/>
  <c r="N393" i="33" s="1"/>
  <c r="T393" i="33" s="1"/>
  <c r="V393" i="33" s="1"/>
  <c r="J392" i="33"/>
  <c r="N392" i="33" s="1"/>
  <c r="T392" i="33" s="1"/>
  <c r="G389" i="33"/>
  <c r="R387" i="33"/>
  <c r="Q387" i="33"/>
  <c r="P387" i="33"/>
  <c r="M387" i="33"/>
  <c r="L387" i="33"/>
  <c r="G387" i="33"/>
  <c r="J386" i="33"/>
  <c r="N386" i="33" s="1"/>
  <c r="T386" i="33" s="1"/>
  <c r="T385" i="33"/>
  <c r="T387" i="33" s="1"/>
  <c r="U387" i="33" s="1"/>
  <c r="N385" i="33"/>
  <c r="N387" i="33" s="1"/>
  <c r="J385" i="33"/>
  <c r="R382" i="33"/>
  <c r="Q382" i="33"/>
  <c r="P382" i="33"/>
  <c r="M382" i="33"/>
  <c r="L382" i="33"/>
  <c r="G382" i="33"/>
  <c r="T381" i="33"/>
  <c r="U381" i="33" s="1"/>
  <c r="N381" i="33"/>
  <c r="J381" i="33"/>
  <c r="J380" i="33"/>
  <c r="N380" i="33" s="1"/>
  <c r="R377" i="33"/>
  <c r="Q377" i="33"/>
  <c r="P377" i="33"/>
  <c r="G377" i="33"/>
  <c r="M376" i="33"/>
  <c r="M377" i="33" s="1"/>
  <c r="L376" i="33"/>
  <c r="L377" i="33" s="1"/>
  <c r="J376" i="33"/>
  <c r="J375" i="33"/>
  <c r="N375" i="33" s="1"/>
  <c r="T375" i="33" s="1"/>
  <c r="T373" i="33"/>
  <c r="U373" i="33" s="1"/>
  <c r="N373" i="33"/>
  <c r="J373" i="33"/>
  <c r="J372" i="33"/>
  <c r="N372" i="33" s="1"/>
  <c r="T372" i="33" s="1"/>
  <c r="T370" i="33"/>
  <c r="V370" i="33" s="1"/>
  <c r="N370" i="33"/>
  <c r="J370" i="33"/>
  <c r="J369" i="33"/>
  <c r="N369" i="33" s="1"/>
  <c r="N364" i="33"/>
  <c r="T364" i="33" s="1"/>
  <c r="J364" i="33"/>
  <c r="J363" i="33"/>
  <c r="N363" i="33" s="1"/>
  <c r="T363" i="33" s="1"/>
  <c r="R361" i="33"/>
  <c r="Q361" i="33"/>
  <c r="P361" i="33"/>
  <c r="P366" i="33" s="1"/>
  <c r="P389" i="33" s="1"/>
  <c r="O361" i="33"/>
  <c r="M361" i="33"/>
  <c r="L361" i="33"/>
  <c r="G361" i="33"/>
  <c r="G366" i="33" s="1"/>
  <c r="N360" i="33"/>
  <c r="T360" i="33" s="1"/>
  <c r="J360" i="33"/>
  <c r="J359" i="33"/>
  <c r="N359" i="33" s="1"/>
  <c r="R356" i="33"/>
  <c r="R366" i="33" s="1"/>
  <c r="R389" i="33" s="1"/>
  <c r="Q356" i="33"/>
  <c r="Q366" i="33" s="1"/>
  <c r="Q389" i="33" s="1"/>
  <c r="P356" i="33"/>
  <c r="O356" i="33"/>
  <c r="M356" i="33"/>
  <c r="M366" i="33" s="1"/>
  <c r="L356" i="33"/>
  <c r="L366" i="33" s="1"/>
  <c r="L389" i="33" s="1"/>
  <c r="G356" i="33"/>
  <c r="J355" i="33"/>
  <c r="N355" i="33" s="1"/>
  <c r="T355" i="33" s="1"/>
  <c r="J354" i="33"/>
  <c r="N354" i="33" s="1"/>
  <c r="A354" i="33"/>
  <c r="N352" i="33"/>
  <c r="T352" i="33" s="1"/>
  <c r="J352" i="33"/>
  <c r="R337" i="33"/>
  <c r="Q337" i="33"/>
  <c r="P337" i="33"/>
  <c r="M337" i="33"/>
  <c r="L337" i="33"/>
  <c r="G337" i="33"/>
  <c r="J336" i="33"/>
  <c r="N336" i="33" s="1"/>
  <c r="T336" i="33" s="1"/>
  <c r="J335" i="33"/>
  <c r="N335" i="33" s="1"/>
  <c r="R332" i="33"/>
  <c r="Q332" i="33"/>
  <c r="P332" i="33"/>
  <c r="M332" i="33"/>
  <c r="L332" i="33"/>
  <c r="G332" i="33"/>
  <c r="J331" i="33"/>
  <c r="N331" i="33" s="1"/>
  <c r="T331" i="33" s="1"/>
  <c r="J330" i="33"/>
  <c r="N330" i="33" s="1"/>
  <c r="R327" i="33"/>
  <c r="Q327" i="33"/>
  <c r="P327" i="33"/>
  <c r="M327" i="33"/>
  <c r="L327" i="33"/>
  <c r="G327" i="33"/>
  <c r="J326" i="33"/>
  <c r="N326" i="33" s="1"/>
  <c r="T326" i="33" s="1"/>
  <c r="J325" i="33"/>
  <c r="N325" i="33" s="1"/>
  <c r="P322" i="33"/>
  <c r="P339" i="33" s="1"/>
  <c r="R320" i="33"/>
  <c r="R322" i="33" s="1"/>
  <c r="R339" i="33" s="1"/>
  <c r="Q320" i="33"/>
  <c r="Q322" i="33" s="1"/>
  <c r="Q339" i="33" s="1"/>
  <c r="P320" i="33"/>
  <c r="M320" i="33"/>
  <c r="M322" i="33" s="1"/>
  <c r="M339" i="33" s="1"/>
  <c r="L320" i="33"/>
  <c r="L322" i="33" s="1"/>
  <c r="L339" i="33" s="1"/>
  <c r="G320" i="33"/>
  <c r="G322" i="33" s="1"/>
  <c r="G339" i="33" s="1"/>
  <c r="J319" i="33"/>
  <c r="N319" i="33" s="1"/>
  <c r="T319" i="33" s="1"/>
  <c r="J318" i="33"/>
  <c r="N318" i="33" s="1"/>
  <c r="T318" i="33" s="1"/>
  <c r="J317" i="33"/>
  <c r="N317" i="33" s="1"/>
  <c r="T317" i="33" s="1"/>
  <c r="J316" i="33"/>
  <c r="N316" i="33" s="1"/>
  <c r="T316" i="33" s="1"/>
  <c r="J315" i="33"/>
  <c r="N315" i="33" s="1"/>
  <c r="N313" i="33"/>
  <c r="T313" i="33" s="1"/>
  <c r="J313" i="33"/>
  <c r="R308" i="33"/>
  <c r="Q308" i="33"/>
  <c r="P308" i="33"/>
  <c r="M308" i="33"/>
  <c r="L308" i="33"/>
  <c r="G308" i="33"/>
  <c r="J307" i="33"/>
  <c r="N307" i="33" s="1"/>
  <c r="T307" i="33" s="1"/>
  <c r="N306" i="33"/>
  <c r="T306" i="33" s="1"/>
  <c r="J306" i="33"/>
  <c r="J308" i="33" s="1"/>
  <c r="I308" i="33" s="1"/>
  <c r="R303" i="33"/>
  <c r="Q303" i="33"/>
  <c r="P303" i="33"/>
  <c r="M303" i="33"/>
  <c r="L303" i="33"/>
  <c r="G303" i="33"/>
  <c r="N302" i="33"/>
  <c r="T302" i="33" s="1"/>
  <c r="J302" i="33"/>
  <c r="N301" i="33"/>
  <c r="T301" i="33" s="1"/>
  <c r="J301" i="33"/>
  <c r="J303" i="33" s="1"/>
  <c r="I303" i="33" s="1"/>
  <c r="R298" i="33"/>
  <c r="Q298" i="33"/>
  <c r="P298" i="33"/>
  <c r="M298" i="33"/>
  <c r="L298" i="33"/>
  <c r="I298" i="33"/>
  <c r="G298" i="33"/>
  <c r="J297" i="33"/>
  <c r="N297" i="33" s="1"/>
  <c r="T297" i="33" s="1"/>
  <c r="V297" i="33" s="1"/>
  <c r="N296" i="33"/>
  <c r="T296" i="33" s="1"/>
  <c r="J296" i="33"/>
  <c r="J298" i="33" s="1"/>
  <c r="Q293" i="33"/>
  <c r="Q310" i="33" s="1"/>
  <c r="L293" i="33"/>
  <c r="L310" i="33" s="1"/>
  <c r="R291" i="33"/>
  <c r="R293" i="33" s="1"/>
  <c r="R310" i="33" s="1"/>
  <c r="Q291" i="33"/>
  <c r="P291" i="33"/>
  <c r="P293" i="33" s="1"/>
  <c r="P310" i="33" s="1"/>
  <c r="M291" i="33"/>
  <c r="M293" i="33" s="1"/>
  <c r="M310" i="33" s="1"/>
  <c r="L291" i="33"/>
  <c r="I291" i="33"/>
  <c r="G291" i="33"/>
  <c r="G293" i="33" s="1"/>
  <c r="G310" i="33" s="1"/>
  <c r="U290" i="33"/>
  <c r="N290" i="33"/>
  <c r="T290" i="33" s="1"/>
  <c r="V290" i="33" s="1"/>
  <c r="J290" i="33"/>
  <c r="N289" i="33"/>
  <c r="T289" i="33" s="1"/>
  <c r="J289" i="33"/>
  <c r="J288" i="33"/>
  <c r="N288" i="33" s="1"/>
  <c r="T288" i="33" s="1"/>
  <c r="V288" i="33" s="1"/>
  <c r="N287" i="33"/>
  <c r="T287" i="33" s="1"/>
  <c r="J287" i="33"/>
  <c r="U286" i="33"/>
  <c r="N286" i="33"/>
  <c r="T286" i="33" s="1"/>
  <c r="V286" i="33" s="1"/>
  <c r="J286" i="33"/>
  <c r="J291" i="33" s="1"/>
  <c r="A286" i="33"/>
  <c r="J284" i="33"/>
  <c r="J293" i="33" s="1"/>
  <c r="L270" i="33"/>
  <c r="J268" i="33"/>
  <c r="N268" i="33" s="1"/>
  <c r="T268" i="33" s="1"/>
  <c r="R266" i="33"/>
  <c r="Q266" i="33"/>
  <c r="P266" i="33"/>
  <c r="O266" i="33"/>
  <c r="N266" i="33"/>
  <c r="M266" i="33"/>
  <c r="L266" i="33"/>
  <c r="I266" i="33"/>
  <c r="G266" i="33"/>
  <c r="U265" i="33"/>
  <c r="N265" i="33"/>
  <c r="T265" i="33" s="1"/>
  <c r="V265" i="33" s="1"/>
  <c r="J265" i="33"/>
  <c r="N264" i="33"/>
  <c r="T264" i="33" s="1"/>
  <c r="J264" i="33"/>
  <c r="J266" i="33" s="1"/>
  <c r="N262" i="33"/>
  <c r="N261" i="33"/>
  <c r="T261" i="33" s="1"/>
  <c r="J261" i="33"/>
  <c r="R259" i="33"/>
  <c r="Q259" i="33"/>
  <c r="Q270" i="33" s="1"/>
  <c r="P259" i="33"/>
  <c r="P270" i="33" s="1"/>
  <c r="M259" i="33"/>
  <c r="M270" i="33" s="1"/>
  <c r="L259" i="33"/>
  <c r="G259" i="33"/>
  <c r="G270" i="33" s="1"/>
  <c r="N257" i="33"/>
  <c r="T257" i="33" s="1"/>
  <c r="N255" i="33"/>
  <c r="T255" i="33" s="1"/>
  <c r="J255" i="33"/>
  <c r="V254" i="33"/>
  <c r="J254" i="33"/>
  <c r="N254" i="33" s="1"/>
  <c r="T254" i="33" s="1"/>
  <c r="U254" i="33" s="1"/>
  <c r="W254" i="33" s="1"/>
  <c r="J253" i="33"/>
  <c r="U248" i="33"/>
  <c r="W248" i="33" s="1"/>
  <c r="J248" i="33"/>
  <c r="N248" i="33" s="1"/>
  <c r="T248" i="33" s="1"/>
  <c r="V248" i="33" s="1"/>
  <c r="W246" i="33"/>
  <c r="R246" i="33"/>
  <c r="Q246" i="33"/>
  <c r="P246" i="33"/>
  <c r="M246" i="33"/>
  <c r="L246" i="33"/>
  <c r="G246" i="33"/>
  <c r="U245" i="33"/>
  <c r="J245" i="33"/>
  <c r="N245" i="33" s="1"/>
  <c r="T245" i="33" s="1"/>
  <c r="V245" i="33" s="1"/>
  <c r="N244" i="33"/>
  <c r="T244" i="33" s="1"/>
  <c r="J244" i="33"/>
  <c r="J246" i="33" s="1"/>
  <c r="I246" i="33" s="1"/>
  <c r="V241" i="33"/>
  <c r="J241" i="33"/>
  <c r="N241" i="33" s="1"/>
  <c r="T241" i="33" s="1"/>
  <c r="U241" i="33" s="1"/>
  <c r="W241" i="33" s="1"/>
  <c r="P239" i="33"/>
  <c r="P250" i="33" s="1"/>
  <c r="T237" i="33"/>
  <c r="N237" i="33"/>
  <c r="R235" i="33"/>
  <c r="R239" i="33" s="1"/>
  <c r="R250" i="33" s="1"/>
  <c r="Q235" i="33"/>
  <c r="Q239" i="33" s="1"/>
  <c r="Q250" i="33" s="1"/>
  <c r="P235" i="33"/>
  <c r="N235" i="33"/>
  <c r="M235" i="33"/>
  <c r="M239" i="33" s="1"/>
  <c r="M250" i="33" s="1"/>
  <c r="L235" i="33"/>
  <c r="L239" i="33" s="1"/>
  <c r="L250" i="33" s="1"/>
  <c r="G235" i="33"/>
  <c r="G239" i="33" s="1"/>
  <c r="G250" i="33" s="1"/>
  <c r="T234" i="33"/>
  <c r="V234" i="33" s="1"/>
  <c r="J234" i="33"/>
  <c r="T233" i="33"/>
  <c r="J233" i="33"/>
  <c r="J235" i="33" s="1"/>
  <c r="I235" i="33" s="1"/>
  <c r="J231" i="33"/>
  <c r="N231" i="33" s="1"/>
  <c r="T231" i="33" s="1"/>
  <c r="U231" i="33" s="1"/>
  <c r="W231" i="33" s="1"/>
  <c r="A231" i="33"/>
  <c r="J230" i="33"/>
  <c r="N230" i="33" s="1"/>
  <c r="R216" i="33"/>
  <c r="G216" i="33"/>
  <c r="J214" i="33"/>
  <c r="N214" i="33" s="1"/>
  <c r="T214" i="33" s="1"/>
  <c r="V214" i="33" s="1"/>
  <c r="W212" i="33"/>
  <c r="R212" i="33"/>
  <c r="Q212" i="33"/>
  <c r="P212" i="33"/>
  <c r="M212" i="33"/>
  <c r="L212" i="33"/>
  <c r="G212" i="33"/>
  <c r="U211" i="33"/>
  <c r="J211" i="33"/>
  <c r="N211" i="33" s="1"/>
  <c r="T211" i="33" s="1"/>
  <c r="V211" i="33" s="1"/>
  <c r="N210" i="33"/>
  <c r="T210" i="33" s="1"/>
  <c r="J210" i="33"/>
  <c r="J212" i="33" s="1"/>
  <c r="I212" i="33" s="1"/>
  <c r="J207" i="33"/>
  <c r="N207" i="33" s="1"/>
  <c r="T207" i="33" s="1"/>
  <c r="U207" i="33" s="1"/>
  <c r="W207" i="33" s="1"/>
  <c r="T203" i="33"/>
  <c r="N203" i="33"/>
  <c r="N202" i="33"/>
  <c r="T202" i="33" s="1"/>
  <c r="R200" i="33"/>
  <c r="R205" i="33" s="1"/>
  <c r="Q200" i="33"/>
  <c r="Q205" i="33" s="1"/>
  <c r="Q216" i="33" s="1"/>
  <c r="P200" i="33"/>
  <c r="P205" i="33" s="1"/>
  <c r="P216" i="33" s="1"/>
  <c r="N200" i="33"/>
  <c r="M200" i="33"/>
  <c r="M205" i="33" s="1"/>
  <c r="M216" i="33" s="1"/>
  <c r="L200" i="33"/>
  <c r="L205" i="33" s="1"/>
  <c r="L216" i="33" s="1"/>
  <c r="J200" i="33"/>
  <c r="I200" i="33" s="1"/>
  <c r="G200" i="33"/>
  <c r="G205" i="33" s="1"/>
  <c r="V199" i="33"/>
  <c r="T199" i="33"/>
  <c r="U199" i="33" s="1"/>
  <c r="J199" i="33"/>
  <c r="T198" i="33"/>
  <c r="J198" i="33"/>
  <c r="T197" i="33"/>
  <c r="J197" i="33"/>
  <c r="V195" i="33"/>
  <c r="J195" i="33"/>
  <c r="N195" i="33" s="1"/>
  <c r="T195" i="33" s="1"/>
  <c r="U195" i="33" s="1"/>
  <c r="W195" i="33" s="1"/>
  <c r="J194" i="33"/>
  <c r="J205" i="33" s="1"/>
  <c r="J189" i="33"/>
  <c r="N189" i="33" s="1"/>
  <c r="T189" i="33" s="1"/>
  <c r="R187" i="33"/>
  <c r="Q187" i="33"/>
  <c r="P187" i="33"/>
  <c r="M187" i="33"/>
  <c r="L187" i="33"/>
  <c r="G187" i="33"/>
  <c r="J186" i="33"/>
  <c r="N186" i="33" s="1"/>
  <c r="T186" i="33" s="1"/>
  <c r="J185" i="33"/>
  <c r="N185" i="33" s="1"/>
  <c r="J182" i="33"/>
  <c r="N182" i="33" s="1"/>
  <c r="T182" i="33" s="1"/>
  <c r="R180" i="33"/>
  <c r="R191" i="33" s="1"/>
  <c r="P180" i="33"/>
  <c r="P191" i="33" s="1"/>
  <c r="G180" i="33"/>
  <c r="G191" i="33" s="1"/>
  <c r="T178" i="33"/>
  <c r="N178" i="33"/>
  <c r="R176" i="33"/>
  <c r="Q176" i="33"/>
  <c r="P176" i="33"/>
  <c r="M176" i="33"/>
  <c r="L176" i="33"/>
  <c r="G176" i="33"/>
  <c r="N175" i="33"/>
  <c r="T175" i="33" s="1"/>
  <c r="J175" i="33"/>
  <c r="J174" i="33"/>
  <c r="N174" i="33" s="1"/>
  <c r="T174" i="33" s="1"/>
  <c r="N173" i="33"/>
  <c r="T173" i="33" s="1"/>
  <c r="J173" i="33"/>
  <c r="J176" i="33" s="1"/>
  <c r="I176" i="33" s="1"/>
  <c r="R169" i="33"/>
  <c r="Q169" i="33"/>
  <c r="Q180" i="33" s="1"/>
  <c r="Q191" i="33" s="1"/>
  <c r="P169" i="33"/>
  <c r="M169" i="33"/>
  <c r="M180" i="33" s="1"/>
  <c r="M191" i="33" s="1"/>
  <c r="L169" i="33"/>
  <c r="L180" i="33" s="1"/>
  <c r="L191" i="33" s="1"/>
  <c r="G169" i="33"/>
  <c r="N168" i="33"/>
  <c r="T168" i="33" s="1"/>
  <c r="J168" i="33"/>
  <c r="J167" i="33"/>
  <c r="N167" i="33" s="1"/>
  <c r="T167" i="33" s="1"/>
  <c r="A167" i="33"/>
  <c r="N166" i="33"/>
  <c r="T166" i="33" s="1"/>
  <c r="J166" i="33"/>
  <c r="J169" i="33" s="1"/>
  <c r="I169" i="33" s="1"/>
  <c r="A166" i="33"/>
  <c r="J163" i="33"/>
  <c r="N163" i="33" s="1"/>
  <c r="Q149" i="33"/>
  <c r="G149" i="33"/>
  <c r="J147" i="33"/>
  <c r="N147" i="33" s="1"/>
  <c r="T147" i="33" s="1"/>
  <c r="R145" i="33"/>
  <c r="R149" i="33" s="1"/>
  <c r="Q145" i="33"/>
  <c r="P145" i="33"/>
  <c r="P149" i="33" s="1"/>
  <c r="M145" i="33"/>
  <c r="M149" i="33" s="1"/>
  <c r="L145" i="33"/>
  <c r="L149" i="33" s="1"/>
  <c r="N144" i="33"/>
  <c r="T144" i="33" s="1"/>
  <c r="J144" i="33"/>
  <c r="J143" i="33"/>
  <c r="J145" i="33" s="1"/>
  <c r="J138" i="33"/>
  <c r="N138" i="33" s="1"/>
  <c r="T138" i="33" s="1"/>
  <c r="R136" i="33"/>
  <c r="Q136" i="33"/>
  <c r="P136" i="33"/>
  <c r="M136" i="33"/>
  <c r="L136" i="33"/>
  <c r="G136" i="33"/>
  <c r="N135" i="33"/>
  <c r="T135" i="33" s="1"/>
  <c r="J135" i="33"/>
  <c r="N134" i="33"/>
  <c r="T134" i="33" s="1"/>
  <c r="J134" i="33"/>
  <c r="J136" i="33" s="1"/>
  <c r="I136" i="33" s="1"/>
  <c r="J131" i="33"/>
  <c r="N131" i="33" s="1"/>
  <c r="T131" i="33" s="1"/>
  <c r="P129" i="33"/>
  <c r="P140" i="33" s="1"/>
  <c r="R127" i="33"/>
  <c r="R129" i="33" s="1"/>
  <c r="R140" i="33" s="1"/>
  <c r="Q127" i="33"/>
  <c r="Q129" i="33" s="1"/>
  <c r="Q140" i="33" s="1"/>
  <c r="P127" i="33"/>
  <c r="M127" i="33"/>
  <c r="M129" i="33" s="1"/>
  <c r="M140" i="33" s="1"/>
  <c r="L127" i="33"/>
  <c r="L129" i="33" s="1"/>
  <c r="L140" i="33" s="1"/>
  <c r="G127" i="33"/>
  <c r="G129" i="33" s="1"/>
  <c r="J126" i="33"/>
  <c r="N126" i="33" s="1"/>
  <c r="T126" i="33" s="1"/>
  <c r="J125" i="33"/>
  <c r="N125" i="33" s="1"/>
  <c r="N124" i="33"/>
  <c r="J123" i="33"/>
  <c r="A123" i="33"/>
  <c r="N122" i="33"/>
  <c r="T122" i="33" s="1"/>
  <c r="J122" i="33"/>
  <c r="G108" i="33"/>
  <c r="J106" i="33"/>
  <c r="N106" i="33" s="1"/>
  <c r="T106" i="33" s="1"/>
  <c r="R104" i="33"/>
  <c r="Q104" i="33"/>
  <c r="P104" i="33"/>
  <c r="M104" i="33"/>
  <c r="L104" i="33"/>
  <c r="G104" i="33"/>
  <c r="J103" i="33"/>
  <c r="N103" i="33" s="1"/>
  <c r="T103" i="33" s="1"/>
  <c r="J102" i="33"/>
  <c r="N102" i="33" s="1"/>
  <c r="J99" i="33"/>
  <c r="N99" i="33" s="1"/>
  <c r="T99" i="33" s="1"/>
  <c r="R95" i="33"/>
  <c r="R97" i="33" s="1"/>
  <c r="R108" i="33" s="1"/>
  <c r="Q95" i="33"/>
  <c r="Q97" i="33" s="1"/>
  <c r="Q108" i="33" s="1"/>
  <c r="P95" i="33"/>
  <c r="P97" i="33" s="1"/>
  <c r="P108" i="33" s="1"/>
  <c r="M95" i="33"/>
  <c r="M97" i="33" s="1"/>
  <c r="M108" i="33" s="1"/>
  <c r="L95" i="33"/>
  <c r="L97" i="33" s="1"/>
  <c r="L108" i="33" s="1"/>
  <c r="G95" i="33"/>
  <c r="G97" i="33" s="1"/>
  <c r="N94" i="33"/>
  <c r="T94" i="33" s="1"/>
  <c r="J94" i="33"/>
  <c r="J93" i="33"/>
  <c r="J95" i="33" s="1"/>
  <c r="I95" i="33" s="1"/>
  <c r="J91" i="33"/>
  <c r="N91" i="33" s="1"/>
  <c r="T91" i="33" s="1"/>
  <c r="N90" i="33"/>
  <c r="J90" i="33"/>
  <c r="Q86" i="33"/>
  <c r="L86" i="33"/>
  <c r="G86" i="33"/>
  <c r="J84" i="33"/>
  <c r="N84" i="33" s="1"/>
  <c r="T84" i="33" s="1"/>
  <c r="R82" i="33"/>
  <c r="Q82" i="33"/>
  <c r="P82" i="33"/>
  <c r="M82" i="33"/>
  <c r="L82" i="33"/>
  <c r="G82" i="33"/>
  <c r="J81" i="33"/>
  <c r="N81" i="33" s="1"/>
  <c r="T81" i="33" s="1"/>
  <c r="J80" i="33"/>
  <c r="N80" i="33" s="1"/>
  <c r="J77" i="33"/>
  <c r="N77" i="33" s="1"/>
  <c r="T77" i="33" s="1"/>
  <c r="R75" i="33"/>
  <c r="R86" i="33" s="1"/>
  <c r="Q75" i="33"/>
  <c r="P75" i="33"/>
  <c r="P86" i="33" s="1"/>
  <c r="M75" i="33"/>
  <c r="M86" i="33" s="1"/>
  <c r="L75" i="33"/>
  <c r="G75" i="33"/>
  <c r="J73" i="33"/>
  <c r="N73" i="33" s="1"/>
  <c r="T73" i="33" s="1"/>
  <c r="J72" i="33"/>
  <c r="N72" i="33" s="1"/>
  <c r="T72" i="33" s="1"/>
  <c r="A72" i="33"/>
  <c r="J71" i="33"/>
  <c r="J75" i="33" s="1"/>
  <c r="N55" i="33"/>
  <c r="T55" i="33" s="1"/>
  <c r="J55" i="33"/>
  <c r="R53" i="33"/>
  <c r="Q53" i="33"/>
  <c r="P53" i="33"/>
  <c r="M53" i="33"/>
  <c r="L53" i="33"/>
  <c r="J53" i="33"/>
  <c r="I53" i="33" s="1"/>
  <c r="G53" i="33"/>
  <c r="J52" i="33"/>
  <c r="N52" i="33" s="1"/>
  <c r="T52" i="33" s="1"/>
  <c r="J51" i="33"/>
  <c r="N51" i="33" s="1"/>
  <c r="J48" i="33"/>
  <c r="N48" i="33" s="1"/>
  <c r="T48" i="33" s="1"/>
  <c r="Q46" i="33"/>
  <c r="Q57" i="33" s="1"/>
  <c r="L46" i="33"/>
  <c r="L57" i="33" s="1"/>
  <c r="R44" i="33"/>
  <c r="R46" i="33" s="1"/>
  <c r="R57" i="33" s="1"/>
  <c r="Q44" i="33"/>
  <c r="P44" i="33"/>
  <c r="P46" i="33" s="1"/>
  <c r="P57" i="33" s="1"/>
  <c r="M44" i="33"/>
  <c r="M46" i="33" s="1"/>
  <c r="M57" i="33" s="1"/>
  <c r="L44" i="33"/>
  <c r="G44" i="33"/>
  <c r="G57" i="33" s="1"/>
  <c r="N43" i="33"/>
  <c r="T43" i="33" s="1"/>
  <c r="J43" i="33"/>
  <c r="T42" i="33"/>
  <c r="U42" i="33" s="1"/>
  <c r="N42" i="33"/>
  <c r="J42" i="33"/>
  <c r="J41" i="33"/>
  <c r="N41" i="33" s="1"/>
  <c r="T41" i="33" s="1"/>
  <c r="J40" i="33"/>
  <c r="N40" i="33" s="1"/>
  <c r="T40" i="33" s="1"/>
  <c r="N39" i="33"/>
  <c r="T39" i="33" s="1"/>
  <c r="J39" i="33"/>
  <c r="J38" i="33"/>
  <c r="N38" i="33" s="1"/>
  <c r="J36" i="33"/>
  <c r="J31" i="33"/>
  <c r="N31" i="33" s="1"/>
  <c r="T31" i="33" s="1"/>
  <c r="R29" i="33"/>
  <c r="Q29" i="33"/>
  <c r="P29" i="33"/>
  <c r="M29" i="33"/>
  <c r="L29" i="33"/>
  <c r="J29" i="33"/>
  <c r="I29" i="33" s="1"/>
  <c r="G29" i="33"/>
  <c r="N28" i="33"/>
  <c r="T28" i="33" s="1"/>
  <c r="J28" i="33"/>
  <c r="N27" i="33"/>
  <c r="T27" i="33" s="1"/>
  <c r="J27" i="33"/>
  <c r="J24" i="33"/>
  <c r="N24" i="33" s="1"/>
  <c r="T24" i="33" s="1"/>
  <c r="P22" i="33"/>
  <c r="P33" i="33" s="1"/>
  <c r="M22" i="33"/>
  <c r="M33" i="33" s="1"/>
  <c r="R20" i="33"/>
  <c r="R22" i="33" s="1"/>
  <c r="R33" i="33" s="1"/>
  <c r="Q20" i="33"/>
  <c r="Q22" i="33" s="1"/>
  <c r="Q33" i="33" s="1"/>
  <c r="Q707" i="33" s="1"/>
  <c r="P20" i="33"/>
  <c r="L20" i="33"/>
  <c r="L22" i="33" s="1"/>
  <c r="L33" i="33" s="1"/>
  <c r="G20" i="33"/>
  <c r="G33" i="33" s="1"/>
  <c r="N19" i="33"/>
  <c r="T19" i="33" s="1"/>
  <c r="J19" i="33"/>
  <c r="N18" i="33"/>
  <c r="T18" i="33" s="1"/>
  <c r="J18" i="33"/>
  <c r="N17" i="33"/>
  <c r="T17" i="33" s="1"/>
  <c r="J17" i="33"/>
  <c r="N16" i="33"/>
  <c r="N20" i="33" s="1"/>
  <c r="J16" i="33"/>
  <c r="J20" i="33" s="1"/>
  <c r="A16" i="33"/>
  <c r="J14" i="33"/>
  <c r="N14" i="33" s="1"/>
  <c r="AB858" i="32"/>
  <c r="S858" i="32"/>
  <c r="Q858" i="32"/>
  <c r="X856" i="32"/>
  <c r="W856" i="32"/>
  <c r="V856" i="32"/>
  <c r="U856" i="32"/>
  <c r="T856" i="32"/>
  <c r="S856" i="32"/>
  <c r="P856" i="32"/>
  <c r="O856" i="32"/>
  <c r="N856" i="32"/>
  <c r="M856" i="32"/>
  <c r="L856" i="32"/>
  <c r="Z854" i="32"/>
  <c r="AB854" i="32" s="1"/>
  <c r="Q854" i="32"/>
  <c r="AC852" i="32"/>
  <c r="Z852" i="32"/>
  <c r="AB852" i="32" s="1"/>
  <c r="Q852" i="32"/>
  <c r="AC851" i="32"/>
  <c r="Q851" i="32"/>
  <c r="Z851" i="32" s="1"/>
  <c r="AB851" i="32" s="1"/>
  <c r="AC850" i="32"/>
  <c r="J850" i="32"/>
  <c r="Q850" i="32" s="1"/>
  <c r="Z850" i="32" s="1"/>
  <c r="AB850" i="32" s="1"/>
  <c r="J848" i="32"/>
  <c r="J856" i="32" s="1"/>
  <c r="I856" i="32" s="1"/>
  <c r="Z842" i="32"/>
  <c r="S842" i="32"/>
  <c r="L842" i="32"/>
  <c r="G842" i="32"/>
  <c r="X835" i="32"/>
  <c r="S835" i="32"/>
  <c r="P835" i="32"/>
  <c r="O835" i="32"/>
  <c r="N835" i="32"/>
  <c r="M835" i="32"/>
  <c r="L835" i="32"/>
  <c r="G835" i="32"/>
  <c r="C835" i="32"/>
  <c r="Z833" i="32"/>
  <c r="AB833" i="32" s="1"/>
  <c r="W833" i="32"/>
  <c r="V833" i="32"/>
  <c r="U833" i="32"/>
  <c r="T833" i="32"/>
  <c r="AA833" i="32" s="1"/>
  <c r="Q833" i="32"/>
  <c r="AA832" i="32"/>
  <c r="W832" i="32"/>
  <c r="V832" i="32"/>
  <c r="U832" i="32"/>
  <c r="U835" i="32" s="1"/>
  <c r="T832" i="32"/>
  <c r="Q832" i="32"/>
  <c r="Z832" i="32" s="1"/>
  <c r="AB832" i="32" s="1"/>
  <c r="W831" i="32"/>
  <c r="V831" i="32"/>
  <c r="U831" i="32"/>
  <c r="T831" i="32"/>
  <c r="AA831" i="32" s="1"/>
  <c r="Q831" i="32"/>
  <c r="Z831" i="32" s="1"/>
  <c r="AB831" i="32" s="1"/>
  <c r="W830" i="32"/>
  <c r="V830" i="32"/>
  <c r="U830" i="32"/>
  <c r="T830" i="32"/>
  <c r="AA830" i="32" s="1"/>
  <c r="Q830" i="32"/>
  <c r="Z830" i="32" s="1"/>
  <c r="AB830" i="32" s="1"/>
  <c r="Z829" i="32"/>
  <c r="AB829" i="32" s="1"/>
  <c r="W829" i="32"/>
  <c r="W835" i="32" s="1"/>
  <c r="V829" i="32"/>
  <c r="V835" i="32" s="1"/>
  <c r="U829" i="32"/>
  <c r="T829" i="32"/>
  <c r="T835" i="32" s="1"/>
  <c r="Q829" i="32"/>
  <c r="AC827" i="32"/>
  <c r="AB827" i="32"/>
  <c r="Z827" i="32"/>
  <c r="AC826" i="32"/>
  <c r="AB826" i="32"/>
  <c r="Z826" i="32"/>
  <c r="AC825" i="32"/>
  <c r="AB825" i="32"/>
  <c r="Z825" i="32"/>
  <c r="AC824" i="32"/>
  <c r="AB824" i="32"/>
  <c r="Z824" i="32"/>
  <c r="AC823" i="32"/>
  <c r="Q823" i="32"/>
  <c r="Z823" i="32" s="1"/>
  <c r="AB823" i="32" s="1"/>
  <c r="J823" i="32"/>
  <c r="AC821" i="32"/>
  <c r="Q821" i="32"/>
  <c r="Z821" i="32" s="1"/>
  <c r="AB821" i="32" s="1"/>
  <c r="J821" i="32"/>
  <c r="J820" i="32"/>
  <c r="J835" i="32" s="1"/>
  <c r="AA817" i="32"/>
  <c r="Q817" i="32"/>
  <c r="Z817" i="32" s="1"/>
  <c r="X815" i="32"/>
  <c r="W815" i="32"/>
  <c r="V815" i="32"/>
  <c r="U815" i="32"/>
  <c r="T815" i="32"/>
  <c r="S815" i="32"/>
  <c r="P815" i="32"/>
  <c r="O815" i="32"/>
  <c r="N815" i="32"/>
  <c r="M815" i="32"/>
  <c r="L815" i="32"/>
  <c r="G815" i="32"/>
  <c r="C815" i="32"/>
  <c r="AC813" i="32"/>
  <c r="AB813" i="32"/>
  <c r="Z813" i="32"/>
  <c r="J813" i="32"/>
  <c r="Q813" i="32" s="1"/>
  <c r="Q812" i="32"/>
  <c r="J812" i="32"/>
  <c r="AC811" i="32"/>
  <c r="J811" i="32"/>
  <c r="Q811" i="32" s="1"/>
  <c r="Z811" i="32" s="1"/>
  <c r="AB811" i="32" s="1"/>
  <c r="J810" i="32"/>
  <c r="J815" i="32" s="1"/>
  <c r="I815" i="32" s="1"/>
  <c r="Z804" i="32"/>
  <c r="S804" i="32"/>
  <c r="L804" i="32"/>
  <c r="G804" i="32"/>
  <c r="X797" i="32"/>
  <c r="W797" i="32"/>
  <c r="V797" i="32"/>
  <c r="U797" i="32"/>
  <c r="T797" i="32"/>
  <c r="S797" i="32"/>
  <c r="P797" i="32"/>
  <c r="P860" i="32" s="1"/>
  <c r="O797" i="32"/>
  <c r="N797" i="32"/>
  <c r="M797" i="32"/>
  <c r="L797" i="32"/>
  <c r="L860" i="32" s="1"/>
  <c r="G797" i="32"/>
  <c r="C797" i="32"/>
  <c r="Z795" i="32"/>
  <c r="AB795" i="32" s="1"/>
  <c r="Q794" i="32"/>
  <c r="Z794" i="32" s="1"/>
  <c r="AB794" i="32" s="1"/>
  <c r="Q792" i="32"/>
  <c r="Z792" i="32" s="1"/>
  <c r="AB792" i="32" s="1"/>
  <c r="Q791" i="32"/>
  <c r="Z791" i="32" s="1"/>
  <c r="AB791" i="32" s="1"/>
  <c r="AB788" i="32"/>
  <c r="Z787" i="32"/>
  <c r="AB787" i="32" s="1"/>
  <c r="Z786" i="32"/>
  <c r="AB786" i="32" s="1"/>
  <c r="AB785" i="32"/>
  <c r="Z785" i="32"/>
  <c r="Q781" i="32"/>
  <c r="Z781" i="32" s="1"/>
  <c r="J781" i="32"/>
  <c r="J780" i="32"/>
  <c r="Q780" i="32" s="1"/>
  <c r="Z780" i="32" s="1"/>
  <c r="J779" i="32"/>
  <c r="Q779" i="32" s="1"/>
  <c r="Z779" i="32" s="1"/>
  <c r="A779" i="32"/>
  <c r="J777" i="32"/>
  <c r="J797" i="32" s="1"/>
  <c r="Z770" i="32"/>
  <c r="S770" i="32"/>
  <c r="L770" i="32"/>
  <c r="G770" i="32"/>
  <c r="X763" i="32"/>
  <c r="W763" i="32"/>
  <c r="V763" i="32"/>
  <c r="U763" i="32"/>
  <c r="T763" i="32"/>
  <c r="S763" i="32"/>
  <c r="P763" i="32"/>
  <c r="O763" i="32"/>
  <c r="N763" i="32"/>
  <c r="M763" i="32"/>
  <c r="L763" i="32"/>
  <c r="G763" i="32"/>
  <c r="Z761" i="32"/>
  <c r="AB761" i="32" s="1"/>
  <c r="Z760" i="32"/>
  <c r="AB760" i="32" s="1"/>
  <c r="Z757" i="32"/>
  <c r="AB757" i="32" s="1"/>
  <c r="AB756" i="32"/>
  <c r="Z756" i="32"/>
  <c r="AC754" i="32"/>
  <c r="J754" i="32"/>
  <c r="Q754" i="32" s="1"/>
  <c r="Z754" i="32" s="1"/>
  <c r="AB754" i="32" s="1"/>
  <c r="J753" i="32"/>
  <c r="Q753" i="32" s="1"/>
  <c r="Z753" i="32" s="1"/>
  <c r="Q752" i="32"/>
  <c r="Z752" i="32" s="1"/>
  <c r="J752" i="32"/>
  <c r="I751" i="32"/>
  <c r="I750" i="32"/>
  <c r="AB749" i="32"/>
  <c r="J749" i="32"/>
  <c r="Q749" i="32" s="1"/>
  <c r="Z749" i="32" s="1"/>
  <c r="AA749" i="32" s="1"/>
  <c r="AC749" i="32" s="1"/>
  <c r="Q748" i="32"/>
  <c r="J746" i="32"/>
  <c r="Q746" i="32" s="1"/>
  <c r="Z746" i="32" s="1"/>
  <c r="AA746" i="32" s="1"/>
  <c r="AC746" i="32" s="1"/>
  <c r="J744" i="32"/>
  <c r="Q744" i="32" s="1"/>
  <c r="Z744" i="32" s="1"/>
  <c r="AB744" i="32" s="1"/>
  <c r="Z743" i="32"/>
  <c r="Q743" i="32"/>
  <c r="J743" i="32"/>
  <c r="Q742" i="32"/>
  <c r="Z742" i="32" s="1"/>
  <c r="J742" i="32"/>
  <c r="J741" i="32"/>
  <c r="Q741" i="32" s="1"/>
  <c r="Z741" i="32" s="1"/>
  <c r="Q740" i="32"/>
  <c r="J740" i="32"/>
  <c r="AB736" i="32"/>
  <c r="X733" i="32"/>
  <c r="W733" i="32"/>
  <c r="V733" i="32"/>
  <c r="U733" i="32"/>
  <c r="T733" i="32"/>
  <c r="S733" i="32"/>
  <c r="Q733" i="32"/>
  <c r="P733" i="32"/>
  <c r="O733" i="32"/>
  <c r="N733" i="32"/>
  <c r="M733" i="32"/>
  <c r="L733" i="32"/>
  <c r="I733" i="32"/>
  <c r="G733" i="32"/>
  <c r="AC731" i="32"/>
  <c r="Z731" i="32"/>
  <c r="Q731" i="32"/>
  <c r="J731" i="32"/>
  <c r="J733" i="32" s="1"/>
  <c r="X728" i="32"/>
  <c r="X860" i="32" s="1"/>
  <c r="W728" i="32"/>
  <c r="W860" i="32" s="1"/>
  <c r="V728" i="32"/>
  <c r="U728" i="32"/>
  <c r="T728" i="32"/>
  <c r="T860" i="32" s="1"/>
  <c r="S728" i="32"/>
  <c r="S860" i="32" s="1"/>
  <c r="P728" i="32"/>
  <c r="O728" i="32"/>
  <c r="O860" i="32" s="1"/>
  <c r="N728" i="32"/>
  <c r="N860" i="32" s="1"/>
  <c r="M728" i="32"/>
  <c r="L728" i="32"/>
  <c r="G728" i="32"/>
  <c r="AC726" i="32"/>
  <c r="J726" i="32"/>
  <c r="Q726" i="32" s="1"/>
  <c r="Z726" i="32" s="1"/>
  <c r="AB726" i="32" s="1"/>
  <c r="A726" i="32"/>
  <c r="AC725" i="32"/>
  <c r="Q725" i="32"/>
  <c r="J725" i="32"/>
  <c r="J728" i="32" s="1"/>
  <c r="Z717" i="32"/>
  <c r="S717" i="32"/>
  <c r="L717" i="32"/>
  <c r="G717" i="32"/>
  <c r="R709" i="32"/>
  <c r="S707" i="32"/>
  <c r="X704" i="32"/>
  <c r="W704" i="32"/>
  <c r="W707" i="32" s="1"/>
  <c r="V704" i="32"/>
  <c r="U704" i="32"/>
  <c r="T704" i="32"/>
  <c r="S704" i="32"/>
  <c r="P704" i="32"/>
  <c r="O704" i="32"/>
  <c r="N704" i="32"/>
  <c r="N707" i="32" s="1"/>
  <c r="M704" i="32"/>
  <c r="L704" i="32"/>
  <c r="AC702" i="32"/>
  <c r="Q702" i="32"/>
  <c r="Z702" i="32" s="1"/>
  <c r="AB702" i="32" s="1"/>
  <c r="Q700" i="32"/>
  <c r="Z700" i="32" s="1"/>
  <c r="J700" i="32"/>
  <c r="Q698" i="32"/>
  <c r="Z698" i="32" s="1"/>
  <c r="J698" i="32"/>
  <c r="Q697" i="32"/>
  <c r="Z697" i="32" s="1"/>
  <c r="J697" i="32"/>
  <c r="AC696" i="32"/>
  <c r="Q696" i="32"/>
  <c r="Z696" i="32" s="1"/>
  <c r="AB696" i="32" s="1"/>
  <c r="J696" i="32"/>
  <c r="Q695" i="32"/>
  <c r="Z695" i="32" s="1"/>
  <c r="J695" i="32"/>
  <c r="J693" i="32"/>
  <c r="J704" i="32" s="1"/>
  <c r="I704" i="32" s="1"/>
  <c r="X689" i="32"/>
  <c r="X707" i="32" s="1"/>
  <c r="W689" i="32"/>
  <c r="V689" i="32"/>
  <c r="V707" i="32" s="1"/>
  <c r="U689" i="32"/>
  <c r="U707" i="32" s="1"/>
  <c r="T689" i="32"/>
  <c r="T707" i="32" s="1"/>
  <c r="S689" i="32"/>
  <c r="P689" i="32"/>
  <c r="P707" i="32" s="1"/>
  <c r="O689" i="32"/>
  <c r="O707" i="32" s="1"/>
  <c r="N689" i="32"/>
  <c r="M689" i="32"/>
  <c r="M707" i="32" s="1"/>
  <c r="L689" i="32"/>
  <c r="L707" i="32" s="1"/>
  <c r="J689" i="32"/>
  <c r="G689" i="32"/>
  <c r="G704" i="32" s="1"/>
  <c r="AC687" i="32"/>
  <c r="Z687" i="32"/>
  <c r="AB687" i="32" s="1"/>
  <c r="Q687" i="32"/>
  <c r="Z685" i="32"/>
  <c r="J685" i="32"/>
  <c r="Q685" i="32" s="1"/>
  <c r="Q684" i="32"/>
  <c r="Z684" i="32" s="1"/>
  <c r="J684" i="32"/>
  <c r="A684" i="32"/>
  <c r="J682" i="32"/>
  <c r="Q682" i="32" s="1"/>
  <c r="P665" i="32"/>
  <c r="L665" i="32"/>
  <c r="X663" i="32"/>
  <c r="W663" i="32"/>
  <c r="V663" i="32"/>
  <c r="U663" i="32"/>
  <c r="U665" i="32" s="1"/>
  <c r="T663" i="32"/>
  <c r="S663" i="32"/>
  <c r="P663" i="32"/>
  <c r="O663" i="32"/>
  <c r="N663" i="32"/>
  <c r="M663" i="32"/>
  <c r="L663" i="32"/>
  <c r="AC661" i="32"/>
  <c r="Q661" i="32"/>
  <c r="Z661" i="32" s="1"/>
  <c r="AB661" i="32" s="1"/>
  <c r="Q659" i="32"/>
  <c r="Z659" i="32" s="1"/>
  <c r="AB659" i="32" s="1"/>
  <c r="J659" i="32"/>
  <c r="AC657" i="32"/>
  <c r="Q657" i="32"/>
  <c r="Z657" i="32" s="1"/>
  <c r="AB657" i="32" s="1"/>
  <c r="J657" i="32"/>
  <c r="AC656" i="32"/>
  <c r="Q656" i="32"/>
  <c r="Z656" i="32" s="1"/>
  <c r="AB656" i="32" s="1"/>
  <c r="J656" i="32"/>
  <c r="AC655" i="32"/>
  <c r="Q655" i="32"/>
  <c r="Z655" i="32" s="1"/>
  <c r="AB655" i="32" s="1"/>
  <c r="J655" i="32"/>
  <c r="AC654" i="32"/>
  <c r="Q654" i="32"/>
  <c r="Z654" i="32" s="1"/>
  <c r="AB654" i="32" s="1"/>
  <c r="J654" i="32"/>
  <c r="J652" i="32"/>
  <c r="Q652" i="32" s="1"/>
  <c r="Q663" i="32" s="1"/>
  <c r="X648" i="32"/>
  <c r="X665" i="32" s="1"/>
  <c r="W648" i="32"/>
  <c r="W665" i="32" s="1"/>
  <c r="V648" i="32"/>
  <c r="V665" i="32" s="1"/>
  <c r="U648" i="32"/>
  <c r="T648" i="32"/>
  <c r="T665" i="32" s="1"/>
  <c r="S648" i="32"/>
  <c r="S665" i="32" s="1"/>
  <c r="P648" i="32"/>
  <c r="O648" i="32"/>
  <c r="O665" i="32" s="1"/>
  <c r="N648" i="32"/>
  <c r="N665" i="32" s="1"/>
  <c r="M648" i="32"/>
  <c r="M665" i="32" s="1"/>
  <c r="L648" i="32"/>
  <c r="G648" i="32"/>
  <c r="G663" i="32" s="1"/>
  <c r="G665" i="32" s="1"/>
  <c r="AC646" i="32"/>
  <c r="Z646" i="32"/>
  <c r="AB646" i="32" s="1"/>
  <c r="Q646" i="32"/>
  <c r="J644" i="32"/>
  <c r="Q644" i="32" s="1"/>
  <c r="Z644" i="32" s="1"/>
  <c r="Q643" i="32"/>
  <c r="Z643" i="32" s="1"/>
  <c r="J643" i="32"/>
  <c r="AB641" i="32"/>
  <c r="J641" i="32"/>
  <c r="Q641" i="32" s="1"/>
  <c r="Z641" i="32" s="1"/>
  <c r="AA641" i="32" s="1"/>
  <c r="AC641" i="32" s="1"/>
  <c r="AA640" i="32"/>
  <c r="AC640" i="32" s="1"/>
  <c r="J640" i="32"/>
  <c r="Q640" i="32" s="1"/>
  <c r="Z640" i="32" s="1"/>
  <c r="AB640" i="32" s="1"/>
  <c r="J638" i="32"/>
  <c r="Q638" i="32" s="1"/>
  <c r="Z638" i="32" s="1"/>
  <c r="Q637" i="32"/>
  <c r="Z637" i="32" s="1"/>
  <c r="J637" i="32"/>
  <c r="A637" i="32"/>
  <c r="J634" i="32"/>
  <c r="Q634" i="32" s="1"/>
  <c r="Z628" i="32"/>
  <c r="Z676" i="32" s="1"/>
  <c r="S628" i="32"/>
  <c r="S676" i="32" s="1"/>
  <c r="L628" i="32"/>
  <c r="L676" i="32" s="1"/>
  <c r="G628" i="32"/>
  <c r="G676" i="32" s="1"/>
  <c r="L621" i="32"/>
  <c r="X619" i="32"/>
  <c r="W619" i="32"/>
  <c r="V619" i="32"/>
  <c r="U619" i="32"/>
  <c r="U621" i="32" s="1"/>
  <c r="T619" i="32"/>
  <c r="S619" i="32"/>
  <c r="P619" i="32"/>
  <c r="P621" i="32" s="1"/>
  <c r="O619" i="32"/>
  <c r="N619" i="32"/>
  <c r="M619" i="32"/>
  <c r="L619" i="32"/>
  <c r="AC617" i="32"/>
  <c r="Q617" i="32"/>
  <c r="Z617" i="32" s="1"/>
  <c r="AB617" i="32" s="1"/>
  <c r="J615" i="32"/>
  <c r="Q615" i="32" s="1"/>
  <c r="Z615" i="32" s="1"/>
  <c r="AB615" i="32" s="1"/>
  <c r="AC613" i="32"/>
  <c r="Q613" i="32"/>
  <c r="Z613" i="32" s="1"/>
  <c r="AB613" i="32" s="1"/>
  <c r="J613" i="32"/>
  <c r="AC612" i="32"/>
  <c r="AB612" i="32"/>
  <c r="J612" i="32"/>
  <c r="Q612" i="32" s="1"/>
  <c r="Z612" i="32" s="1"/>
  <c r="AC611" i="32"/>
  <c r="Q611" i="32"/>
  <c r="Z611" i="32" s="1"/>
  <c r="AB611" i="32" s="1"/>
  <c r="J611" i="32"/>
  <c r="AC610" i="32"/>
  <c r="J610" i="32"/>
  <c r="Q610" i="32" s="1"/>
  <c r="Z610" i="32" s="1"/>
  <c r="AB610" i="32" s="1"/>
  <c r="Z608" i="32"/>
  <c r="J608" i="32"/>
  <c r="Q608" i="32" s="1"/>
  <c r="X604" i="32"/>
  <c r="X621" i="32" s="1"/>
  <c r="W604" i="32"/>
  <c r="W621" i="32" s="1"/>
  <c r="V604" i="32"/>
  <c r="V621" i="32" s="1"/>
  <c r="U604" i="32"/>
  <c r="T604" i="32"/>
  <c r="T621" i="32" s="1"/>
  <c r="S604" i="32"/>
  <c r="S621" i="32" s="1"/>
  <c r="P604" i="32"/>
  <c r="O604" i="32"/>
  <c r="O621" i="32" s="1"/>
  <c r="N604" i="32"/>
  <c r="N621" i="32" s="1"/>
  <c r="M604" i="32"/>
  <c r="M621" i="32" s="1"/>
  <c r="L604" i="32"/>
  <c r="J604" i="32"/>
  <c r="G604" i="32"/>
  <c r="G619" i="32" s="1"/>
  <c r="AC602" i="32"/>
  <c r="Q602" i="32"/>
  <c r="Z602" i="32" s="1"/>
  <c r="AB602" i="32" s="1"/>
  <c r="J600" i="32"/>
  <c r="Q600" i="32" s="1"/>
  <c r="Z600" i="32" s="1"/>
  <c r="Q599" i="32"/>
  <c r="Z599" i="32" s="1"/>
  <c r="J599" i="32"/>
  <c r="AB597" i="32"/>
  <c r="J597" i="32"/>
  <c r="Q597" i="32" s="1"/>
  <c r="Z597" i="32" s="1"/>
  <c r="AA597" i="32" s="1"/>
  <c r="AC597" i="32" s="1"/>
  <c r="AA596" i="32"/>
  <c r="AC596" i="32" s="1"/>
  <c r="J596" i="32"/>
  <c r="Q596" i="32" s="1"/>
  <c r="Z596" i="32" s="1"/>
  <c r="AB596" i="32" s="1"/>
  <c r="AB594" i="32"/>
  <c r="Z594" i="32"/>
  <c r="AA594" i="32" s="1"/>
  <c r="AC594" i="32" s="1"/>
  <c r="J594" i="32"/>
  <c r="Q594" i="32" s="1"/>
  <c r="J593" i="32"/>
  <c r="Q593" i="32" s="1"/>
  <c r="Z593" i="32" s="1"/>
  <c r="Q590" i="32"/>
  <c r="J590" i="32"/>
  <c r="W587" i="32"/>
  <c r="U587" i="32"/>
  <c r="S587" i="32"/>
  <c r="P587" i="32"/>
  <c r="N587" i="32"/>
  <c r="L587" i="32"/>
  <c r="J585" i="32"/>
  <c r="Q585" i="32" s="1"/>
  <c r="Z585" i="32" s="1"/>
  <c r="X583" i="32"/>
  <c r="X587" i="32" s="1"/>
  <c r="W583" i="32"/>
  <c r="V583" i="32"/>
  <c r="V587" i="32" s="1"/>
  <c r="U583" i="32"/>
  <c r="T583" i="32"/>
  <c r="T587" i="32" s="1"/>
  <c r="S583" i="32"/>
  <c r="P583" i="32"/>
  <c r="O583" i="32"/>
  <c r="O587" i="32" s="1"/>
  <c r="N583" i="32"/>
  <c r="M583" i="32"/>
  <c r="M587" i="32" s="1"/>
  <c r="L583" i="32"/>
  <c r="G583" i="32"/>
  <c r="G587" i="32" s="1"/>
  <c r="Q581" i="32"/>
  <c r="Z581" i="32" s="1"/>
  <c r="J581" i="32"/>
  <c r="A581" i="32"/>
  <c r="J580" i="32"/>
  <c r="Q580" i="32" s="1"/>
  <c r="Z574" i="32"/>
  <c r="S574" i="32"/>
  <c r="L574" i="32"/>
  <c r="G574" i="32"/>
  <c r="W566" i="32"/>
  <c r="U566" i="32"/>
  <c r="S566" i="32"/>
  <c r="P566" i="32"/>
  <c r="N566" i="32"/>
  <c r="L566" i="32"/>
  <c r="J564" i="32"/>
  <c r="Q564" i="32" s="1"/>
  <c r="Z564" i="32" s="1"/>
  <c r="X562" i="32"/>
  <c r="W562" i="32"/>
  <c r="V562" i="32"/>
  <c r="U562" i="32"/>
  <c r="T562" i="32"/>
  <c r="S562" i="32"/>
  <c r="P562" i="32"/>
  <c r="O562" i="32"/>
  <c r="N562" i="32"/>
  <c r="M562" i="32"/>
  <c r="L562" i="32"/>
  <c r="G562" i="32"/>
  <c r="Q560" i="32"/>
  <c r="Z560" i="32" s="1"/>
  <c r="J560" i="32"/>
  <c r="J559" i="32"/>
  <c r="Q559" i="32" s="1"/>
  <c r="X556" i="32"/>
  <c r="X566" i="32" s="1"/>
  <c r="W556" i="32"/>
  <c r="V556" i="32"/>
  <c r="V566" i="32" s="1"/>
  <c r="U556" i="32"/>
  <c r="T556" i="32"/>
  <c r="T566" i="32" s="1"/>
  <c r="S556" i="32"/>
  <c r="P556" i="32"/>
  <c r="O556" i="32"/>
  <c r="O566" i="32" s="1"/>
  <c r="N556" i="32"/>
  <c r="M556" i="32"/>
  <c r="M566" i="32" s="1"/>
  <c r="L556" i="32"/>
  <c r="G556" i="32"/>
  <c r="G566" i="32" s="1"/>
  <c r="Q554" i="32"/>
  <c r="Z554" i="32" s="1"/>
  <c r="J554" i="32"/>
  <c r="J553" i="32"/>
  <c r="Q553" i="32" s="1"/>
  <c r="Z553" i="32" s="1"/>
  <c r="Q552" i="32"/>
  <c r="J552" i="32"/>
  <c r="U548" i="32"/>
  <c r="P548" i="32"/>
  <c r="L548" i="32"/>
  <c r="J546" i="32"/>
  <c r="Q546" i="32" s="1"/>
  <c r="Z546" i="32" s="1"/>
  <c r="Q545" i="32"/>
  <c r="Z545" i="32" s="1"/>
  <c r="J545" i="32"/>
  <c r="X543" i="32"/>
  <c r="W543" i="32"/>
  <c r="W548" i="32" s="1"/>
  <c r="V543" i="32"/>
  <c r="U543" i="32"/>
  <c r="T543" i="32"/>
  <c r="S543" i="32"/>
  <c r="P543" i="32"/>
  <c r="O543" i="32"/>
  <c r="N543" i="32"/>
  <c r="N548" i="32" s="1"/>
  <c r="M543" i="32"/>
  <c r="L543" i="32"/>
  <c r="G543" i="32"/>
  <c r="J541" i="32"/>
  <c r="Q541" i="32" s="1"/>
  <c r="Z541" i="32" s="1"/>
  <c r="Q540" i="32"/>
  <c r="Z540" i="32" s="1"/>
  <c r="J540" i="32"/>
  <c r="J539" i="32"/>
  <c r="Q539" i="32" s="1"/>
  <c r="X536" i="32"/>
  <c r="X548" i="32" s="1"/>
  <c r="W536" i="32"/>
  <c r="V536" i="32"/>
  <c r="V548" i="32" s="1"/>
  <c r="U536" i="32"/>
  <c r="T536" i="32"/>
  <c r="T548" i="32" s="1"/>
  <c r="S536" i="32"/>
  <c r="S548" i="32" s="1"/>
  <c r="P536" i="32"/>
  <c r="O536" i="32"/>
  <c r="O548" i="32" s="1"/>
  <c r="N536" i="32"/>
  <c r="M536" i="32"/>
  <c r="M548" i="32" s="1"/>
  <c r="L536" i="32"/>
  <c r="G536" i="32"/>
  <c r="G548" i="32" s="1"/>
  <c r="AC534" i="32"/>
  <c r="AA534" i="32"/>
  <c r="Q534" i="32"/>
  <c r="Z534" i="32" s="1"/>
  <c r="AB534" i="32" s="1"/>
  <c r="J534" i="32"/>
  <c r="AA533" i="32"/>
  <c r="AC533" i="32" s="1"/>
  <c r="J533" i="32"/>
  <c r="Q533" i="32" s="1"/>
  <c r="Z533" i="32" s="1"/>
  <c r="AB533" i="32" s="1"/>
  <c r="Q532" i="32"/>
  <c r="Z532" i="32" s="1"/>
  <c r="J532" i="32"/>
  <c r="A532" i="32"/>
  <c r="AC531" i="32"/>
  <c r="Q531" i="32"/>
  <c r="Z531" i="32" s="1"/>
  <c r="AB531" i="32" s="1"/>
  <c r="J531" i="32"/>
  <c r="A531" i="32"/>
  <c r="J530" i="32"/>
  <c r="Q530" i="32" s="1"/>
  <c r="Z524" i="32"/>
  <c r="S524" i="32"/>
  <c r="L524" i="32"/>
  <c r="G524" i="32"/>
  <c r="J514" i="32"/>
  <c r="Q514" i="32" s="1"/>
  <c r="Z514" i="32" s="1"/>
  <c r="Q513" i="32"/>
  <c r="Z513" i="32" s="1"/>
  <c r="J513" i="32"/>
  <c r="X511" i="32"/>
  <c r="W511" i="32"/>
  <c r="V511" i="32"/>
  <c r="U511" i="32"/>
  <c r="T511" i="32"/>
  <c r="S511" i="32"/>
  <c r="P511" i="32"/>
  <c r="O511" i="32"/>
  <c r="N511" i="32"/>
  <c r="M511" i="32"/>
  <c r="L511" i="32"/>
  <c r="G511" i="32"/>
  <c r="Q510" i="32"/>
  <c r="Q509" i="32"/>
  <c r="Z509" i="32" s="1"/>
  <c r="J509" i="32"/>
  <c r="AC508" i="32"/>
  <c r="Q508" i="32"/>
  <c r="Z508" i="32" s="1"/>
  <c r="AB508" i="32" s="1"/>
  <c r="J508" i="32"/>
  <c r="J507" i="32"/>
  <c r="J511" i="32" s="1"/>
  <c r="I511" i="32" s="1"/>
  <c r="J502" i="32"/>
  <c r="Q502" i="32" s="1"/>
  <c r="Z502" i="32" s="1"/>
  <c r="J501" i="32"/>
  <c r="Q501" i="32" s="1"/>
  <c r="Z501" i="32" s="1"/>
  <c r="X499" i="32"/>
  <c r="W499" i="32"/>
  <c r="V499" i="32"/>
  <c r="U499" i="32"/>
  <c r="T499" i="32"/>
  <c r="S499" i="32"/>
  <c r="P499" i="32"/>
  <c r="O499" i="32"/>
  <c r="N499" i="32"/>
  <c r="M499" i="32"/>
  <c r="L499" i="32"/>
  <c r="G499" i="32"/>
  <c r="G504" i="32" s="1"/>
  <c r="G516" i="32" s="1"/>
  <c r="J498" i="32"/>
  <c r="Q498" i="32" s="1"/>
  <c r="Z498" i="32" s="1"/>
  <c r="J497" i="32"/>
  <c r="Q497" i="32" s="1"/>
  <c r="X494" i="32"/>
  <c r="X504" i="32" s="1"/>
  <c r="X516" i="32" s="1"/>
  <c r="W494" i="32"/>
  <c r="W504" i="32" s="1"/>
  <c r="W516" i="32" s="1"/>
  <c r="V494" i="32"/>
  <c r="V504" i="32" s="1"/>
  <c r="V516" i="32" s="1"/>
  <c r="U494" i="32"/>
  <c r="U504" i="32" s="1"/>
  <c r="U516" i="32" s="1"/>
  <c r="T494" i="32"/>
  <c r="T504" i="32" s="1"/>
  <c r="T516" i="32" s="1"/>
  <c r="S494" i="32"/>
  <c r="S504" i="32" s="1"/>
  <c r="S516" i="32" s="1"/>
  <c r="P494" i="32"/>
  <c r="P504" i="32" s="1"/>
  <c r="P516" i="32" s="1"/>
  <c r="O494" i="32"/>
  <c r="O504" i="32" s="1"/>
  <c r="O516" i="32" s="1"/>
  <c r="N494" i="32"/>
  <c r="N504" i="32" s="1"/>
  <c r="N516" i="32" s="1"/>
  <c r="M494" i="32"/>
  <c r="M504" i="32" s="1"/>
  <c r="M516" i="32" s="1"/>
  <c r="L494" i="32"/>
  <c r="L504" i="32" s="1"/>
  <c r="L516" i="32" s="1"/>
  <c r="G494" i="32"/>
  <c r="J493" i="32"/>
  <c r="Q493" i="32" s="1"/>
  <c r="Z493" i="32" s="1"/>
  <c r="J492" i="32"/>
  <c r="Q492" i="32" s="1"/>
  <c r="Z492" i="32" s="1"/>
  <c r="J491" i="32"/>
  <c r="J494" i="32" s="1"/>
  <c r="G487" i="32"/>
  <c r="Q485" i="32"/>
  <c r="Z485" i="32" s="1"/>
  <c r="J485" i="32"/>
  <c r="J483" i="32"/>
  <c r="Q483" i="32" s="1"/>
  <c r="Z483" i="32" s="1"/>
  <c r="X479" i="32"/>
  <c r="X481" i="32" s="1"/>
  <c r="X487" i="32" s="1"/>
  <c r="W479" i="32"/>
  <c r="W481" i="32" s="1"/>
  <c r="W487" i="32" s="1"/>
  <c r="V479" i="32"/>
  <c r="V481" i="32" s="1"/>
  <c r="V487" i="32" s="1"/>
  <c r="U479" i="32"/>
  <c r="U481" i="32" s="1"/>
  <c r="U487" i="32" s="1"/>
  <c r="T479" i="32"/>
  <c r="T481" i="32" s="1"/>
  <c r="T487" i="32" s="1"/>
  <c r="S479" i="32"/>
  <c r="S481" i="32" s="1"/>
  <c r="S487" i="32" s="1"/>
  <c r="P479" i="32"/>
  <c r="P481" i="32" s="1"/>
  <c r="P487" i="32" s="1"/>
  <c r="O479" i="32"/>
  <c r="O481" i="32" s="1"/>
  <c r="O487" i="32" s="1"/>
  <c r="N479" i="32"/>
  <c r="N481" i="32" s="1"/>
  <c r="N487" i="32" s="1"/>
  <c r="M479" i="32"/>
  <c r="M481" i="32" s="1"/>
  <c r="M487" i="32" s="1"/>
  <c r="L479" i="32"/>
  <c r="L481" i="32" s="1"/>
  <c r="L487" i="32" s="1"/>
  <c r="G479" i="32"/>
  <c r="G481" i="32" s="1"/>
  <c r="J478" i="32"/>
  <c r="Q478" i="32" s="1"/>
  <c r="Z478" i="32" s="1"/>
  <c r="J477" i="32"/>
  <c r="Q477" i="32" s="1"/>
  <c r="Z477" i="32" s="1"/>
  <c r="J476" i="32"/>
  <c r="Q476" i="32" s="1"/>
  <c r="Z476" i="32" s="1"/>
  <c r="J475" i="32"/>
  <c r="Q475" i="32" s="1"/>
  <c r="A475" i="32"/>
  <c r="Q473" i="32"/>
  <c r="J473" i="32"/>
  <c r="Z467" i="32"/>
  <c r="S467" i="32"/>
  <c r="L467" i="32"/>
  <c r="G467" i="32"/>
  <c r="G459" i="32"/>
  <c r="J457" i="32"/>
  <c r="Q457" i="32" s="1"/>
  <c r="Z457" i="32" s="1"/>
  <c r="J455" i="32"/>
  <c r="Q455" i="32" s="1"/>
  <c r="Z455" i="32" s="1"/>
  <c r="X451" i="32"/>
  <c r="X453" i="32" s="1"/>
  <c r="X459" i="32" s="1"/>
  <c r="W451" i="32"/>
  <c r="W453" i="32" s="1"/>
  <c r="W459" i="32" s="1"/>
  <c r="V451" i="32"/>
  <c r="V453" i="32" s="1"/>
  <c r="V459" i="32" s="1"/>
  <c r="U451" i="32"/>
  <c r="U453" i="32" s="1"/>
  <c r="U459" i="32" s="1"/>
  <c r="T451" i="32"/>
  <c r="T453" i="32" s="1"/>
  <c r="T459" i="32" s="1"/>
  <c r="S451" i="32"/>
  <c r="S453" i="32" s="1"/>
  <c r="S459" i="32" s="1"/>
  <c r="P451" i="32"/>
  <c r="P453" i="32" s="1"/>
  <c r="P459" i="32" s="1"/>
  <c r="O451" i="32"/>
  <c r="O453" i="32" s="1"/>
  <c r="O459" i="32" s="1"/>
  <c r="N451" i="32"/>
  <c r="N453" i="32" s="1"/>
  <c r="N459" i="32" s="1"/>
  <c r="M451" i="32"/>
  <c r="M453" i="32" s="1"/>
  <c r="M459" i="32" s="1"/>
  <c r="L451" i="32"/>
  <c r="L453" i="32" s="1"/>
  <c r="L459" i="32" s="1"/>
  <c r="G451" i="32"/>
  <c r="G453" i="32" s="1"/>
  <c r="J450" i="32"/>
  <c r="Q450" i="32" s="1"/>
  <c r="Z450" i="32" s="1"/>
  <c r="J449" i="32"/>
  <c r="Q449" i="32" s="1"/>
  <c r="Z449" i="32" s="1"/>
  <c r="J448" i="32"/>
  <c r="J451" i="32" s="1"/>
  <c r="J446" i="32"/>
  <c r="Q446" i="32" s="1"/>
  <c r="U442" i="32"/>
  <c r="P442" i="32"/>
  <c r="L442" i="32"/>
  <c r="G442" i="32"/>
  <c r="X440" i="32"/>
  <c r="W440" i="32"/>
  <c r="V440" i="32"/>
  <c r="U440" i="32"/>
  <c r="T440" i="32"/>
  <c r="S440" i="32"/>
  <c r="P440" i="32"/>
  <c r="O440" i="32"/>
  <c r="N440" i="32"/>
  <c r="M440" i="32"/>
  <c r="L440" i="32"/>
  <c r="G440" i="32"/>
  <c r="Q439" i="32"/>
  <c r="Z439" i="32" s="1"/>
  <c r="AB439" i="32" s="1"/>
  <c r="J439" i="32"/>
  <c r="J438" i="32"/>
  <c r="J440" i="32" s="1"/>
  <c r="X435" i="32"/>
  <c r="W435" i="32"/>
  <c r="V435" i="32"/>
  <c r="U435" i="32"/>
  <c r="T435" i="32"/>
  <c r="S435" i="32"/>
  <c r="P435" i="32"/>
  <c r="O435" i="32"/>
  <c r="N435" i="32"/>
  <c r="M435" i="32"/>
  <c r="L435" i="32"/>
  <c r="G435" i="32"/>
  <c r="Q434" i="32"/>
  <c r="Z434" i="32" s="1"/>
  <c r="J434" i="32"/>
  <c r="J433" i="32"/>
  <c r="Q433" i="32" s="1"/>
  <c r="Z433" i="32" s="1"/>
  <c r="J431" i="32"/>
  <c r="Q431" i="32" s="1"/>
  <c r="Z431" i="32" s="1"/>
  <c r="AB431" i="32" s="1"/>
  <c r="Q430" i="32"/>
  <c r="Z430" i="32" s="1"/>
  <c r="AB430" i="32" s="1"/>
  <c r="J430" i="32"/>
  <c r="J435" i="32" s="1"/>
  <c r="Z428" i="32"/>
  <c r="AB428" i="32" s="1"/>
  <c r="J428" i="32"/>
  <c r="J427" i="32"/>
  <c r="Q427" i="32" s="1"/>
  <c r="X424" i="32"/>
  <c r="X442" i="32" s="1"/>
  <c r="W424" i="32"/>
  <c r="W442" i="32" s="1"/>
  <c r="V424" i="32"/>
  <c r="V442" i="32" s="1"/>
  <c r="U424" i="32"/>
  <c r="T424" i="32"/>
  <c r="T442" i="32" s="1"/>
  <c r="S424" i="32"/>
  <c r="S442" i="32" s="1"/>
  <c r="P424" i="32"/>
  <c r="O424" i="32"/>
  <c r="O442" i="32" s="1"/>
  <c r="N424" i="32"/>
  <c r="N442" i="32" s="1"/>
  <c r="M424" i="32"/>
  <c r="M442" i="32" s="1"/>
  <c r="L424" i="32"/>
  <c r="G424" i="32"/>
  <c r="J422" i="32"/>
  <c r="Q422" i="32" s="1"/>
  <c r="Z422" i="32" s="1"/>
  <c r="Q421" i="32"/>
  <c r="Z421" i="32" s="1"/>
  <c r="J421" i="32"/>
  <c r="J420" i="32"/>
  <c r="Q420" i="32" s="1"/>
  <c r="Z420" i="32" s="1"/>
  <c r="Q419" i="32"/>
  <c r="Z419" i="32" s="1"/>
  <c r="J419" i="32"/>
  <c r="A419" i="32"/>
  <c r="J418" i="32"/>
  <c r="Q418" i="32" s="1"/>
  <c r="Z412" i="32"/>
  <c r="S412" i="32"/>
  <c r="L412" i="32"/>
  <c r="G412" i="32"/>
  <c r="U404" i="32"/>
  <c r="P404" i="32"/>
  <c r="L404" i="32"/>
  <c r="G404" i="32"/>
  <c r="X402" i="32"/>
  <c r="W402" i="32"/>
  <c r="V402" i="32"/>
  <c r="U402" i="32"/>
  <c r="T402" i="32"/>
  <c r="S402" i="32"/>
  <c r="P402" i="32"/>
  <c r="O402" i="32"/>
  <c r="N402" i="32"/>
  <c r="M402" i="32"/>
  <c r="L402" i="32"/>
  <c r="G402" i="32"/>
  <c r="Q401" i="32"/>
  <c r="Z401" i="32" s="1"/>
  <c r="J401" i="32"/>
  <c r="J400" i="32"/>
  <c r="J402" i="32" s="1"/>
  <c r="I402" i="32" s="1"/>
  <c r="Z397" i="32"/>
  <c r="J397" i="32"/>
  <c r="Q397" i="32" s="1"/>
  <c r="X395" i="32"/>
  <c r="X404" i="32" s="1"/>
  <c r="W395" i="32"/>
  <c r="W404" i="32" s="1"/>
  <c r="V395" i="32"/>
  <c r="V404" i="32" s="1"/>
  <c r="U395" i="32"/>
  <c r="T395" i="32"/>
  <c r="T404" i="32" s="1"/>
  <c r="S395" i="32"/>
  <c r="S404" i="32" s="1"/>
  <c r="P395" i="32"/>
  <c r="O395" i="32"/>
  <c r="O404" i="32" s="1"/>
  <c r="N395" i="32"/>
  <c r="N404" i="32" s="1"/>
  <c r="M395" i="32"/>
  <c r="M404" i="32" s="1"/>
  <c r="L395" i="32"/>
  <c r="J395" i="32"/>
  <c r="G395" i="32"/>
  <c r="AB394" i="32"/>
  <c r="J394" i="32"/>
  <c r="Q394" i="32" s="1"/>
  <c r="Z394" i="32" s="1"/>
  <c r="AA394" i="32" s="1"/>
  <c r="AA393" i="32"/>
  <c r="AC393" i="32" s="1"/>
  <c r="J393" i="32"/>
  <c r="Q393" i="32" s="1"/>
  <c r="Z393" i="32" s="1"/>
  <c r="AB393" i="32" s="1"/>
  <c r="J392" i="32"/>
  <c r="Q392" i="32" s="1"/>
  <c r="Z392" i="32" s="1"/>
  <c r="Q391" i="32"/>
  <c r="J391" i="32"/>
  <c r="X386" i="32"/>
  <c r="W386" i="32"/>
  <c r="V386" i="32"/>
  <c r="U386" i="32"/>
  <c r="T386" i="32"/>
  <c r="S386" i="32"/>
  <c r="P386" i="32"/>
  <c r="O386" i="32"/>
  <c r="N386" i="32"/>
  <c r="M386" i="32"/>
  <c r="L386" i="32"/>
  <c r="G386" i="32"/>
  <c r="Q385" i="32"/>
  <c r="Z385" i="32" s="1"/>
  <c r="AB385" i="32" s="1"/>
  <c r="J385" i="32"/>
  <c r="Q384" i="32"/>
  <c r="J384" i="32"/>
  <c r="J386" i="32" s="1"/>
  <c r="I386" i="32" s="1"/>
  <c r="X381" i="32"/>
  <c r="W381" i="32"/>
  <c r="V381" i="32"/>
  <c r="U381" i="32"/>
  <c r="T381" i="32"/>
  <c r="S381" i="32"/>
  <c r="P381" i="32"/>
  <c r="O381" i="32"/>
  <c r="N381" i="32"/>
  <c r="M381" i="32"/>
  <c r="L381" i="32"/>
  <c r="G381" i="32"/>
  <c r="Q380" i="32"/>
  <c r="Z380" i="32" s="1"/>
  <c r="AB380" i="32" s="1"/>
  <c r="J380" i="32"/>
  <c r="Q379" i="32"/>
  <c r="J379" i="32"/>
  <c r="J381" i="32" s="1"/>
  <c r="I381" i="32" s="1"/>
  <c r="X376" i="32"/>
  <c r="W376" i="32"/>
  <c r="V376" i="32"/>
  <c r="U376" i="32"/>
  <c r="T376" i="32"/>
  <c r="S376" i="32"/>
  <c r="L376" i="32"/>
  <c r="I376" i="32"/>
  <c r="G376" i="32"/>
  <c r="L375" i="32"/>
  <c r="J375" i="32"/>
  <c r="M375" i="32" s="1"/>
  <c r="Z374" i="32"/>
  <c r="J374" i="32"/>
  <c r="Q374" i="32" s="1"/>
  <c r="AB372" i="32"/>
  <c r="J372" i="32"/>
  <c r="Q372" i="32" s="1"/>
  <c r="Z372" i="32" s="1"/>
  <c r="AA372" i="32" s="1"/>
  <c r="Z371" i="32"/>
  <c r="J371" i="32"/>
  <c r="Q371" i="32" s="1"/>
  <c r="AB369" i="32"/>
  <c r="J369" i="32"/>
  <c r="Q369" i="32" s="1"/>
  <c r="Z369" i="32" s="1"/>
  <c r="AA369" i="32" s="1"/>
  <c r="J368" i="32"/>
  <c r="J376" i="32" s="1"/>
  <c r="X365" i="32"/>
  <c r="X388" i="32" s="1"/>
  <c r="T365" i="32"/>
  <c r="T388" i="32" s="1"/>
  <c r="O365" i="32"/>
  <c r="Q363" i="32"/>
  <c r="Z363" i="32" s="1"/>
  <c r="J363" i="32"/>
  <c r="AB362" i="32"/>
  <c r="J362" i="32"/>
  <c r="Q362" i="32" s="1"/>
  <c r="Z362" i="32" s="1"/>
  <c r="AA362" i="32" s="1"/>
  <c r="AC362" i="32" s="1"/>
  <c r="X360" i="32"/>
  <c r="W360" i="32"/>
  <c r="V360" i="32"/>
  <c r="U360" i="32"/>
  <c r="T360" i="32"/>
  <c r="S360" i="32"/>
  <c r="P360" i="32"/>
  <c r="O360" i="32"/>
  <c r="N360" i="32"/>
  <c r="M360" i="32"/>
  <c r="L360" i="32"/>
  <c r="G360" i="32"/>
  <c r="Z359" i="32"/>
  <c r="J359" i="32"/>
  <c r="Q359" i="32" s="1"/>
  <c r="J358" i="32"/>
  <c r="X355" i="32"/>
  <c r="W355" i="32"/>
  <c r="W365" i="32" s="1"/>
  <c r="W388" i="32" s="1"/>
  <c r="V355" i="32"/>
  <c r="V365" i="32" s="1"/>
  <c r="V388" i="32" s="1"/>
  <c r="U355" i="32"/>
  <c r="U365" i="32" s="1"/>
  <c r="U388" i="32" s="1"/>
  <c r="T355" i="32"/>
  <c r="S355" i="32"/>
  <c r="S365" i="32" s="1"/>
  <c r="S388" i="32" s="1"/>
  <c r="P355" i="32"/>
  <c r="P365" i="32" s="1"/>
  <c r="O355" i="32"/>
  <c r="N355" i="32"/>
  <c r="N365" i="32" s="1"/>
  <c r="M355" i="32"/>
  <c r="M365" i="32" s="1"/>
  <c r="L355" i="32"/>
  <c r="L365" i="32" s="1"/>
  <c r="L388" i="32" s="1"/>
  <c r="G355" i="32"/>
  <c r="Z354" i="32"/>
  <c r="J354" i="32"/>
  <c r="Q354" i="32" s="1"/>
  <c r="J353" i="32"/>
  <c r="A353" i="32"/>
  <c r="J351" i="32"/>
  <c r="Q351" i="32" s="1"/>
  <c r="Z345" i="32"/>
  <c r="S345" i="32"/>
  <c r="L345" i="32"/>
  <c r="G345" i="32"/>
  <c r="X334" i="32"/>
  <c r="W334" i="32"/>
  <c r="V334" i="32"/>
  <c r="U334" i="32"/>
  <c r="T334" i="32"/>
  <c r="S334" i="32"/>
  <c r="P334" i="32"/>
  <c r="O334" i="32"/>
  <c r="N334" i="32"/>
  <c r="M334" i="32"/>
  <c r="L334" i="32"/>
  <c r="J334" i="32"/>
  <c r="I334" i="32" s="1"/>
  <c r="G334" i="32"/>
  <c r="AB333" i="32"/>
  <c r="J333" i="32"/>
  <c r="Q333" i="32" s="1"/>
  <c r="Z333" i="32" s="1"/>
  <c r="AA333" i="32" s="1"/>
  <c r="Z332" i="32"/>
  <c r="J332" i="32"/>
  <c r="Q332" i="32" s="1"/>
  <c r="Q334" i="32" s="1"/>
  <c r="X329" i="32"/>
  <c r="W329" i="32"/>
  <c r="V329" i="32"/>
  <c r="U329" i="32"/>
  <c r="T329" i="32"/>
  <c r="S329" i="32"/>
  <c r="P329" i="32"/>
  <c r="O329" i="32"/>
  <c r="N329" i="32"/>
  <c r="M329" i="32"/>
  <c r="L329" i="32"/>
  <c r="G329" i="32"/>
  <c r="AB328" i="32"/>
  <c r="J328" i="32"/>
  <c r="Q328" i="32" s="1"/>
  <c r="Z328" i="32" s="1"/>
  <c r="AA328" i="32" s="1"/>
  <c r="Z327" i="32"/>
  <c r="J327" i="32"/>
  <c r="Q327" i="32" s="1"/>
  <c r="X324" i="32"/>
  <c r="W324" i="32"/>
  <c r="V324" i="32"/>
  <c r="U324" i="32"/>
  <c r="T324" i="32"/>
  <c r="S324" i="32"/>
  <c r="P324" i="32"/>
  <c r="O324" i="32"/>
  <c r="N324" i="32"/>
  <c r="M324" i="32"/>
  <c r="L324" i="32"/>
  <c r="J324" i="32"/>
  <c r="I324" i="32" s="1"/>
  <c r="G324" i="32"/>
  <c r="AB323" i="32"/>
  <c r="J323" i="32"/>
  <c r="Q323" i="32" s="1"/>
  <c r="Z323" i="32" s="1"/>
  <c r="AA323" i="32" s="1"/>
  <c r="Z322" i="32"/>
  <c r="J322" i="32"/>
  <c r="Q322" i="32" s="1"/>
  <c r="Q324" i="32" s="1"/>
  <c r="O319" i="32"/>
  <c r="O336" i="32" s="1"/>
  <c r="X317" i="32"/>
  <c r="X319" i="32" s="1"/>
  <c r="X336" i="32" s="1"/>
  <c r="W317" i="32"/>
  <c r="W319" i="32" s="1"/>
  <c r="W336" i="32" s="1"/>
  <c r="V317" i="32"/>
  <c r="V319" i="32" s="1"/>
  <c r="V336" i="32" s="1"/>
  <c r="U317" i="32"/>
  <c r="U319" i="32" s="1"/>
  <c r="U336" i="32" s="1"/>
  <c r="T317" i="32"/>
  <c r="T319" i="32" s="1"/>
  <c r="T336" i="32" s="1"/>
  <c r="S317" i="32"/>
  <c r="S319" i="32" s="1"/>
  <c r="S336" i="32" s="1"/>
  <c r="P317" i="32"/>
  <c r="P319" i="32" s="1"/>
  <c r="P336" i="32" s="1"/>
  <c r="O317" i="32"/>
  <c r="N317" i="32"/>
  <c r="N319" i="32" s="1"/>
  <c r="N336" i="32" s="1"/>
  <c r="M317" i="32"/>
  <c r="M319" i="32" s="1"/>
  <c r="M336" i="32" s="1"/>
  <c r="L317" i="32"/>
  <c r="L319" i="32" s="1"/>
  <c r="L336" i="32" s="1"/>
  <c r="G317" i="32"/>
  <c r="G319" i="32" s="1"/>
  <c r="G336" i="32" s="1"/>
  <c r="AB316" i="32"/>
  <c r="J316" i="32"/>
  <c r="Q316" i="32" s="1"/>
  <c r="Z316" i="32" s="1"/>
  <c r="AA316" i="32" s="1"/>
  <c r="J315" i="32"/>
  <c r="Q315" i="32" s="1"/>
  <c r="Z315" i="32" s="1"/>
  <c r="J314" i="32"/>
  <c r="Q314" i="32" s="1"/>
  <c r="Z314" i="32" s="1"/>
  <c r="AA314" i="32" s="1"/>
  <c r="J313" i="32"/>
  <c r="Q313" i="32" s="1"/>
  <c r="Z313" i="32" s="1"/>
  <c r="J312" i="32"/>
  <c r="Q312" i="32" s="1"/>
  <c r="J310" i="32"/>
  <c r="Q310" i="32" s="1"/>
  <c r="X304" i="32"/>
  <c r="W304" i="32"/>
  <c r="V304" i="32"/>
  <c r="U304" i="32"/>
  <c r="T304" i="32"/>
  <c r="S304" i="32"/>
  <c r="P304" i="32"/>
  <c r="O304" i="32"/>
  <c r="N304" i="32"/>
  <c r="M304" i="32"/>
  <c r="L304" i="32"/>
  <c r="G304" i="32"/>
  <c r="Q303" i="32"/>
  <c r="Z303" i="32" s="1"/>
  <c r="J303" i="32"/>
  <c r="J302" i="32"/>
  <c r="J304" i="32" s="1"/>
  <c r="I304" i="32" s="1"/>
  <c r="X299" i="32"/>
  <c r="W299" i="32"/>
  <c r="V299" i="32"/>
  <c r="U299" i="32"/>
  <c r="T299" i="32"/>
  <c r="S299" i="32"/>
  <c r="P299" i="32"/>
  <c r="O299" i="32"/>
  <c r="N299" i="32"/>
  <c r="M299" i="32"/>
  <c r="L299" i="32"/>
  <c r="G299" i="32"/>
  <c r="Q298" i="32"/>
  <c r="Z298" i="32" s="1"/>
  <c r="J298" i="32"/>
  <c r="J297" i="32"/>
  <c r="J299" i="32" s="1"/>
  <c r="I299" i="32" s="1"/>
  <c r="X294" i="32"/>
  <c r="W294" i="32"/>
  <c r="V294" i="32"/>
  <c r="U294" i="32"/>
  <c r="T294" i="32"/>
  <c r="S294" i="32"/>
  <c r="P294" i="32"/>
  <c r="O294" i="32"/>
  <c r="N294" i="32"/>
  <c r="M294" i="32"/>
  <c r="L294" i="32"/>
  <c r="G294" i="32"/>
  <c r="Q293" i="32"/>
  <c r="Z293" i="32" s="1"/>
  <c r="J293" i="32"/>
  <c r="J292" i="32"/>
  <c r="J294" i="32" s="1"/>
  <c r="I294" i="32" s="1"/>
  <c r="X287" i="32"/>
  <c r="X289" i="32" s="1"/>
  <c r="X307" i="32" s="1"/>
  <c r="W287" i="32"/>
  <c r="W289" i="32" s="1"/>
  <c r="W307" i="32" s="1"/>
  <c r="V287" i="32"/>
  <c r="V289" i="32" s="1"/>
  <c r="V307" i="32" s="1"/>
  <c r="U287" i="32"/>
  <c r="U289" i="32" s="1"/>
  <c r="U307" i="32" s="1"/>
  <c r="T287" i="32"/>
  <c r="T289" i="32" s="1"/>
  <c r="T307" i="32" s="1"/>
  <c r="S287" i="32"/>
  <c r="S289" i="32" s="1"/>
  <c r="S307" i="32" s="1"/>
  <c r="P287" i="32"/>
  <c r="P289" i="32" s="1"/>
  <c r="P307" i="32" s="1"/>
  <c r="O287" i="32"/>
  <c r="O289" i="32" s="1"/>
  <c r="O307" i="32" s="1"/>
  <c r="N287" i="32"/>
  <c r="N289" i="32" s="1"/>
  <c r="N307" i="32" s="1"/>
  <c r="M287" i="32"/>
  <c r="M289" i="32" s="1"/>
  <c r="M307" i="32" s="1"/>
  <c r="L287" i="32"/>
  <c r="L289" i="32" s="1"/>
  <c r="L307" i="32" s="1"/>
  <c r="G287" i="32"/>
  <c r="G289" i="32" s="1"/>
  <c r="G307" i="32" s="1"/>
  <c r="Q286" i="32"/>
  <c r="Z286" i="32" s="1"/>
  <c r="J286" i="32"/>
  <c r="AA285" i="32"/>
  <c r="Q285" i="32"/>
  <c r="Z285" i="32" s="1"/>
  <c r="AB285" i="32" s="1"/>
  <c r="J285" i="32"/>
  <c r="Q284" i="32"/>
  <c r="Z284" i="32" s="1"/>
  <c r="J284" i="32"/>
  <c r="Q283" i="32"/>
  <c r="Z283" i="32" s="1"/>
  <c r="AB283" i="32" s="1"/>
  <c r="J283" i="32"/>
  <c r="A283" i="32"/>
  <c r="Q282" i="32"/>
  <c r="J282" i="32"/>
  <c r="J287" i="32" s="1"/>
  <c r="I287" i="32" s="1"/>
  <c r="A282" i="32"/>
  <c r="J280" i="32"/>
  <c r="Z273" i="32"/>
  <c r="S273" i="32"/>
  <c r="L273" i="32"/>
  <c r="G273" i="32"/>
  <c r="U266" i="32"/>
  <c r="P266" i="32"/>
  <c r="Z264" i="32"/>
  <c r="J264" i="32"/>
  <c r="Q264" i="32" s="1"/>
  <c r="X262" i="32"/>
  <c r="W262" i="32"/>
  <c r="V262" i="32"/>
  <c r="U262" i="32"/>
  <c r="T262" i="32"/>
  <c r="S262" i="32"/>
  <c r="P262" i="32"/>
  <c r="O262" i="32"/>
  <c r="N262" i="32"/>
  <c r="M262" i="32"/>
  <c r="L262" i="32"/>
  <c r="G262" i="32"/>
  <c r="AB261" i="32"/>
  <c r="J261" i="32"/>
  <c r="Q261" i="32" s="1"/>
  <c r="Z261" i="32" s="1"/>
  <c r="AA261" i="32" s="1"/>
  <c r="J260" i="32"/>
  <c r="Q260" i="32" s="1"/>
  <c r="Q262" i="32" s="1"/>
  <c r="Q257" i="32"/>
  <c r="Z257" i="32" s="1"/>
  <c r="J257" i="32"/>
  <c r="X255" i="32"/>
  <c r="W255" i="32"/>
  <c r="W266" i="32" s="1"/>
  <c r="V255" i="32"/>
  <c r="V266" i="32" s="1"/>
  <c r="U255" i="32"/>
  <c r="T255" i="32"/>
  <c r="S255" i="32"/>
  <c r="S266" i="32" s="1"/>
  <c r="P255" i="32"/>
  <c r="O255" i="32"/>
  <c r="O266" i="32" s="1"/>
  <c r="N255" i="32"/>
  <c r="N266" i="32" s="1"/>
  <c r="M255" i="32"/>
  <c r="M266" i="32" s="1"/>
  <c r="L255" i="32"/>
  <c r="L266" i="32" s="1"/>
  <c r="G255" i="32"/>
  <c r="G266" i="32" s="1"/>
  <c r="J253" i="32"/>
  <c r="Q253" i="32" s="1"/>
  <c r="Z253" i="32" s="1"/>
  <c r="AA253" i="32" s="1"/>
  <c r="Q251" i="32"/>
  <c r="Z251" i="32" s="1"/>
  <c r="J251" i="32"/>
  <c r="J250" i="32"/>
  <c r="Q250" i="32" s="1"/>
  <c r="Z250" i="32" s="1"/>
  <c r="J249" i="32"/>
  <c r="X246" i="32"/>
  <c r="T246" i="32"/>
  <c r="O246" i="32"/>
  <c r="Q244" i="32"/>
  <c r="Z244" i="32" s="1"/>
  <c r="J244" i="32"/>
  <c r="X242" i="32"/>
  <c r="W242" i="32"/>
  <c r="V242" i="32"/>
  <c r="U242" i="32"/>
  <c r="T242" i="32"/>
  <c r="S242" i="32"/>
  <c r="P242" i="32"/>
  <c r="O242" i="32"/>
  <c r="N242" i="32"/>
  <c r="M242" i="32"/>
  <c r="L242" i="32"/>
  <c r="G242" i="32"/>
  <c r="Q241" i="32"/>
  <c r="Z241" i="32" s="1"/>
  <c r="J241" i="32"/>
  <c r="Q240" i="32"/>
  <c r="Q242" i="32" s="1"/>
  <c r="J240" i="32"/>
  <c r="J242" i="32" s="1"/>
  <c r="I242" i="32" s="1"/>
  <c r="J237" i="32"/>
  <c r="Q237" i="32" s="1"/>
  <c r="Z237" i="32" s="1"/>
  <c r="X235" i="32"/>
  <c r="V235" i="32"/>
  <c r="V246" i="32" s="1"/>
  <c r="T235" i="32"/>
  <c r="O235" i="32"/>
  <c r="M235" i="32"/>
  <c r="M246" i="32" s="1"/>
  <c r="G235" i="32"/>
  <c r="G246" i="32" s="1"/>
  <c r="Q233" i="32"/>
  <c r="Z233" i="32" s="1"/>
  <c r="AA233" i="32" s="1"/>
  <c r="J233" i="32"/>
  <c r="X231" i="32"/>
  <c r="W231" i="32"/>
  <c r="W235" i="32" s="1"/>
  <c r="W246" i="32" s="1"/>
  <c r="V231" i="32"/>
  <c r="U231" i="32"/>
  <c r="U235" i="32" s="1"/>
  <c r="U246" i="32" s="1"/>
  <c r="T231" i="32"/>
  <c r="S231" i="32"/>
  <c r="S235" i="32" s="1"/>
  <c r="S246" i="32" s="1"/>
  <c r="P231" i="32"/>
  <c r="P235" i="32" s="1"/>
  <c r="P246" i="32" s="1"/>
  <c r="O231" i="32"/>
  <c r="N231" i="32"/>
  <c r="N235" i="32" s="1"/>
  <c r="N246" i="32" s="1"/>
  <c r="M231" i="32"/>
  <c r="L231" i="32"/>
  <c r="L235" i="32" s="1"/>
  <c r="L246" i="32" s="1"/>
  <c r="G231" i="32"/>
  <c r="Q230" i="32"/>
  <c r="Z230" i="32" s="1"/>
  <c r="J230" i="32"/>
  <c r="A230" i="32"/>
  <c r="J229" i="32"/>
  <c r="J231" i="32" s="1"/>
  <c r="I231" i="32" s="1"/>
  <c r="A229" i="32"/>
  <c r="A231" i="32" s="1"/>
  <c r="J227" i="32"/>
  <c r="Q227" i="32" s="1"/>
  <c r="A227" i="32"/>
  <c r="Q226" i="32"/>
  <c r="Z226" i="32" s="1"/>
  <c r="J226" i="32"/>
  <c r="Q211" i="32"/>
  <c r="Z211" i="32" s="1"/>
  <c r="J211" i="32"/>
  <c r="X209" i="32"/>
  <c r="W209" i="32"/>
  <c r="V209" i="32"/>
  <c r="U209" i="32"/>
  <c r="T209" i="32"/>
  <c r="S209" i="32"/>
  <c r="P209" i="32"/>
  <c r="O209" i="32"/>
  <c r="N209" i="32"/>
  <c r="M209" i="32"/>
  <c r="L209" i="32"/>
  <c r="G209" i="32"/>
  <c r="Q208" i="32"/>
  <c r="Z208" i="32" s="1"/>
  <c r="J208" i="32"/>
  <c r="Q207" i="32"/>
  <c r="Q209" i="32" s="1"/>
  <c r="J207" i="32"/>
  <c r="J209" i="32" s="1"/>
  <c r="I209" i="32" s="1"/>
  <c r="J204" i="32"/>
  <c r="Q204" i="32" s="1"/>
  <c r="Z204" i="32" s="1"/>
  <c r="V202" i="32"/>
  <c r="V213" i="32" s="1"/>
  <c r="M202" i="32"/>
  <c r="M213" i="32" s="1"/>
  <c r="Z200" i="32"/>
  <c r="Q200" i="32"/>
  <c r="J199" i="32"/>
  <c r="Q199" i="32" s="1"/>
  <c r="Z199" i="32" s="1"/>
  <c r="AA199" i="32" s="1"/>
  <c r="X197" i="32"/>
  <c r="X202" i="32" s="1"/>
  <c r="X213" i="32" s="1"/>
  <c r="W197" i="32"/>
  <c r="W202" i="32" s="1"/>
  <c r="W213" i="32" s="1"/>
  <c r="V197" i="32"/>
  <c r="U197" i="32"/>
  <c r="U202" i="32" s="1"/>
  <c r="U213" i="32" s="1"/>
  <c r="T197" i="32"/>
  <c r="T202" i="32" s="1"/>
  <c r="T213" i="32" s="1"/>
  <c r="S197" i="32"/>
  <c r="S202" i="32" s="1"/>
  <c r="S213" i="32" s="1"/>
  <c r="Q197" i="32"/>
  <c r="P197" i="32"/>
  <c r="P202" i="32" s="1"/>
  <c r="P213" i="32" s="1"/>
  <c r="O197" i="32"/>
  <c r="O202" i="32" s="1"/>
  <c r="O213" i="32" s="1"/>
  <c r="N197" i="32"/>
  <c r="N202" i="32" s="1"/>
  <c r="N213" i="32" s="1"/>
  <c r="M197" i="32"/>
  <c r="L197" i="32"/>
  <c r="L202" i="32" s="1"/>
  <c r="L213" i="32" s="1"/>
  <c r="G197" i="32"/>
  <c r="G202" i="32" s="1"/>
  <c r="G213" i="32" s="1"/>
  <c r="Z196" i="32"/>
  <c r="AA196" i="32" s="1"/>
  <c r="Q196" i="32"/>
  <c r="J196" i="32"/>
  <c r="AB195" i="32"/>
  <c r="Z195" i="32"/>
  <c r="AA195" i="32" s="1"/>
  <c r="Q195" i="32"/>
  <c r="J195" i="32"/>
  <c r="Z194" i="32"/>
  <c r="AB194" i="32" s="1"/>
  <c r="Q194" i="32"/>
  <c r="J194" i="32"/>
  <c r="J197" i="32" s="1"/>
  <c r="I197" i="32" s="1"/>
  <c r="Q192" i="32"/>
  <c r="Z192" i="32" s="1"/>
  <c r="J192" i="32"/>
  <c r="J191" i="32"/>
  <c r="Q191" i="32" s="1"/>
  <c r="Q186" i="32"/>
  <c r="Z186" i="32" s="1"/>
  <c r="J186" i="32"/>
  <c r="X184" i="32"/>
  <c r="W184" i="32"/>
  <c r="V184" i="32"/>
  <c r="U184" i="32"/>
  <c r="T184" i="32"/>
  <c r="S184" i="32"/>
  <c r="P184" i="32"/>
  <c r="O184" i="32"/>
  <c r="N184" i="32"/>
  <c r="M184" i="32"/>
  <c r="L184" i="32"/>
  <c r="G184" i="32"/>
  <c r="Q183" i="32"/>
  <c r="Z183" i="32" s="1"/>
  <c r="J183" i="32"/>
  <c r="Q182" i="32"/>
  <c r="Q184" i="32" s="1"/>
  <c r="J182" i="32"/>
  <c r="J184" i="32" s="1"/>
  <c r="I184" i="32" s="1"/>
  <c r="Q179" i="32"/>
  <c r="Z179" i="32" s="1"/>
  <c r="J179" i="32"/>
  <c r="W177" i="32"/>
  <c r="W188" i="32" s="1"/>
  <c r="S177" i="32"/>
  <c r="S188" i="32" s="1"/>
  <c r="N177" i="32"/>
  <c r="N188" i="32" s="1"/>
  <c r="J175" i="32"/>
  <c r="Q175" i="32" s="1"/>
  <c r="Z175" i="32" s="1"/>
  <c r="AA175" i="32" s="1"/>
  <c r="X173" i="32"/>
  <c r="W173" i="32"/>
  <c r="V173" i="32"/>
  <c r="U173" i="32"/>
  <c r="T173" i="32"/>
  <c r="S173" i="32"/>
  <c r="P173" i="32"/>
  <c r="O173" i="32"/>
  <c r="N173" i="32"/>
  <c r="M173" i="32"/>
  <c r="L173" i="32"/>
  <c r="G173" i="32"/>
  <c r="J172" i="32"/>
  <c r="Q172" i="32" s="1"/>
  <c r="Z172" i="32" s="1"/>
  <c r="J171" i="32"/>
  <c r="Q171" i="32" s="1"/>
  <c r="Z171" i="32" s="1"/>
  <c r="J170" i="32"/>
  <c r="J173" i="32" s="1"/>
  <c r="I173" i="32" s="1"/>
  <c r="X166" i="32"/>
  <c r="X177" i="32" s="1"/>
  <c r="X188" i="32" s="1"/>
  <c r="W166" i="32"/>
  <c r="V166" i="32"/>
  <c r="V177" i="32" s="1"/>
  <c r="V188" i="32" s="1"/>
  <c r="U166" i="32"/>
  <c r="U177" i="32" s="1"/>
  <c r="U188" i="32" s="1"/>
  <c r="T166" i="32"/>
  <c r="T177" i="32" s="1"/>
  <c r="T188" i="32" s="1"/>
  <c r="S166" i="32"/>
  <c r="P166" i="32"/>
  <c r="P177" i="32" s="1"/>
  <c r="P188" i="32" s="1"/>
  <c r="O166" i="32"/>
  <c r="O177" i="32" s="1"/>
  <c r="O188" i="32" s="1"/>
  <c r="N166" i="32"/>
  <c r="M166" i="32"/>
  <c r="M177" i="32" s="1"/>
  <c r="M188" i="32" s="1"/>
  <c r="L166" i="32"/>
  <c r="L177" i="32" s="1"/>
  <c r="L188" i="32" s="1"/>
  <c r="G166" i="32"/>
  <c r="G177" i="32" s="1"/>
  <c r="G188" i="32" s="1"/>
  <c r="J165" i="32"/>
  <c r="Q165" i="32" s="1"/>
  <c r="Z165" i="32" s="1"/>
  <c r="J164" i="32"/>
  <c r="Q164" i="32" s="1"/>
  <c r="Z164" i="32" s="1"/>
  <c r="J163" i="32"/>
  <c r="Q163" i="32" s="1"/>
  <c r="A163" i="32"/>
  <c r="Q160" i="32"/>
  <c r="Z160" i="32" s="1"/>
  <c r="J160" i="32"/>
  <c r="V146" i="32"/>
  <c r="M146" i="32"/>
  <c r="G146" i="32"/>
  <c r="J144" i="32"/>
  <c r="Q144" i="32" s="1"/>
  <c r="Z144" i="32" s="1"/>
  <c r="X142" i="32"/>
  <c r="X146" i="32" s="1"/>
  <c r="W142" i="32"/>
  <c r="W146" i="32" s="1"/>
  <c r="V142" i="32"/>
  <c r="U142" i="32"/>
  <c r="U146" i="32" s="1"/>
  <c r="T142" i="32"/>
  <c r="T146" i="32" s="1"/>
  <c r="S142" i="32"/>
  <c r="S146" i="32" s="1"/>
  <c r="P142" i="32"/>
  <c r="P146" i="32" s="1"/>
  <c r="O142" i="32"/>
  <c r="O146" i="32" s="1"/>
  <c r="N142" i="32"/>
  <c r="N146" i="32" s="1"/>
  <c r="M142" i="32"/>
  <c r="L142" i="32"/>
  <c r="L146" i="32" s="1"/>
  <c r="Q141" i="32"/>
  <c r="Z141" i="32" s="1"/>
  <c r="J141" i="32"/>
  <c r="J140" i="32"/>
  <c r="Q140" i="32" s="1"/>
  <c r="G137" i="32"/>
  <c r="Q135" i="32"/>
  <c r="Z135" i="32" s="1"/>
  <c r="J135" i="32"/>
  <c r="X133" i="32"/>
  <c r="W133" i="32"/>
  <c r="V133" i="32"/>
  <c r="U133" i="32"/>
  <c r="T133" i="32"/>
  <c r="S133" i="32"/>
  <c r="P133" i="32"/>
  <c r="O133" i="32"/>
  <c r="N133" i="32"/>
  <c r="M133" i="32"/>
  <c r="L133" i="32"/>
  <c r="G133" i="32"/>
  <c r="Q132" i="32"/>
  <c r="Z132" i="32" s="1"/>
  <c r="J132" i="32"/>
  <c r="J131" i="32"/>
  <c r="J133" i="32" s="1"/>
  <c r="I133" i="32" s="1"/>
  <c r="J128" i="32"/>
  <c r="Q128" i="32" s="1"/>
  <c r="Z128" i="32" s="1"/>
  <c r="X126" i="32"/>
  <c r="X137" i="32" s="1"/>
  <c r="O126" i="32"/>
  <c r="O137" i="32" s="1"/>
  <c r="X124" i="32"/>
  <c r="W124" i="32"/>
  <c r="W126" i="32" s="1"/>
  <c r="W137" i="32" s="1"/>
  <c r="V124" i="32"/>
  <c r="V126" i="32" s="1"/>
  <c r="V137" i="32" s="1"/>
  <c r="U124" i="32"/>
  <c r="U126" i="32" s="1"/>
  <c r="U137" i="32" s="1"/>
  <c r="T124" i="32"/>
  <c r="T126" i="32" s="1"/>
  <c r="T137" i="32" s="1"/>
  <c r="S124" i="32"/>
  <c r="S126" i="32" s="1"/>
  <c r="S137" i="32" s="1"/>
  <c r="P124" i="32"/>
  <c r="P126" i="32" s="1"/>
  <c r="P137" i="32" s="1"/>
  <c r="O124" i="32"/>
  <c r="N124" i="32"/>
  <c r="N126" i="32" s="1"/>
  <c r="N137" i="32" s="1"/>
  <c r="M124" i="32"/>
  <c r="M126" i="32" s="1"/>
  <c r="M137" i="32" s="1"/>
  <c r="L124" i="32"/>
  <c r="L126" i="32" s="1"/>
  <c r="L137" i="32" s="1"/>
  <c r="G124" i="32"/>
  <c r="G126" i="32" s="1"/>
  <c r="Q123" i="32"/>
  <c r="Z123" i="32" s="1"/>
  <c r="J123" i="32"/>
  <c r="J122" i="32"/>
  <c r="Q122" i="32" s="1"/>
  <c r="J120" i="32"/>
  <c r="Q120" i="32" s="1"/>
  <c r="Z120" i="32" s="1"/>
  <c r="A120" i="32"/>
  <c r="J119" i="32"/>
  <c r="Q119" i="32" s="1"/>
  <c r="J104" i="32"/>
  <c r="Q104" i="32" s="1"/>
  <c r="Z104" i="32" s="1"/>
  <c r="X102" i="32"/>
  <c r="W102" i="32"/>
  <c r="V102" i="32"/>
  <c r="U102" i="32"/>
  <c r="T102" i="32"/>
  <c r="S102" i="32"/>
  <c r="P102" i="32"/>
  <c r="O102" i="32"/>
  <c r="N102" i="32"/>
  <c r="M102" i="32"/>
  <c r="L102" i="32"/>
  <c r="G102" i="32"/>
  <c r="J101" i="32"/>
  <c r="Q101" i="32" s="1"/>
  <c r="Z101" i="32" s="1"/>
  <c r="J100" i="32"/>
  <c r="Q100" i="32" s="1"/>
  <c r="J97" i="32"/>
  <c r="Q97" i="32" s="1"/>
  <c r="Z97" i="32" s="1"/>
  <c r="U95" i="32"/>
  <c r="U106" i="32" s="1"/>
  <c r="L95" i="32"/>
  <c r="L106" i="32" s="1"/>
  <c r="X93" i="32"/>
  <c r="X95" i="32" s="1"/>
  <c r="X106" i="32" s="1"/>
  <c r="W93" i="32"/>
  <c r="W95" i="32" s="1"/>
  <c r="W106" i="32" s="1"/>
  <c r="V93" i="32"/>
  <c r="V95" i="32" s="1"/>
  <c r="V106" i="32" s="1"/>
  <c r="U93" i="32"/>
  <c r="T93" i="32"/>
  <c r="T95" i="32" s="1"/>
  <c r="T106" i="32" s="1"/>
  <c r="S93" i="32"/>
  <c r="S95" i="32" s="1"/>
  <c r="S106" i="32" s="1"/>
  <c r="P93" i="32"/>
  <c r="P95" i="32" s="1"/>
  <c r="P106" i="32" s="1"/>
  <c r="O93" i="32"/>
  <c r="O95" i="32" s="1"/>
  <c r="O106" i="32" s="1"/>
  <c r="N93" i="32"/>
  <c r="N95" i="32" s="1"/>
  <c r="N106" i="32" s="1"/>
  <c r="M93" i="32"/>
  <c r="M95" i="32" s="1"/>
  <c r="M106" i="32" s="1"/>
  <c r="L93" i="32"/>
  <c r="G93" i="32"/>
  <c r="G95" i="32" s="1"/>
  <c r="Q92" i="32"/>
  <c r="Z92" i="32" s="1"/>
  <c r="J92" i="32"/>
  <c r="J91" i="32"/>
  <c r="J93" i="32" s="1"/>
  <c r="I93" i="32" s="1"/>
  <c r="J89" i="32"/>
  <c r="Q89" i="32" s="1"/>
  <c r="Z89" i="32" s="1"/>
  <c r="Q88" i="32"/>
  <c r="J88" i="32"/>
  <c r="J95" i="32" s="1"/>
  <c r="W85" i="32"/>
  <c r="S85" i="32"/>
  <c r="N85" i="32"/>
  <c r="G85" i="32"/>
  <c r="J83" i="32"/>
  <c r="Q83" i="32" s="1"/>
  <c r="Z83" i="32" s="1"/>
  <c r="X81" i="32"/>
  <c r="W81" i="32"/>
  <c r="V81" i="32"/>
  <c r="U81" i="32"/>
  <c r="T81" i="32"/>
  <c r="S81" i="32"/>
  <c r="P81" i="32"/>
  <c r="O81" i="32"/>
  <c r="N81" i="32"/>
  <c r="M81" i="32"/>
  <c r="L81" i="32"/>
  <c r="G81" i="32"/>
  <c r="J80" i="32"/>
  <c r="Q80" i="32" s="1"/>
  <c r="Z80" i="32" s="1"/>
  <c r="J79" i="32"/>
  <c r="Q79" i="32" s="1"/>
  <c r="J76" i="32"/>
  <c r="Q76" i="32" s="1"/>
  <c r="Z76" i="32" s="1"/>
  <c r="X74" i="32"/>
  <c r="X85" i="32" s="1"/>
  <c r="W74" i="32"/>
  <c r="V74" i="32"/>
  <c r="V85" i="32" s="1"/>
  <c r="U74" i="32"/>
  <c r="U85" i="32" s="1"/>
  <c r="T74" i="32"/>
  <c r="T85" i="32" s="1"/>
  <c r="S74" i="32"/>
  <c r="P74" i="32"/>
  <c r="P85" i="32" s="1"/>
  <c r="O74" i="32"/>
  <c r="O85" i="32" s="1"/>
  <c r="N74" i="32"/>
  <c r="M74" i="32"/>
  <c r="M85" i="32" s="1"/>
  <c r="L74" i="32"/>
  <c r="L85" i="32" s="1"/>
  <c r="G74" i="32"/>
  <c r="J72" i="32"/>
  <c r="Q72" i="32" s="1"/>
  <c r="Z72" i="32" s="1"/>
  <c r="Q71" i="32"/>
  <c r="Z71" i="32" s="1"/>
  <c r="J71" i="32"/>
  <c r="A71" i="32"/>
  <c r="J70" i="32"/>
  <c r="Q70" i="32" s="1"/>
  <c r="J55" i="32"/>
  <c r="Q55" i="32" s="1"/>
  <c r="Z55" i="32" s="1"/>
  <c r="X53" i="32"/>
  <c r="W53" i="32"/>
  <c r="V53" i="32"/>
  <c r="U53" i="32"/>
  <c r="T53" i="32"/>
  <c r="S53" i="32"/>
  <c r="P53" i="32"/>
  <c r="O53" i="32"/>
  <c r="N53" i="32"/>
  <c r="M53" i="32"/>
  <c r="L53" i="32"/>
  <c r="G53" i="32"/>
  <c r="J52" i="32"/>
  <c r="J53" i="32" s="1"/>
  <c r="I53" i="32" s="1"/>
  <c r="J51" i="32"/>
  <c r="Q51" i="32" s="1"/>
  <c r="Q48" i="32"/>
  <c r="Z48" i="32" s="1"/>
  <c r="J48" i="32"/>
  <c r="S46" i="32"/>
  <c r="S57" i="32" s="1"/>
  <c r="X44" i="32"/>
  <c r="X46" i="32" s="1"/>
  <c r="X57" i="32" s="1"/>
  <c r="W44" i="32"/>
  <c r="W46" i="32" s="1"/>
  <c r="W57" i="32" s="1"/>
  <c r="V44" i="32"/>
  <c r="V46" i="32" s="1"/>
  <c r="V57" i="32" s="1"/>
  <c r="U44" i="32"/>
  <c r="U46" i="32" s="1"/>
  <c r="U57" i="32" s="1"/>
  <c r="T44" i="32"/>
  <c r="T46" i="32" s="1"/>
  <c r="T57" i="32" s="1"/>
  <c r="S44" i="32"/>
  <c r="P44" i="32"/>
  <c r="P46" i="32" s="1"/>
  <c r="P57" i="32" s="1"/>
  <c r="O44" i="32"/>
  <c r="O46" i="32" s="1"/>
  <c r="O57" i="32" s="1"/>
  <c r="N44" i="32"/>
  <c r="N46" i="32" s="1"/>
  <c r="N57" i="32" s="1"/>
  <c r="M44" i="32"/>
  <c r="M46" i="32" s="1"/>
  <c r="M57" i="32" s="1"/>
  <c r="L44" i="32"/>
  <c r="L46" i="32" s="1"/>
  <c r="L57" i="32" s="1"/>
  <c r="G44" i="32"/>
  <c r="G57" i="32" s="1"/>
  <c r="J43" i="32"/>
  <c r="Q43" i="32" s="1"/>
  <c r="Z43" i="32" s="1"/>
  <c r="Q42" i="32"/>
  <c r="Z42" i="32" s="1"/>
  <c r="J42" i="32"/>
  <c r="J41" i="32"/>
  <c r="Q41" i="32" s="1"/>
  <c r="Z41" i="32" s="1"/>
  <c r="Q40" i="32"/>
  <c r="Z40" i="32" s="1"/>
  <c r="J40" i="32"/>
  <c r="Q39" i="32"/>
  <c r="Z39" i="32" s="1"/>
  <c r="J39" i="32"/>
  <c r="Q38" i="32"/>
  <c r="J38" i="32"/>
  <c r="J44" i="32" s="1"/>
  <c r="I44" i="32" s="1"/>
  <c r="J36" i="32"/>
  <c r="G33" i="32"/>
  <c r="Q31" i="32"/>
  <c r="Z31" i="32" s="1"/>
  <c r="J31" i="32"/>
  <c r="X29" i="32"/>
  <c r="W29" i="32"/>
  <c r="V29" i="32"/>
  <c r="U29" i="32"/>
  <c r="T29" i="32"/>
  <c r="S29" i="32"/>
  <c r="P29" i="32"/>
  <c r="O29" i="32"/>
  <c r="N29" i="32"/>
  <c r="M29" i="32"/>
  <c r="L29" i="32"/>
  <c r="G29" i="32"/>
  <c r="Q28" i="32"/>
  <c r="Z28" i="32" s="1"/>
  <c r="J28" i="32"/>
  <c r="J27" i="32"/>
  <c r="J29" i="32" s="1"/>
  <c r="I29" i="32" s="1"/>
  <c r="J24" i="32"/>
  <c r="Q24" i="32" s="1"/>
  <c r="Z24" i="32" s="1"/>
  <c r="X22" i="32"/>
  <c r="X33" i="32" s="1"/>
  <c r="O22" i="32"/>
  <c r="O33" i="32" s="1"/>
  <c r="X20" i="32"/>
  <c r="W20" i="32"/>
  <c r="W22" i="32" s="1"/>
  <c r="W33" i="32" s="1"/>
  <c r="V20" i="32"/>
  <c r="V22" i="32" s="1"/>
  <c r="V33" i="32" s="1"/>
  <c r="U20" i="32"/>
  <c r="U22" i="32" s="1"/>
  <c r="U33" i="32" s="1"/>
  <c r="T20" i="32"/>
  <c r="T22" i="32" s="1"/>
  <c r="T33" i="32" s="1"/>
  <c r="S20" i="32"/>
  <c r="S22" i="32" s="1"/>
  <c r="S33" i="32" s="1"/>
  <c r="P20" i="32"/>
  <c r="P22" i="32" s="1"/>
  <c r="P33" i="32" s="1"/>
  <c r="O20" i="32"/>
  <c r="N20" i="32"/>
  <c r="N22" i="32" s="1"/>
  <c r="N33" i="32" s="1"/>
  <c r="M20" i="32"/>
  <c r="M22" i="32" s="1"/>
  <c r="M33" i="32" s="1"/>
  <c r="L20" i="32"/>
  <c r="L22" i="32" s="1"/>
  <c r="L33" i="32" s="1"/>
  <c r="G20" i="32"/>
  <c r="G22" i="32" s="1"/>
  <c r="J19" i="32"/>
  <c r="Q19" i="32" s="1"/>
  <c r="Z19" i="32" s="1"/>
  <c r="J18" i="32"/>
  <c r="Q18" i="32" s="1"/>
  <c r="Z18" i="32" s="1"/>
  <c r="J17" i="32"/>
  <c r="Q17" i="32" s="1"/>
  <c r="Z17" i="32" s="1"/>
  <c r="J16" i="32"/>
  <c r="Q16" i="32" s="1"/>
  <c r="A16" i="32"/>
  <c r="Q14" i="32"/>
  <c r="J14" i="32"/>
  <c r="AB17" i="32" l="1"/>
  <c r="AA17" i="32"/>
  <c r="X709" i="32"/>
  <c r="X862" i="32" s="1"/>
  <c r="AA39" i="32"/>
  <c r="AB39" i="32"/>
  <c r="AB71" i="32"/>
  <c r="AA71" i="32"/>
  <c r="AC71" i="32" s="1"/>
  <c r="AA80" i="32"/>
  <c r="AB80" i="32"/>
  <c r="AB101" i="32"/>
  <c r="AA101" i="32"/>
  <c r="AB120" i="32"/>
  <c r="AA120" i="32"/>
  <c r="AC120" i="32" s="1"/>
  <c r="AB160" i="32"/>
  <c r="AA160" i="32"/>
  <c r="AC160" i="32" s="1"/>
  <c r="Q202" i="32"/>
  <c r="Q213" i="32" s="1"/>
  <c r="Z191" i="32"/>
  <c r="AB251" i="32"/>
  <c r="AA251" i="32"/>
  <c r="AC251" i="32" s="1"/>
  <c r="AB313" i="32"/>
  <c r="AA313" i="32"/>
  <c r="AA43" i="32"/>
  <c r="AB43" i="32"/>
  <c r="AA76" i="32"/>
  <c r="AC76" i="32" s="1"/>
  <c r="AB76" i="32"/>
  <c r="Z119" i="32"/>
  <c r="AA18" i="32"/>
  <c r="AB18" i="32"/>
  <c r="S709" i="32"/>
  <c r="S862" i="32" s="1"/>
  <c r="AB24" i="32"/>
  <c r="AA24" i="32"/>
  <c r="AC24" i="32" s="1"/>
  <c r="AA72" i="32"/>
  <c r="AC72" i="32" s="1"/>
  <c r="AB72" i="32"/>
  <c r="Z122" i="32"/>
  <c r="Q124" i="32"/>
  <c r="Q126" i="32" s="1"/>
  <c r="AB183" i="32"/>
  <c r="AA183" i="32"/>
  <c r="AB211" i="32"/>
  <c r="AA211" i="32"/>
  <c r="AC211" i="32" s="1"/>
  <c r="AB244" i="32"/>
  <c r="AA244" i="32"/>
  <c r="AC244" i="32" s="1"/>
  <c r="I95" i="32"/>
  <c r="Q166" i="32"/>
  <c r="Z163" i="32"/>
  <c r="AB41" i="32"/>
  <c r="AA41" i="32"/>
  <c r="AB123" i="32"/>
  <c r="AA123" i="32"/>
  <c r="AC123" i="32" s="1"/>
  <c r="AA135" i="32"/>
  <c r="AC135" i="32" s="1"/>
  <c r="AB135" i="32"/>
  <c r="AB144" i="32"/>
  <c r="AA144" i="32"/>
  <c r="AC144" i="32" s="1"/>
  <c r="AB164" i="32"/>
  <c r="AA164" i="32"/>
  <c r="AB172" i="32"/>
  <c r="AA172" i="32"/>
  <c r="AB208" i="32"/>
  <c r="AA208" i="32"/>
  <c r="AB226" i="32"/>
  <c r="AA226" i="32"/>
  <c r="AC226" i="32" s="1"/>
  <c r="AB241" i="32"/>
  <c r="AA241" i="32"/>
  <c r="AB40" i="32"/>
  <c r="AA40" i="32"/>
  <c r="AB128" i="32"/>
  <c r="AA128" i="32"/>
  <c r="AC128" i="32" s="1"/>
  <c r="AB192" i="32"/>
  <c r="AA192" i="32"/>
  <c r="AC192" i="32" s="1"/>
  <c r="AB230" i="32"/>
  <c r="AA230" i="32"/>
  <c r="AA315" i="32"/>
  <c r="AB315" i="32"/>
  <c r="U709" i="32"/>
  <c r="U862" i="32" s="1"/>
  <c r="L709" i="32"/>
  <c r="L862" i="32" s="1"/>
  <c r="V709" i="32"/>
  <c r="AB28" i="32"/>
  <c r="AA28" i="32"/>
  <c r="J46" i="32"/>
  <c r="AA55" i="32"/>
  <c r="AC55" i="32" s="1"/>
  <c r="AB55" i="32"/>
  <c r="AB89" i="32"/>
  <c r="AA89" i="32"/>
  <c r="AC89" i="32" s="1"/>
  <c r="AB165" i="32"/>
  <c r="AA165" i="32"/>
  <c r="AB19" i="32"/>
  <c r="AA19" i="32"/>
  <c r="AA31" i="32"/>
  <c r="AC31" i="32" s="1"/>
  <c r="AB31" i="32"/>
  <c r="AB171" i="32"/>
  <c r="AA171" i="32"/>
  <c r="W709" i="32"/>
  <c r="W862" i="32" s="1"/>
  <c r="AB42" i="32"/>
  <c r="AA42" i="32"/>
  <c r="AB48" i="32"/>
  <c r="AA48" i="32"/>
  <c r="AC48" i="32" s="1"/>
  <c r="Q74" i="32"/>
  <c r="Q85" i="32" s="1"/>
  <c r="Z70" i="32"/>
  <c r="AB83" i="32"/>
  <c r="AA83" i="32"/>
  <c r="AC83" i="32" s="1"/>
  <c r="AB104" i="32"/>
  <c r="AA104" i="32"/>
  <c r="AC104" i="32" s="1"/>
  <c r="AB132" i="32"/>
  <c r="AA132" i="32"/>
  <c r="Q142" i="32"/>
  <c r="Q146" i="32" s="1"/>
  <c r="Z140" i="32"/>
  <c r="AB179" i="32"/>
  <c r="AA179" i="32"/>
  <c r="Z227" i="32"/>
  <c r="AB392" i="32"/>
  <c r="AA392" i="32"/>
  <c r="AC392" i="32" s="1"/>
  <c r="Q44" i="32"/>
  <c r="Z51" i="32"/>
  <c r="AB97" i="32"/>
  <c r="AA97" i="32"/>
  <c r="AC97" i="32" s="1"/>
  <c r="AB250" i="32"/>
  <c r="AA250" i="32"/>
  <c r="AC250" i="32" s="1"/>
  <c r="Z16" i="32"/>
  <c r="Q20" i="32"/>
  <c r="Q22" i="32" s="1"/>
  <c r="Q81" i="32"/>
  <c r="Z79" i="32"/>
  <c r="AB92" i="32"/>
  <c r="AA92" i="32"/>
  <c r="Q102" i="32"/>
  <c r="Z100" i="32"/>
  <c r="AB141" i="32"/>
  <c r="AA141" i="32"/>
  <c r="AC141" i="32" s="1"/>
  <c r="AB186" i="32"/>
  <c r="AA186" i="32"/>
  <c r="AC186" i="32" s="1"/>
  <c r="AB204" i="32"/>
  <c r="AA204" i="32"/>
  <c r="AC204" i="32" s="1"/>
  <c r="AB237" i="32"/>
  <c r="AA237" i="32"/>
  <c r="AC237" i="32" s="1"/>
  <c r="Q27" i="32"/>
  <c r="Q91" i="32"/>
  <c r="J102" i="32"/>
  <c r="I102" i="32" s="1"/>
  <c r="Q131" i="32"/>
  <c r="J166" i="32"/>
  <c r="I166" i="32" s="1"/>
  <c r="AB196" i="32"/>
  <c r="AB197" i="32" s="1"/>
  <c r="J202" i="32"/>
  <c r="A233" i="32"/>
  <c r="J235" i="32"/>
  <c r="Z312" i="32"/>
  <c r="Q317" i="32"/>
  <c r="AB327" i="32"/>
  <c r="AB329" i="32" s="1"/>
  <c r="Z329" i="32"/>
  <c r="AA329" i="32" s="1"/>
  <c r="AC329" i="32" s="1"/>
  <c r="AA327" i="32"/>
  <c r="Q424" i="32"/>
  <c r="Z418" i="32"/>
  <c r="AA477" i="32"/>
  <c r="AB477" i="32"/>
  <c r="AB485" i="32"/>
  <c r="AA485" i="32"/>
  <c r="AC485" i="32" s="1"/>
  <c r="AB502" i="32"/>
  <c r="AA502" i="32"/>
  <c r="AB541" i="32"/>
  <c r="AA541" i="32"/>
  <c r="AC541" i="32" s="1"/>
  <c r="J20" i="32"/>
  <c r="G46" i="32"/>
  <c r="G106" i="32"/>
  <c r="A122" i="32"/>
  <c r="A123" i="32" s="1"/>
  <c r="J142" i="32"/>
  <c r="A164" i="32"/>
  <c r="A170" i="32"/>
  <c r="Z182" i="32"/>
  <c r="Z197" i="32"/>
  <c r="AA197" i="32" s="1"/>
  <c r="AC197" i="32" s="1"/>
  <c r="X266" i="32"/>
  <c r="AA264" i="32"/>
  <c r="AC264" i="32" s="1"/>
  <c r="AB264" i="32"/>
  <c r="AB303" i="32"/>
  <c r="AA303" i="32"/>
  <c r="Q358" i="32"/>
  <c r="J360" i="32"/>
  <c r="I360" i="32" s="1"/>
  <c r="AB401" i="32"/>
  <c r="AA401" i="32"/>
  <c r="AB478" i="32"/>
  <c r="AA478" i="32"/>
  <c r="Q499" i="32"/>
  <c r="Z497" i="32"/>
  <c r="AB581" i="32"/>
  <c r="AA581" i="32"/>
  <c r="AC581" i="32" s="1"/>
  <c r="AA600" i="32"/>
  <c r="AC600" i="32" s="1"/>
  <c r="AB600" i="32"/>
  <c r="AB332" i="32"/>
  <c r="AB334" i="32" s="1"/>
  <c r="Z334" i="32"/>
  <c r="AA334" i="32" s="1"/>
  <c r="AC334" i="32" s="1"/>
  <c r="AA332" i="32"/>
  <c r="AA354" i="32"/>
  <c r="AB354" i="32"/>
  <c r="AA371" i="32"/>
  <c r="AB371" i="32"/>
  <c r="AB433" i="32"/>
  <c r="AA433" i="32"/>
  <c r="I494" i="32"/>
  <c r="AB498" i="32"/>
  <c r="AA498" i="32"/>
  <c r="AB532" i="32"/>
  <c r="AA532" i="32"/>
  <c r="AC532" i="32" s="1"/>
  <c r="J124" i="32"/>
  <c r="Z14" i="32"/>
  <c r="A18" i="32"/>
  <c r="Q36" i="32"/>
  <c r="Z38" i="32"/>
  <c r="Q52" i="32"/>
  <c r="Z52" i="32" s="1"/>
  <c r="A72" i="32"/>
  <c r="Z88" i="32"/>
  <c r="Q170" i="32"/>
  <c r="AA194" i="32"/>
  <c r="Z207" i="32"/>
  <c r="Z240" i="32"/>
  <c r="J262" i="32"/>
  <c r="I262" i="32" s="1"/>
  <c r="J289" i="32"/>
  <c r="Q280" i="32"/>
  <c r="AA283" i="32"/>
  <c r="AB286" i="32"/>
  <c r="AA286" i="32"/>
  <c r="AB293" i="32"/>
  <c r="AA293" i="32"/>
  <c r="J317" i="32"/>
  <c r="AA380" i="32"/>
  <c r="Z384" i="32"/>
  <c r="Q386" i="32"/>
  <c r="AB419" i="32"/>
  <c r="AA419" i="32"/>
  <c r="AC419" i="32" s="1"/>
  <c r="AB492" i="32"/>
  <c r="AA492" i="32"/>
  <c r="Q536" i="32"/>
  <c r="Z530" i="32"/>
  <c r="AB564" i="32"/>
  <c r="AA564" i="32"/>
  <c r="AC564" i="32" s="1"/>
  <c r="J81" i="32"/>
  <c r="I81" i="32" s="1"/>
  <c r="J255" i="32"/>
  <c r="AB257" i="32"/>
  <c r="AA257" i="32"/>
  <c r="AC257" i="32" s="1"/>
  <c r="J329" i="32"/>
  <c r="I329" i="32" s="1"/>
  <c r="Z351" i="32"/>
  <c r="AA359" i="32"/>
  <c r="AB359" i="32"/>
  <c r="Q395" i="32"/>
  <c r="Q404" i="32" s="1"/>
  <c r="Z391" i="32"/>
  <c r="AB397" i="32"/>
  <c r="AA397" i="32"/>
  <c r="AC397" i="32" s="1"/>
  <c r="AA420" i="32"/>
  <c r="AC420" i="32" s="1"/>
  <c r="AB420" i="32"/>
  <c r="Z427" i="32"/>
  <c r="Q435" i="32"/>
  <c r="AB434" i="32"/>
  <c r="AA434" i="32"/>
  <c r="Z446" i="32"/>
  <c r="AA455" i="32"/>
  <c r="AC455" i="32" s="1"/>
  <c r="AB455" i="32"/>
  <c r="AB493" i="32"/>
  <c r="AA493" i="32"/>
  <c r="Q556" i="32"/>
  <c r="Q566" i="32" s="1"/>
  <c r="Q562" i="32"/>
  <c r="Z559" i="32"/>
  <c r="AA644" i="32"/>
  <c r="AC644" i="32" s="1"/>
  <c r="AB644" i="32"/>
  <c r="A17" i="32"/>
  <c r="J74" i="32"/>
  <c r="A166" i="32"/>
  <c r="Q249" i="32"/>
  <c r="T266" i="32"/>
  <c r="T709" i="32" s="1"/>
  <c r="T862" i="32" s="1"/>
  <c r="AB284" i="32"/>
  <c r="AA284" i="32"/>
  <c r="AB314" i="32"/>
  <c r="G388" i="32"/>
  <c r="G365" i="32"/>
  <c r="I451" i="32"/>
  <c r="J453" i="32"/>
  <c r="AB457" i="32"/>
  <c r="AA457" i="32"/>
  <c r="AC457" i="32" s="1"/>
  <c r="AB513" i="32"/>
  <c r="AA513" i="32"/>
  <c r="AC513" i="32" s="1"/>
  <c r="Z539" i="32"/>
  <c r="Q543" i="32"/>
  <c r="AB553" i="32"/>
  <c r="AA553" i="32"/>
  <c r="AC553" i="32" s="1"/>
  <c r="AB638" i="32"/>
  <c r="AA638" i="32"/>
  <c r="AC638" i="32" s="1"/>
  <c r="AB298" i="32"/>
  <c r="AA298" i="32"/>
  <c r="Z310" i="32"/>
  <c r="Q319" i="32"/>
  <c r="AB322" i="32"/>
  <c r="AB324" i="32" s="1"/>
  <c r="Z324" i="32"/>
  <c r="AA324" i="32" s="1"/>
  <c r="AC324" i="32" s="1"/>
  <c r="AA322" i="32"/>
  <c r="AB363" i="32"/>
  <c r="AA363" i="32"/>
  <c r="AC363" i="32" s="1"/>
  <c r="AB374" i="32"/>
  <c r="AA374" i="32"/>
  <c r="I395" i="32"/>
  <c r="J404" i="32"/>
  <c r="I404" i="32" s="1"/>
  <c r="AB421" i="32"/>
  <c r="AA421" i="32"/>
  <c r="AC421" i="32" s="1"/>
  <c r="AB449" i="32"/>
  <c r="AA449" i="32"/>
  <c r="Z475" i="32"/>
  <c r="Q479" i="32"/>
  <c r="Q481" i="32" s="1"/>
  <c r="Q487" i="32" s="1"/>
  <c r="AB483" i="32"/>
  <c r="AA483" i="32"/>
  <c r="AC483" i="32" s="1"/>
  <c r="AB509" i="32"/>
  <c r="AA509" i="32"/>
  <c r="AC509" i="32" s="1"/>
  <c r="AB514" i="32"/>
  <c r="AA514" i="32"/>
  <c r="AC514" i="32" s="1"/>
  <c r="AB545" i="32"/>
  <c r="AA545" i="32"/>
  <c r="AC545" i="32" s="1"/>
  <c r="AB560" i="32"/>
  <c r="AA560" i="32"/>
  <c r="AC560" i="32" s="1"/>
  <c r="Q583" i="32"/>
  <c r="Q587" i="32" s="1"/>
  <c r="Z580" i="32"/>
  <c r="AB585" i="32"/>
  <c r="AA585" i="32"/>
  <c r="AC585" i="32" s="1"/>
  <c r="A165" i="32"/>
  <c r="A172" i="32" s="1"/>
  <c r="A171" i="32"/>
  <c r="Z260" i="32"/>
  <c r="Q287" i="32"/>
  <c r="Z282" i="32"/>
  <c r="Q329" i="32"/>
  <c r="Q353" i="32"/>
  <c r="J355" i="32"/>
  <c r="M376" i="32"/>
  <c r="M388" i="32" s="1"/>
  <c r="M709" i="32" s="1"/>
  <c r="M862" i="32" s="1"/>
  <c r="N375" i="32"/>
  <c r="Z379" i="32"/>
  <c r="Q381" i="32"/>
  <c r="AA385" i="32"/>
  <c r="AB422" i="32"/>
  <c r="AA422" i="32"/>
  <c r="AB450" i="32"/>
  <c r="AA450" i="32"/>
  <c r="AB476" i="32"/>
  <c r="AA476" i="32"/>
  <c r="AB501" i="32"/>
  <c r="AA501" i="32"/>
  <c r="AB540" i="32"/>
  <c r="AA540" i="32"/>
  <c r="AC540" i="32" s="1"/>
  <c r="AA546" i="32"/>
  <c r="AC546" i="32" s="1"/>
  <c r="AB546" i="32"/>
  <c r="AB554" i="32"/>
  <c r="AA554" i="32"/>
  <c r="AC554" i="32" s="1"/>
  <c r="AA593" i="32"/>
  <c r="AC593" i="32" s="1"/>
  <c r="AB593" i="32"/>
  <c r="Q292" i="32"/>
  <c r="Q297" i="32"/>
  <c r="Q302" i="32"/>
  <c r="Q400" i="32"/>
  <c r="J562" i="32"/>
  <c r="I562" i="32" s="1"/>
  <c r="J583" i="32"/>
  <c r="M860" i="32"/>
  <c r="J763" i="32"/>
  <c r="I763" i="32" s="1"/>
  <c r="AB780" i="32"/>
  <c r="AA780" i="32"/>
  <c r="AC780" i="32" s="1"/>
  <c r="V18" i="33"/>
  <c r="U18" i="33"/>
  <c r="N44" i="33"/>
  <c r="T38" i="33"/>
  <c r="V72" i="33"/>
  <c r="U72" i="33"/>
  <c r="W72" i="33" s="1"/>
  <c r="V77" i="33"/>
  <c r="U77" i="33"/>
  <c r="W77" i="33" s="1"/>
  <c r="V144" i="33"/>
  <c r="U144" i="33"/>
  <c r="W144" i="33" s="1"/>
  <c r="V168" i="33"/>
  <c r="U168" i="33"/>
  <c r="V173" i="33"/>
  <c r="T176" i="33"/>
  <c r="U176" i="33" s="1"/>
  <c r="W176" i="33" s="1"/>
  <c r="U173" i="33"/>
  <c r="T185" i="33"/>
  <c r="N187" i="33"/>
  <c r="V189" i="33"/>
  <c r="U189" i="33"/>
  <c r="W189" i="33" s="1"/>
  <c r="Q368" i="32"/>
  <c r="Q507" i="32"/>
  <c r="A533" i="32"/>
  <c r="Z552" i="32"/>
  <c r="AB684" i="32"/>
  <c r="AA684" i="32"/>
  <c r="AC684" i="32" s="1"/>
  <c r="A731" i="32"/>
  <c r="A728" i="32"/>
  <c r="Q763" i="32"/>
  <c r="AA744" i="32"/>
  <c r="T14" i="33"/>
  <c r="N22" i="33"/>
  <c r="P707" i="33"/>
  <c r="P861" i="33" s="1"/>
  <c r="V43" i="33"/>
  <c r="U43" i="33"/>
  <c r="V73" i="33"/>
  <c r="U73" i="33"/>
  <c r="W73" i="33" s="1"/>
  <c r="T80" i="33"/>
  <c r="N82" i="33"/>
  <c r="U84" i="33"/>
  <c r="W84" i="33" s="1"/>
  <c r="V84" i="33"/>
  <c r="V99" i="33"/>
  <c r="U99" i="33"/>
  <c r="W99" i="33" s="1"/>
  <c r="T125" i="33"/>
  <c r="N127" i="33"/>
  <c r="N129" i="33" s="1"/>
  <c r="N140" i="33" s="1"/>
  <c r="T163" i="33"/>
  <c r="V174" i="33"/>
  <c r="U174" i="33"/>
  <c r="V186" i="33"/>
  <c r="U186" i="33"/>
  <c r="I205" i="33"/>
  <c r="J216" i="33"/>
  <c r="I216" i="33" s="1"/>
  <c r="J424" i="32"/>
  <c r="J479" i="32"/>
  <c r="J536" i="32"/>
  <c r="AB637" i="32"/>
  <c r="AA637" i="32"/>
  <c r="AC637" i="32" s="1"/>
  <c r="I689" i="32"/>
  <c r="J707" i="32"/>
  <c r="AB741" i="32"/>
  <c r="AA741" i="32"/>
  <c r="AC741" i="32" s="1"/>
  <c r="AB781" i="32"/>
  <c r="AA781" i="32"/>
  <c r="AC781" i="32" s="1"/>
  <c r="V19" i="33"/>
  <c r="U19" i="33"/>
  <c r="V24" i="33"/>
  <c r="U24" i="33"/>
  <c r="W24" i="33" s="1"/>
  <c r="V39" i="33"/>
  <c r="U39" i="33"/>
  <c r="V48" i="33"/>
  <c r="U48" i="33"/>
  <c r="W48" i="33" s="1"/>
  <c r="V81" i="33"/>
  <c r="U81" i="33"/>
  <c r="V94" i="33"/>
  <c r="U94" i="33"/>
  <c r="N104" i="33"/>
  <c r="T102" i="33"/>
  <c r="V106" i="33"/>
  <c r="U106" i="33"/>
  <c r="W106" i="33" s="1"/>
  <c r="V126" i="33"/>
  <c r="U126" i="33"/>
  <c r="V131" i="33"/>
  <c r="U131" i="33"/>
  <c r="W131" i="33" s="1"/>
  <c r="U268" i="33"/>
  <c r="W268" i="33" s="1"/>
  <c r="V268" i="33"/>
  <c r="A354" i="32"/>
  <c r="A420" i="32"/>
  <c r="Q448" i="32"/>
  <c r="Z473" i="32"/>
  <c r="A477" i="32"/>
  <c r="Q491" i="32"/>
  <c r="J543" i="32"/>
  <c r="I543" i="32" s="1"/>
  <c r="Q619" i="32"/>
  <c r="Z652" i="32"/>
  <c r="AB746" i="32"/>
  <c r="AB752" i="32"/>
  <c r="AA752" i="32"/>
  <c r="AC752" i="32" s="1"/>
  <c r="I20" i="33"/>
  <c r="J22" i="33"/>
  <c r="V40" i="33"/>
  <c r="U40" i="33"/>
  <c r="N53" i="33"/>
  <c r="T51" i="33"/>
  <c r="U103" i="33"/>
  <c r="V103" i="33"/>
  <c r="V175" i="33"/>
  <c r="U175" i="33"/>
  <c r="A284" i="32"/>
  <c r="AA608" i="32"/>
  <c r="AC608" i="32" s="1"/>
  <c r="AB608" i="32"/>
  <c r="AB619" i="32" s="1"/>
  <c r="Z619" i="32"/>
  <c r="AA619" i="32" s="1"/>
  <c r="AB643" i="32"/>
  <c r="AA643" i="32"/>
  <c r="AC643" i="32" s="1"/>
  <c r="AB685" i="32"/>
  <c r="AA685" i="32"/>
  <c r="AC685" i="32" s="1"/>
  <c r="AB742" i="32"/>
  <c r="AA742" i="32"/>
  <c r="T29" i="33"/>
  <c r="U29" i="33" s="1"/>
  <c r="W29" i="33" s="1"/>
  <c r="V27" i="33"/>
  <c r="U27" i="33"/>
  <c r="V41" i="33"/>
  <c r="U41" i="33"/>
  <c r="V52" i="33"/>
  <c r="U52" i="33"/>
  <c r="T136" i="33"/>
  <c r="U136" i="33" s="1"/>
  <c r="W136" i="33" s="1"/>
  <c r="V134" i="33"/>
  <c r="U134" i="33"/>
  <c r="V166" i="33"/>
  <c r="V169" i="33" s="1"/>
  <c r="T169" i="33"/>
  <c r="U169" i="33" s="1"/>
  <c r="W169" i="33" s="1"/>
  <c r="U166" i="33"/>
  <c r="Q438" i="32"/>
  <c r="A476" i="32"/>
  <c r="A478" i="32" s="1"/>
  <c r="A583" i="32"/>
  <c r="AA615" i="32"/>
  <c r="AC615" i="32" s="1"/>
  <c r="J648" i="32"/>
  <c r="Q689" i="32"/>
  <c r="Z682" i="32"/>
  <c r="Z733" i="32"/>
  <c r="AC733" i="32" s="1"/>
  <c r="AB731" i="32"/>
  <c r="AB733" i="32" s="1"/>
  <c r="AA753" i="32"/>
  <c r="AC753" i="32" s="1"/>
  <c r="AB753" i="32"/>
  <c r="I797" i="32"/>
  <c r="Q797" i="32"/>
  <c r="U860" i="32"/>
  <c r="I835" i="32"/>
  <c r="Q835" i="32"/>
  <c r="V55" i="33"/>
  <c r="U55" i="33"/>
  <c r="W55" i="33" s="1"/>
  <c r="J97" i="33"/>
  <c r="V122" i="33"/>
  <c r="U122" i="33"/>
  <c r="W122" i="33" s="1"/>
  <c r="V138" i="33"/>
  <c r="U138" i="33"/>
  <c r="W138" i="33" s="1"/>
  <c r="J499" i="32"/>
  <c r="I499" i="32" s="1"/>
  <c r="J556" i="32"/>
  <c r="Q604" i="32"/>
  <c r="Q621" i="32" s="1"/>
  <c r="AB599" i="32"/>
  <c r="AA599" i="32"/>
  <c r="AC599" i="32" s="1"/>
  <c r="I604" i="32"/>
  <c r="Z634" i="32"/>
  <c r="Q648" i="32"/>
  <c r="Q665" i="32" s="1"/>
  <c r="AB700" i="32"/>
  <c r="AA700" i="32"/>
  <c r="AC700" i="32" s="1"/>
  <c r="J860" i="32"/>
  <c r="I728" i="32"/>
  <c r="V17" i="33"/>
  <c r="U17" i="33"/>
  <c r="V28" i="33"/>
  <c r="U28" i="33"/>
  <c r="V31" i="33"/>
  <c r="U31" i="33"/>
  <c r="W31" i="33" s="1"/>
  <c r="I75" i="33"/>
  <c r="J86" i="33"/>
  <c r="I86" i="33" s="1"/>
  <c r="V135" i="33"/>
  <c r="U135" i="33"/>
  <c r="I145" i="33"/>
  <c r="J149" i="33"/>
  <c r="I149" i="33" s="1"/>
  <c r="V147" i="33"/>
  <c r="U147" i="33"/>
  <c r="V167" i="33"/>
  <c r="U167" i="33"/>
  <c r="Z590" i="32"/>
  <c r="AA659" i="32"/>
  <c r="AC659" i="32" s="1"/>
  <c r="Q728" i="32"/>
  <c r="Z725" i="32"/>
  <c r="V860" i="32"/>
  <c r="AB743" i="32"/>
  <c r="AA743" i="32"/>
  <c r="AC743" i="32" s="1"/>
  <c r="AB779" i="32"/>
  <c r="AA779" i="32"/>
  <c r="AC779" i="32" s="1"/>
  <c r="V91" i="33"/>
  <c r="U91" i="33"/>
  <c r="W91" i="33" s="1"/>
  <c r="J129" i="33"/>
  <c r="V182" i="33"/>
  <c r="U182" i="33"/>
  <c r="A17" i="33"/>
  <c r="G22" i="33"/>
  <c r="V42" i="33"/>
  <c r="J44" i="33"/>
  <c r="I44" i="33" s="1"/>
  <c r="J82" i="33"/>
  <c r="I82" i="33" s="1"/>
  <c r="N93" i="33"/>
  <c r="J127" i="33"/>
  <c r="I127" i="33" s="1"/>
  <c r="A168" i="33"/>
  <c r="N239" i="33"/>
  <c r="N250" i="33" s="1"/>
  <c r="T230" i="33"/>
  <c r="V261" i="33"/>
  <c r="U261" i="33"/>
  <c r="W261" i="33" s="1"/>
  <c r="V287" i="33"/>
  <c r="V291" i="33" s="1"/>
  <c r="U287" i="33"/>
  <c r="T298" i="33"/>
  <c r="U298" i="33" s="1"/>
  <c r="W298" i="33" s="1"/>
  <c r="V296" i="33"/>
  <c r="V298" i="33" s="1"/>
  <c r="U296" i="33"/>
  <c r="N298" i="33"/>
  <c r="V307" i="33"/>
  <c r="U307" i="33"/>
  <c r="V313" i="33"/>
  <c r="U313" i="33"/>
  <c r="W313" i="33" s="1"/>
  <c r="T354" i="33"/>
  <c r="N356" i="33"/>
  <c r="N366" i="33" s="1"/>
  <c r="J619" i="32"/>
  <c r="I619" i="32" s="1"/>
  <c r="J663" i="32"/>
  <c r="I663" i="32" s="1"/>
  <c r="Q693" i="32"/>
  <c r="G707" i="32"/>
  <c r="A780" i="32"/>
  <c r="N71" i="33"/>
  <c r="A125" i="33"/>
  <c r="N143" i="33"/>
  <c r="V207" i="33"/>
  <c r="I293" i="33"/>
  <c r="J310" i="33"/>
  <c r="I310" i="33" s="1"/>
  <c r="N320" i="33"/>
  <c r="T315" i="33"/>
  <c r="V355" i="33"/>
  <c r="U355" i="33"/>
  <c r="T359" i="33"/>
  <c r="N361" i="33"/>
  <c r="N136" i="33"/>
  <c r="G140" i="33"/>
  <c r="J180" i="33"/>
  <c r="J187" i="33"/>
  <c r="I187" i="33" s="1"/>
  <c r="V197" i="33"/>
  <c r="U197" i="33"/>
  <c r="T200" i="33"/>
  <c r="U200" i="33" s="1"/>
  <c r="W200" i="33" s="1"/>
  <c r="V244" i="33"/>
  <c r="V246" i="33" s="1"/>
  <c r="U244" i="33"/>
  <c r="N246" i="33"/>
  <c r="T291" i="33"/>
  <c r="U291" i="33" s="1"/>
  <c r="W291" i="33" s="1"/>
  <c r="V316" i="33"/>
  <c r="U316" i="33"/>
  <c r="V372" i="33"/>
  <c r="U372" i="33"/>
  <c r="V421" i="33"/>
  <c r="U421" i="33"/>
  <c r="W421" i="33" s="1"/>
  <c r="V427" i="33"/>
  <c r="T435" i="33"/>
  <c r="G621" i="32"/>
  <c r="Q820" i="32"/>
  <c r="Z820" i="32" s="1"/>
  <c r="AA829" i="32"/>
  <c r="N36" i="33"/>
  <c r="G46" i="33"/>
  <c r="T90" i="33"/>
  <c r="N123" i="33"/>
  <c r="T123" i="33" s="1"/>
  <c r="V210" i="33"/>
  <c r="V212" i="33" s="1"/>
  <c r="U210" i="33"/>
  <c r="N212" i="33"/>
  <c r="U214" i="33"/>
  <c r="W214" i="33" s="1"/>
  <c r="A287" i="33"/>
  <c r="U288" i="33"/>
  <c r="U297" i="33"/>
  <c r="V317" i="33"/>
  <c r="U317" i="33"/>
  <c r="V360" i="33"/>
  <c r="U360" i="33"/>
  <c r="V363" i="33"/>
  <c r="U363" i="33"/>
  <c r="W363" i="33" s="1"/>
  <c r="V386" i="33"/>
  <c r="U386" i="33"/>
  <c r="U392" i="33"/>
  <c r="W392" i="33" s="1"/>
  <c r="T396" i="33"/>
  <c r="V392" i="33"/>
  <c r="Q810" i="32"/>
  <c r="Q848" i="32"/>
  <c r="A19" i="33"/>
  <c r="A20" i="33" s="1"/>
  <c r="J104" i="33"/>
  <c r="I104" i="33" s="1"/>
  <c r="N169" i="33"/>
  <c r="N180" i="33" s="1"/>
  <c r="N191" i="33" s="1"/>
  <c r="N176" i="33"/>
  <c r="N194" i="33"/>
  <c r="V198" i="33"/>
  <c r="V231" i="33"/>
  <c r="J239" i="33"/>
  <c r="V255" i="33"/>
  <c r="U255" i="33"/>
  <c r="W255" i="33" s="1"/>
  <c r="T266" i="33"/>
  <c r="U266" i="33" s="1"/>
  <c r="W266" i="33" s="1"/>
  <c r="V264" i="33"/>
  <c r="V266" i="33" s="1"/>
  <c r="U264" i="33"/>
  <c r="V318" i="33"/>
  <c r="U318" i="33"/>
  <c r="M389" i="33"/>
  <c r="M707" i="33" s="1"/>
  <c r="M861" i="33" s="1"/>
  <c r="Z740" i="32"/>
  <c r="Q777" i="32"/>
  <c r="Z777" i="32" s="1"/>
  <c r="T16" i="33"/>
  <c r="N29" i="33"/>
  <c r="A73" i="33"/>
  <c r="R270" i="33"/>
  <c r="R707" i="33" s="1"/>
  <c r="R861" i="33" s="1"/>
  <c r="V289" i="33"/>
  <c r="U289" i="33"/>
  <c r="V301" i="33"/>
  <c r="U301" i="33"/>
  <c r="T303" i="33"/>
  <c r="U319" i="33"/>
  <c r="V319" i="33"/>
  <c r="N327" i="33"/>
  <c r="T325" i="33"/>
  <c r="T330" i="33"/>
  <c r="N332" i="33"/>
  <c r="T335" i="33"/>
  <c r="N337" i="33"/>
  <c r="V364" i="33"/>
  <c r="U364" i="33"/>
  <c r="W364" i="33" s="1"/>
  <c r="A18" i="33"/>
  <c r="A169" i="33"/>
  <c r="U233" i="33"/>
  <c r="T235" i="33"/>
  <c r="U235" i="33" s="1"/>
  <c r="W235" i="33" s="1"/>
  <c r="V233" i="33"/>
  <c r="V235" i="33" s="1"/>
  <c r="T246" i="33"/>
  <c r="U246" i="33" s="1"/>
  <c r="N291" i="33"/>
  <c r="U326" i="33"/>
  <c r="V326" i="33"/>
  <c r="V331" i="33"/>
  <c r="U331" i="33"/>
  <c r="V336" i="33"/>
  <c r="U336" i="33"/>
  <c r="V352" i="33"/>
  <c r="U352" i="33"/>
  <c r="W352" i="33" s="1"/>
  <c r="T369" i="33"/>
  <c r="V375" i="33"/>
  <c r="U375" i="33"/>
  <c r="N382" i="33"/>
  <c r="T380" i="33"/>
  <c r="A638" i="32"/>
  <c r="A685" i="32"/>
  <c r="T212" i="33"/>
  <c r="U212" i="33" s="1"/>
  <c r="J259" i="33"/>
  <c r="V302" i="33"/>
  <c r="U302" i="33"/>
  <c r="T308" i="33"/>
  <c r="U308" i="33" s="1"/>
  <c r="W308" i="33" s="1"/>
  <c r="V306" i="33"/>
  <c r="V308" i="33" s="1"/>
  <c r="U306" i="33"/>
  <c r="U198" i="33"/>
  <c r="J337" i="33"/>
  <c r="I337" i="33" s="1"/>
  <c r="V373" i="33"/>
  <c r="V381" i="33"/>
  <c r="J403" i="33"/>
  <c r="I403" i="33" s="1"/>
  <c r="U433" i="33"/>
  <c r="V477" i="33"/>
  <c r="U477" i="33"/>
  <c r="N479" i="33"/>
  <c r="V493" i="33"/>
  <c r="U493" i="33"/>
  <c r="N511" i="33"/>
  <c r="T507" i="33"/>
  <c r="V514" i="33"/>
  <c r="U514" i="33"/>
  <c r="W514" i="33" s="1"/>
  <c r="V532" i="33"/>
  <c r="U532" i="33"/>
  <c r="W532" i="33" s="1"/>
  <c r="N284" i="33"/>
  <c r="J361" i="33"/>
  <c r="I361" i="33" s="1"/>
  <c r="V398" i="33"/>
  <c r="U398" i="33"/>
  <c r="W398" i="33" s="1"/>
  <c r="V420" i="33"/>
  <c r="U420" i="33"/>
  <c r="W420" i="33" s="1"/>
  <c r="T499" i="33"/>
  <c r="U499" i="33" s="1"/>
  <c r="W499" i="33" s="1"/>
  <c r="V497" i="33"/>
  <c r="V499" i="33" s="1"/>
  <c r="U497" i="33"/>
  <c r="A585" i="33"/>
  <c r="A587" i="33" s="1"/>
  <c r="J377" i="33"/>
  <c r="I377" i="33" s="1"/>
  <c r="V434" i="33"/>
  <c r="U434" i="33"/>
  <c r="V483" i="33"/>
  <c r="U483" i="33"/>
  <c r="W483" i="33" s="1"/>
  <c r="I494" i="33"/>
  <c r="J504" i="33"/>
  <c r="N556" i="33"/>
  <c r="T554" i="33"/>
  <c r="N583" i="33"/>
  <c r="N587" i="33" s="1"/>
  <c r="T581" i="33"/>
  <c r="U370" i="33"/>
  <c r="N376" i="33"/>
  <c r="T376" i="33" s="1"/>
  <c r="U385" i="33"/>
  <c r="U393" i="33"/>
  <c r="W393" i="33" s="1"/>
  <c r="T418" i="33"/>
  <c r="N424" i="33"/>
  <c r="N440" i="33"/>
  <c r="T438" i="33"/>
  <c r="J453" i="33"/>
  <c r="N446" i="33"/>
  <c r="V450" i="33"/>
  <c r="U450" i="33"/>
  <c r="V457" i="33"/>
  <c r="V475" i="33"/>
  <c r="U475" i="33"/>
  <c r="U478" i="33"/>
  <c r="T491" i="33"/>
  <c r="N494" i="33"/>
  <c r="U498" i="33"/>
  <c r="J566" i="33"/>
  <c r="I566" i="33" s="1"/>
  <c r="I556" i="33"/>
  <c r="A233" i="33"/>
  <c r="U234" i="33"/>
  <c r="N303" i="33"/>
  <c r="J320" i="33"/>
  <c r="J327" i="33"/>
  <c r="I327" i="33" s="1"/>
  <c r="J382" i="33"/>
  <c r="I382" i="33" s="1"/>
  <c r="V385" i="33"/>
  <c r="T401" i="33"/>
  <c r="T479" i="33"/>
  <c r="U479" i="33" s="1"/>
  <c r="W479" i="33" s="1"/>
  <c r="V501" i="33"/>
  <c r="U501" i="33"/>
  <c r="W501" i="33" s="1"/>
  <c r="V541" i="33"/>
  <c r="U541" i="33"/>
  <c r="W541" i="33" s="1"/>
  <c r="N253" i="33"/>
  <c r="N322" i="33"/>
  <c r="N339" i="33" s="1"/>
  <c r="A355" i="33"/>
  <c r="A421" i="33"/>
  <c r="U485" i="33"/>
  <c r="W485" i="33" s="1"/>
  <c r="V485" i="33"/>
  <c r="V502" i="33"/>
  <c r="U502" i="33"/>
  <c r="W502" i="33" s="1"/>
  <c r="N562" i="33"/>
  <c r="T560" i="33"/>
  <c r="I583" i="33"/>
  <c r="J587" i="33"/>
  <c r="I587" i="33" s="1"/>
  <c r="N308" i="33"/>
  <c r="J332" i="33"/>
  <c r="I332" i="33" s="1"/>
  <c r="J356" i="33"/>
  <c r="J387" i="33"/>
  <c r="I387" i="33" s="1"/>
  <c r="W387" i="33" s="1"/>
  <c r="T448" i="33"/>
  <c r="N451" i="33"/>
  <c r="V513" i="33"/>
  <c r="U513" i="33"/>
  <c r="W513" i="33" s="1"/>
  <c r="N396" i="33"/>
  <c r="N405" i="33" s="1"/>
  <c r="V395" i="33"/>
  <c r="U395" i="33"/>
  <c r="V419" i="33"/>
  <c r="U422" i="33"/>
  <c r="W422" i="33" s="1"/>
  <c r="N435" i="33"/>
  <c r="N473" i="33"/>
  <c r="J481" i="33"/>
  <c r="N499" i="33"/>
  <c r="J548" i="33"/>
  <c r="I548" i="33" s="1"/>
  <c r="I536" i="33"/>
  <c r="A420" i="33"/>
  <c r="J424" i="33"/>
  <c r="V509" i="33"/>
  <c r="V530" i="33"/>
  <c r="A532" i="33"/>
  <c r="T536" i="33"/>
  <c r="V540" i="33"/>
  <c r="V552" i="33"/>
  <c r="I604" i="33"/>
  <c r="J621" i="33"/>
  <c r="V600" i="33"/>
  <c r="U600" i="33"/>
  <c r="W600" i="33" s="1"/>
  <c r="J649" i="33"/>
  <c r="N635" i="33"/>
  <c r="J725" i="33"/>
  <c r="V743" i="33"/>
  <c r="U743" i="33"/>
  <c r="W28" i="34"/>
  <c r="V28" i="34"/>
  <c r="W41" i="34"/>
  <c r="V41" i="34"/>
  <c r="W183" i="34"/>
  <c r="V183" i="34"/>
  <c r="J396" i="33"/>
  <c r="G453" i="33"/>
  <c r="N604" i="33"/>
  <c r="V777" i="33"/>
  <c r="U777" i="33"/>
  <c r="W777" i="33" s="1"/>
  <c r="V811" i="33"/>
  <c r="U811" i="33"/>
  <c r="W55" i="34"/>
  <c r="V55" i="34"/>
  <c r="X55" i="34" s="1"/>
  <c r="W128" i="34"/>
  <c r="V128" i="34"/>
  <c r="X128" i="34" s="1"/>
  <c r="U604" i="33"/>
  <c r="V602" i="33"/>
  <c r="N725" i="33"/>
  <c r="T722" i="33"/>
  <c r="V739" i="33"/>
  <c r="U739" i="33"/>
  <c r="V749" i="33"/>
  <c r="U749" i="33"/>
  <c r="W749" i="33" s="1"/>
  <c r="G487" i="33"/>
  <c r="U545" i="33"/>
  <c r="W545" i="33" s="1"/>
  <c r="U590" i="33"/>
  <c r="W590" i="33" s="1"/>
  <c r="V596" i="33"/>
  <c r="U596" i="33"/>
  <c r="W596" i="33" s="1"/>
  <c r="V638" i="33"/>
  <c r="U638" i="33"/>
  <c r="W638" i="33" s="1"/>
  <c r="V642" i="33"/>
  <c r="T653" i="33"/>
  <c r="N664" i="33"/>
  <c r="T687" i="33"/>
  <c r="N702" i="33"/>
  <c r="P859" i="33"/>
  <c r="V740" i="33"/>
  <c r="U740" i="33"/>
  <c r="W740" i="33" s="1"/>
  <c r="T794" i="33"/>
  <c r="U794" i="33" s="1"/>
  <c r="W794" i="33" s="1"/>
  <c r="U778" i="33"/>
  <c r="W778" i="33" s="1"/>
  <c r="W19" i="34"/>
  <c r="V19" i="34"/>
  <c r="J124" i="34"/>
  <c r="O122" i="34"/>
  <c r="U122" i="34" s="1"/>
  <c r="W303" i="34"/>
  <c r="V303" i="34"/>
  <c r="A477" i="33"/>
  <c r="V590" i="33"/>
  <c r="V604" i="33" s="1"/>
  <c r="L621" i="33"/>
  <c r="L707" i="33" s="1"/>
  <c r="L861" i="33" s="1"/>
  <c r="V644" i="33"/>
  <c r="U644" i="33"/>
  <c r="W644" i="33" s="1"/>
  <c r="T702" i="33"/>
  <c r="U702" i="33" s="1"/>
  <c r="W702" i="33" s="1"/>
  <c r="V691" i="33"/>
  <c r="V702" i="33" s="1"/>
  <c r="J760" i="33"/>
  <c r="I760" i="33" s="1"/>
  <c r="N813" i="33"/>
  <c r="T808" i="33"/>
  <c r="I20" i="34"/>
  <c r="I22" i="34" s="1"/>
  <c r="J22" i="34"/>
  <c r="J33" i="34" s="1"/>
  <c r="W164" i="34"/>
  <c r="V164" i="34"/>
  <c r="V597" i="33"/>
  <c r="U597" i="33"/>
  <c r="W597" i="33" s="1"/>
  <c r="V615" i="33"/>
  <c r="U615" i="33"/>
  <c r="W615" i="33" s="1"/>
  <c r="V698" i="33"/>
  <c r="U698" i="33"/>
  <c r="W698" i="33" s="1"/>
  <c r="V737" i="33"/>
  <c r="U737" i="33"/>
  <c r="W737" i="33" s="1"/>
  <c r="T760" i="33"/>
  <c r="U760" i="33" s="1"/>
  <c r="W760" i="33" s="1"/>
  <c r="V741" i="33"/>
  <c r="U741" i="33"/>
  <c r="W741" i="33" s="1"/>
  <c r="V750" i="33"/>
  <c r="U750" i="33"/>
  <c r="W750" i="33" s="1"/>
  <c r="J855" i="33"/>
  <c r="I855" i="33" s="1"/>
  <c r="N847" i="33"/>
  <c r="J511" i="33"/>
  <c r="I511" i="33" s="1"/>
  <c r="V639" i="33"/>
  <c r="U639" i="33"/>
  <c r="W639" i="33" s="1"/>
  <c r="V645" i="33"/>
  <c r="U645" i="33"/>
  <c r="W645" i="33" s="1"/>
  <c r="Q751" i="33"/>
  <c r="Q760" i="33" s="1"/>
  <c r="Q859" i="33" s="1"/>
  <c r="Q861" i="33" s="1"/>
  <c r="V751" i="33"/>
  <c r="V776" i="33"/>
  <c r="U776" i="33"/>
  <c r="W776" i="33" s="1"/>
  <c r="V809" i="33"/>
  <c r="U809" i="33"/>
  <c r="W809" i="33" s="1"/>
  <c r="V819" i="33"/>
  <c r="U819" i="33"/>
  <c r="W819" i="33" s="1"/>
  <c r="A533" i="33"/>
  <c r="T539" i="33"/>
  <c r="V599" i="33"/>
  <c r="U599" i="33"/>
  <c r="W599" i="33" s="1"/>
  <c r="V683" i="33"/>
  <c r="V687" i="33" s="1"/>
  <c r="V705" i="33" s="1"/>
  <c r="U683" i="33"/>
  <c r="W683" i="33" s="1"/>
  <c r="V738" i="33"/>
  <c r="U738" i="33"/>
  <c r="W738" i="33" s="1"/>
  <c r="U197" i="34"/>
  <c r="W194" i="34"/>
  <c r="V194" i="34"/>
  <c r="A683" i="33"/>
  <c r="G705" i="33"/>
  <c r="N760" i="33"/>
  <c r="W76" i="34"/>
  <c r="V76" i="34"/>
  <c r="X76" i="34" s="1"/>
  <c r="W362" i="34"/>
  <c r="V362" i="34"/>
  <c r="X362" i="34" s="1"/>
  <c r="W31" i="34"/>
  <c r="V31" i="34"/>
  <c r="X31" i="34" s="1"/>
  <c r="W40" i="34"/>
  <c r="V40" i="34"/>
  <c r="W172" i="34"/>
  <c r="V172" i="34"/>
  <c r="V385" i="34"/>
  <c r="W385" i="34"/>
  <c r="G621" i="33"/>
  <c r="J664" i="33"/>
  <c r="I664" i="33" s="1"/>
  <c r="U774" i="33"/>
  <c r="W774" i="33" s="1"/>
  <c r="J813" i="33"/>
  <c r="I813" i="33" s="1"/>
  <c r="U821" i="33"/>
  <c r="W821" i="33" s="1"/>
  <c r="U853" i="33"/>
  <c r="W17" i="34"/>
  <c r="V17" i="34"/>
  <c r="L709" i="34"/>
  <c r="L865" i="34" s="1"/>
  <c r="W48" i="34"/>
  <c r="V48" i="34"/>
  <c r="X48" i="34" s="1"/>
  <c r="O81" i="34"/>
  <c r="U79" i="34"/>
  <c r="O93" i="34"/>
  <c r="O95" i="34" s="1"/>
  <c r="U91" i="34"/>
  <c r="W97" i="34"/>
  <c r="V97" i="34"/>
  <c r="X97" i="34" s="1"/>
  <c r="W104" i="34"/>
  <c r="V104" i="34"/>
  <c r="X104" i="34" s="1"/>
  <c r="W123" i="34"/>
  <c r="V123" i="34"/>
  <c r="W186" i="34"/>
  <c r="V186" i="34"/>
  <c r="X186" i="34" s="1"/>
  <c r="W196" i="34"/>
  <c r="V196" i="34"/>
  <c r="W204" i="34"/>
  <c r="V204" i="34"/>
  <c r="X204" i="34" s="1"/>
  <c r="W264" i="34"/>
  <c r="V264" i="34"/>
  <c r="X264" i="34" s="1"/>
  <c r="N608" i="33"/>
  <c r="A641" i="33"/>
  <c r="N687" i="33"/>
  <c r="N705" i="33" s="1"/>
  <c r="V774" i="33"/>
  <c r="N818" i="33"/>
  <c r="W80" i="34"/>
  <c r="V80" i="34"/>
  <c r="A164" i="34"/>
  <c r="A165" i="34"/>
  <c r="A166" i="34"/>
  <c r="G213" i="34"/>
  <c r="G202" i="34"/>
  <c r="J702" i="33"/>
  <c r="I702" i="33" s="1"/>
  <c r="A725" i="33"/>
  <c r="T728" i="33"/>
  <c r="A777" i="33"/>
  <c r="I44" i="34"/>
  <c r="I46" i="34" s="1"/>
  <c r="J46" i="34"/>
  <c r="J57" i="34" s="1"/>
  <c r="I57" i="34" s="1"/>
  <c r="W42" i="34"/>
  <c r="V42" i="34"/>
  <c r="O53" i="34"/>
  <c r="U51" i="34"/>
  <c r="O102" i="34"/>
  <c r="W132" i="34"/>
  <c r="V132" i="34"/>
  <c r="I166" i="34"/>
  <c r="J177" i="34"/>
  <c r="J188" i="34" s="1"/>
  <c r="I188" i="34" s="1"/>
  <c r="J231" i="34"/>
  <c r="O229" i="34"/>
  <c r="W375" i="34"/>
  <c r="V375" i="34"/>
  <c r="U682" i="33"/>
  <c r="W682" i="33" s="1"/>
  <c r="G725" i="33"/>
  <c r="R859" i="33"/>
  <c r="W18" i="34"/>
  <c r="V18" i="34"/>
  <c r="W24" i="34"/>
  <c r="V24" i="34"/>
  <c r="X24" i="34" s="1"/>
  <c r="O44" i="34"/>
  <c r="O46" i="34" s="1"/>
  <c r="U38" i="34"/>
  <c r="W43" i="34"/>
  <c r="V43" i="34"/>
  <c r="J81" i="34"/>
  <c r="I81" i="34" s="1"/>
  <c r="W92" i="34"/>
  <c r="V92" i="34"/>
  <c r="U102" i="34"/>
  <c r="V102" i="34" s="1"/>
  <c r="W100" i="34"/>
  <c r="W102" i="34" s="1"/>
  <c r="V100" i="34"/>
  <c r="W146" i="34"/>
  <c r="U166" i="34"/>
  <c r="W163" i="34"/>
  <c r="W166" i="34" s="1"/>
  <c r="V163" i="34"/>
  <c r="W237" i="34"/>
  <c r="V237" i="34"/>
  <c r="X237" i="34" s="1"/>
  <c r="O299" i="34"/>
  <c r="U297" i="34"/>
  <c r="R709" i="34"/>
  <c r="R865" i="34" s="1"/>
  <c r="J29" i="34"/>
  <c r="I29" i="34" s="1"/>
  <c r="O27" i="34"/>
  <c r="W52" i="34"/>
  <c r="W171" i="34"/>
  <c r="V171" i="34"/>
  <c r="S188" i="34"/>
  <c r="S709" i="34" s="1"/>
  <c r="S865" i="34" s="1"/>
  <c r="O197" i="34"/>
  <c r="V257" i="34"/>
  <c r="X257" i="34" s="1"/>
  <c r="W257" i="34"/>
  <c r="W369" i="34"/>
  <c r="V369" i="34"/>
  <c r="G33" i="34"/>
  <c r="O166" i="34"/>
  <c r="W211" i="34"/>
  <c r="V211" i="34"/>
  <c r="X211" i="34" s="1"/>
  <c r="O251" i="34"/>
  <c r="J255" i="34"/>
  <c r="U283" i="34"/>
  <c r="O287" i="34"/>
  <c r="O317" i="34"/>
  <c r="O319" i="34" s="1"/>
  <c r="U312" i="34"/>
  <c r="W316" i="34"/>
  <c r="V316" i="34"/>
  <c r="O329" i="34"/>
  <c r="U327" i="34"/>
  <c r="O381" i="34"/>
  <c r="U379" i="34"/>
  <c r="J197" i="34"/>
  <c r="X209" i="34"/>
  <c r="W244" i="34"/>
  <c r="V244" i="34"/>
  <c r="X244" i="34" s="1"/>
  <c r="O262" i="34"/>
  <c r="U260" i="34"/>
  <c r="M307" i="34"/>
  <c r="M709" i="34" s="1"/>
  <c r="M865" i="34" s="1"/>
  <c r="M289" i="34"/>
  <c r="W298" i="34"/>
  <c r="V298" i="34"/>
  <c r="W328" i="34"/>
  <c r="V328" i="34"/>
  <c r="G46" i="34"/>
  <c r="A74" i="34"/>
  <c r="J93" i="34"/>
  <c r="A124" i="34"/>
  <c r="G126" i="34"/>
  <c r="U131" i="34"/>
  <c r="O170" i="34"/>
  <c r="V207" i="34"/>
  <c r="W284" i="34"/>
  <c r="V284" i="34"/>
  <c r="J304" i="34"/>
  <c r="I304" i="34" s="1"/>
  <c r="O302" i="34"/>
  <c r="W438" i="34"/>
  <c r="W440" i="34" s="1"/>
  <c r="O440" i="34"/>
  <c r="J102" i="34"/>
  <c r="I102" i="34" s="1"/>
  <c r="O142" i="34"/>
  <c r="O146" i="34" s="1"/>
  <c r="W207" i="34"/>
  <c r="W209" i="34" s="1"/>
  <c r="U242" i="34"/>
  <c r="V242" i="34" s="1"/>
  <c r="V240" i="34"/>
  <c r="W253" i="34"/>
  <c r="V253" i="34"/>
  <c r="W285" i="34"/>
  <c r="V285" i="34"/>
  <c r="W313" i="34"/>
  <c r="V313" i="34"/>
  <c r="J329" i="34"/>
  <c r="I329" i="34" s="1"/>
  <c r="O334" i="34"/>
  <c r="U332" i="34"/>
  <c r="O360" i="34"/>
  <c r="U358" i="34"/>
  <c r="W371" i="34"/>
  <c r="W380" i="34"/>
  <c r="V380" i="34"/>
  <c r="U511" i="34"/>
  <c r="V511" i="34" s="1"/>
  <c r="X511" i="34" s="1"/>
  <c r="W508" i="34"/>
  <c r="W511" i="34" s="1"/>
  <c r="V508" i="34"/>
  <c r="X508" i="34" s="1"/>
  <c r="A123" i="34"/>
  <c r="U182" i="34"/>
  <c r="O200" i="34"/>
  <c r="W230" i="34"/>
  <c r="W240" i="34"/>
  <c r="W242" i="34" s="1"/>
  <c r="W261" i="34"/>
  <c r="V261" i="34"/>
  <c r="J287" i="34"/>
  <c r="O294" i="34"/>
  <c r="U292" i="34"/>
  <c r="W372" i="34"/>
  <c r="V372" i="34"/>
  <c r="W393" i="34"/>
  <c r="V393" i="34"/>
  <c r="X393" i="34" s="1"/>
  <c r="I504" i="34"/>
  <c r="J516" i="34"/>
  <c r="I516" i="34" s="1"/>
  <c r="O16" i="34"/>
  <c r="A19" i="34"/>
  <c r="A20" i="34" s="1"/>
  <c r="O72" i="34"/>
  <c r="W293" i="34"/>
  <c r="V293" i="34"/>
  <c r="W314" i="34"/>
  <c r="V314" i="34"/>
  <c r="N336" i="34"/>
  <c r="O324" i="34"/>
  <c r="U322" i="34"/>
  <c r="W333" i="34"/>
  <c r="V333" i="34"/>
  <c r="W374" i="34"/>
  <c r="V374" i="34"/>
  <c r="A233" i="34"/>
  <c r="U287" i="34"/>
  <c r="W282" i="34"/>
  <c r="V282" i="34"/>
  <c r="W286" i="34"/>
  <c r="V286" i="34"/>
  <c r="Q336" i="34"/>
  <c r="Q709" i="34" s="1"/>
  <c r="Q865" i="34" s="1"/>
  <c r="Q319" i="34"/>
  <c r="W359" i="34"/>
  <c r="V359" i="34"/>
  <c r="S388" i="34"/>
  <c r="S365" i="34"/>
  <c r="J376" i="34"/>
  <c r="I376" i="34" s="1"/>
  <c r="O368" i="34"/>
  <c r="W449" i="34"/>
  <c r="V449" i="34"/>
  <c r="A284" i="34"/>
  <c r="S319" i="34"/>
  <c r="J360" i="34"/>
  <c r="J381" i="34"/>
  <c r="I381" i="34" s="1"/>
  <c r="W478" i="34"/>
  <c r="V478" i="34"/>
  <c r="W483" i="34"/>
  <c r="V483" i="34"/>
  <c r="X483" i="34" s="1"/>
  <c r="W587" i="34"/>
  <c r="V587" i="34"/>
  <c r="X587" i="34" s="1"/>
  <c r="A644" i="34"/>
  <c r="A647" i="34" s="1"/>
  <c r="A646" i="34"/>
  <c r="U817" i="34"/>
  <c r="V817" i="34" s="1"/>
  <c r="X817" i="34" s="1"/>
  <c r="W814" i="34"/>
  <c r="W817" i="34" s="1"/>
  <c r="U859" i="34"/>
  <c r="V859" i="34" s="1"/>
  <c r="X859" i="34" s="1"/>
  <c r="W857" i="34"/>
  <c r="W859" i="34" s="1"/>
  <c r="V857" i="34"/>
  <c r="W476" i="34"/>
  <c r="V476" i="34"/>
  <c r="G481" i="34"/>
  <c r="G487" i="34"/>
  <c r="I536" i="34"/>
  <c r="W554" i="34"/>
  <c r="V554" i="34"/>
  <c r="X554" i="34" s="1"/>
  <c r="W564" i="34"/>
  <c r="V564" i="34"/>
  <c r="X564" i="34" s="1"/>
  <c r="W647" i="34"/>
  <c r="V647" i="34"/>
  <c r="X647" i="34" s="1"/>
  <c r="J262" i="34"/>
  <c r="I262" i="34" s="1"/>
  <c r="J299" i="34"/>
  <c r="I299" i="34" s="1"/>
  <c r="J317" i="34"/>
  <c r="J334" i="34"/>
  <c r="I334" i="34" s="1"/>
  <c r="W394" i="34"/>
  <c r="U420" i="34"/>
  <c r="I424" i="34"/>
  <c r="W455" i="34"/>
  <c r="V455" i="34"/>
  <c r="X455" i="34" s="1"/>
  <c r="A533" i="34"/>
  <c r="G548" i="34"/>
  <c r="O583" i="34"/>
  <c r="O589" i="34" s="1"/>
  <c r="U581" i="34"/>
  <c r="A740" i="34"/>
  <c r="A739" i="34"/>
  <c r="A735" i="34"/>
  <c r="R863" i="34"/>
  <c r="J242" i="34"/>
  <c r="I242" i="34" s="1"/>
  <c r="S289" i="34"/>
  <c r="N388" i="34"/>
  <c r="N709" i="34" s="1"/>
  <c r="N865" i="34" s="1"/>
  <c r="L365" i="34"/>
  <c r="O392" i="34"/>
  <c r="J395" i="34"/>
  <c r="I395" i="34" s="1"/>
  <c r="W402" i="34"/>
  <c r="J404" i="34"/>
  <c r="I404" i="34" s="1"/>
  <c r="W450" i="34"/>
  <c r="W485" i="34"/>
  <c r="V485" i="34"/>
  <c r="X485" i="34" s="1"/>
  <c r="W501" i="34"/>
  <c r="V501" i="34"/>
  <c r="X501" i="34" s="1"/>
  <c r="O543" i="34"/>
  <c r="U540" i="34"/>
  <c r="O606" i="34"/>
  <c r="O623" i="34" s="1"/>
  <c r="U598" i="34"/>
  <c r="J324" i="34"/>
  <c r="I324" i="34" s="1"/>
  <c r="M365" i="34"/>
  <c r="W457" i="34"/>
  <c r="V457" i="34"/>
  <c r="X457" i="34" s="1"/>
  <c r="U504" i="34"/>
  <c r="W532" i="34"/>
  <c r="V532" i="34"/>
  <c r="X532" i="34" s="1"/>
  <c r="J651" i="34"/>
  <c r="O644" i="34"/>
  <c r="A237" i="34"/>
  <c r="L289" i="34"/>
  <c r="Q388" i="34"/>
  <c r="N365" i="34"/>
  <c r="O435" i="34"/>
  <c r="O442" i="34" s="1"/>
  <c r="J451" i="34"/>
  <c r="O448" i="34"/>
  <c r="J479" i="34"/>
  <c r="O475" i="34"/>
  <c r="W502" i="34"/>
  <c r="V502" i="34"/>
  <c r="X502" i="34" s="1"/>
  <c r="U763" i="34"/>
  <c r="W757" i="34"/>
  <c r="W763" i="34" s="1"/>
  <c r="A235" i="34"/>
  <c r="A240" i="34" s="1"/>
  <c r="A354" i="34"/>
  <c r="O384" i="34"/>
  <c r="V421" i="34"/>
  <c r="X421" i="34" s="1"/>
  <c r="U435" i="34"/>
  <c r="W427" i="34"/>
  <c r="W435" i="34" s="1"/>
  <c r="W541" i="34"/>
  <c r="V541" i="34"/>
  <c r="X541" i="34" s="1"/>
  <c r="W546" i="34"/>
  <c r="V546" i="34"/>
  <c r="X546" i="34" s="1"/>
  <c r="O556" i="34"/>
  <c r="O566" i="34" s="1"/>
  <c r="U553" i="34"/>
  <c r="W599" i="34"/>
  <c r="V599" i="34"/>
  <c r="X599" i="34" s="1"/>
  <c r="W646" i="34"/>
  <c r="V646" i="34"/>
  <c r="X646" i="34" s="1"/>
  <c r="U402" i="34"/>
  <c r="V402" i="34" s="1"/>
  <c r="X402" i="34" s="1"/>
  <c r="A478" i="34"/>
  <c r="W497" i="34"/>
  <c r="W499" i="34" s="1"/>
  <c r="W504" i="34" s="1"/>
  <c r="W516" i="34" s="1"/>
  <c r="U689" i="34"/>
  <c r="J543" i="34"/>
  <c r="I543" i="34" s="1"/>
  <c r="O531" i="34"/>
  <c r="G668" i="34"/>
  <c r="J442" i="34"/>
  <c r="I442" i="34" s="1"/>
  <c r="U562" i="34"/>
  <c r="V562" i="34" s="1"/>
  <c r="X562" i="34" s="1"/>
  <c r="A589" i="34"/>
  <c r="V643" i="34"/>
  <c r="X643" i="34" s="1"/>
  <c r="A420" i="34"/>
  <c r="I666" i="34"/>
  <c r="X666" i="34" s="1"/>
  <c r="A693" i="34"/>
  <c r="A689" i="34"/>
  <c r="A695" i="34"/>
  <c r="A649" i="34" l="1"/>
  <c r="A124" i="32"/>
  <c r="A126" i="32"/>
  <c r="A590" i="33"/>
  <c r="A22" i="33"/>
  <c r="A28" i="33" s="1"/>
  <c r="A173" i="32"/>
  <c r="A536" i="34"/>
  <c r="U44" i="34"/>
  <c r="W38" i="34"/>
  <c r="W44" i="34" s="1"/>
  <c r="W46" i="34" s="1"/>
  <c r="V38" i="34"/>
  <c r="A592" i="34"/>
  <c r="V763" i="34"/>
  <c r="X763" i="34" s="1"/>
  <c r="U863" i="34"/>
  <c r="J307" i="34"/>
  <c r="I307" i="34" s="1"/>
  <c r="J289" i="34"/>
  <c r="I287" i="34"/>
  <c r="I289" i="34" s="1"/>
  <c r="O304" i="34"/>
  <c r="U302" i="34"/>
  <c r="U133" i="34"/>
  <c r="V133" i="34" s="1"/>
  <c r="X133" i="34" s="1"/>
  <c r="W131" i="34"/>
  <c r="W133" i="34" s="1"/>
  <c r="V131" i="34"/>
  <c r="W327" i="34"/>
  <c r="W329" i="34" s="1"/>
  <c r="V327" i="34"/>
  <c r="U329" i="34"/>
  <c r="V329" i="34" s="1"/>
  <c r="X329" i="34" s="1"/>
  <c r="J266" i="34"/>
  <c r="I266" i="34" s="1"/>
  <c r="O202" i="34"/>
  <c r="O213" i="34" s="1"/>
  <c r="X102" i="34"/>
  <c r="O231" i="34"/>
  <c r="O235" i="34" s="1"/>
  <c r="O246" i="34" s="1"/>
  <c r="U229" i="34"/>
  <c r="Q229" i="32"/>
  <c r="U53" i="34"/>
  <c r="V53" i="34" s="1"/>
  <c r="X53" i="34" s="1"/>
  <c r="W51" i="34"/>
  <c r="W53" i="34" s="1"/>
  <c r="V51" i="34"/>
  <c r="V197" i="34"/>
  <c r="U202" i="34"/>
  <c r="U213" i="34" s="1"/>
  <c r="V213" i="34" s="1"/>
  <c r="I621" i="33"/>
  <c r="J487" i="33"/>
  <c r="I487" i="33" s="1"/>
  <c r="I481" i="33"/>
  <c r="V448" i="33"/>
  <c r="V451" i="33" s="1"/>
  <c r="T451" i="33"/>
  <c r="U451" i="33" s="1"/>
  <c r="W451" i="33" s="1"/>
  <c r="U448" i="33"/>
  <c r="V387" i="33"/>
  <c r="V491" i="33"/>
  <c r="V494" i="33" s="1"/>
  <c r="V504" i="33" s="1"/>
  <c r="T494" i="33"/>
  <c r="U491" i="33"/>
  <c r="J459" i="33"/>
  <c r="I459" i="33" s="1"/>
  <c r="I453" i="33"/>
  <c r="T583" i="33"/>
  <c r="V581" i="33"/>
  <c r="V583" i="33" s="1"/>
  <c r="V587" i="33" s="1"/>
  <c r="U581" i="33"/>
  <c r="W581" i="33" s="1"/>
  <c r="T382" i="33"/>
  <c r="U382" i="33" s="1"/>
  <c r="W382" i="33" s="1"/>
  <c r="V380" i="33"/>
  <c r="V382" i="33" s="1"/>
  <c r="U380" i="33"/>
  <c r="T327" i="33"/>
  <c r="U327" i="33" s="1"/>
  <c r="W327" i="33" s="1"/>
  <c r="V325" i="33"/>
  <c r="V327" i="33" s="1"/>
  <c r="U325" i="33"/>
  <c r="AA777" i="32"/>
  <c r="AC777" i="32" s="1"/>
  <c r="Z797" i="32"/>
  <c r="AA797" i="32" s="1"/>
  <c r="AC797" i="32" s="1"/>
  <c r="AB777" i="32"/>
  <c r="AB797" i="32" s="1"/>
  <c r="Z810" i="32"/>
  <c r="Q815" i="32"/>
  <c r="J46" i="33"/>
  <c r="Z728" i="32"/>
  <c r="AB725" i="32"/>
  <c r="AB728" i="32" s="1"/>
  <c r="V136" i="33"/>
  <c r="AC619" i="32"/>
  <c r="V51" i="33"/>
  <c r="V53" i="33" s="1"/>
  <c r="T53" i="33"/>
  <c r="U53" i="33" s="1"/>
  <c r="W53" i="33" s="1"/>
  <c r="U51" i="33"/>
  <c r="Q304" i="32"/>
  <c r="Z302" i="32"/>
  <c r="N376" i="32"/>
  <c r="N388" i="32" s="1"/>
  <c r="N709" i="32" s="1"/>
  <c r="N862" i="32" s="1"/>
  <c r="O375" i="32"/>
  <c r="Q255" i="32"/>
  <c r="Q266" i="32" s="1"/>
  <c r="Z249" i="32"/>
  <c r="AB427" i="32"/>
  <c r="AB435" i="32" s="1"/>
  <c r="Z435" i="32"/>
  <c r="J266" i="32"/>
  <c r="I266" i="32" s="1"/>
  <c r="I255" i="32"/>
  <c r="Q548" i="32"/>
  <c r="I317" i="32"/>
  <c r="J319" i="32"/>
  <c r="Z36" i="32"/>
  <c r="Q46" i="32"/>
  <c r="Q57" i="32" s="1"/>
  <c r="V862" i="32"/>
  <c r="AA119" i="32"/>
  <c r="AC119" i="32" s="1"/>
  <c r="AB119" i="32"/>
  <c r="J336" i="34"/>
  <c r="I336" i="34" s="1"/>
  <c r="J319" i="34"/>
  <c r="I317" i="34"/>
  <c r="I319" i="34" s="1"/>
  <c r="O376" i="34"/>
  <c r="U368" i="34"/>
  <c r="W182" i="34"/>
  <c r="W184" i="34" s="1"/>
  <c r="V182" i="34"/>
  <c r="U184" i="34"/>
  <c r="V184" i="34" s="1"/>
  <c r="X184" i="34" s="1"/>
  <c r="W79" i="34"/>
  <c r="W81" i="34" s="1"/>
  <c r="V79" i="34"/>
  <c r="U81" i="34"/>
  <c r="V81" i="34" s="1"/>
  <c r="X81" i="34" s="1"/>
  <c r="A696" i="34"/>
  <c r="U531" i="34"/>
  <c r="O536" i="34"/>
  <c r="O548" i="34" s="1"/>
  <c r="U516" i="34"/>
  <c r="V516" i="34" s="1"/>
  <c r="X516" i="34" s="1"/>
  <c r="V504" i="34"/>
  <c r="X504" i="34" s="1"/>
  <c r="J548" i="34"/>
  <c r="I548" i="34" s="1"/>
  <c r="W358" i="34"/>
  <c r="W360" i="34" s="1"/>
  <c r="W365" i="34" s="1"/>
  <c r="V358" i="34"/>
  <c r="U360" i="34"/>
  <c r="O255" i="34"/>
  <c r="O266" i="34" s="1"/>
  <c r="U251" i="34"/>
  <c r="A27" i="34"/>
  <c r="I231" i="34"/>
  <c r="J235" i="34"/>
  <c r="T543" i="33"/>
  <c r="U543" i="33" s="1"/>
  <c r="W543" i="33" s="1"/>
  <c r="V539" i="33"/>
  <c r="V543" i="33" s="1"/>
  <c r="U539" i="33"/>
  <c r="W539" i="33" s="1"/>
  <c r="W743" i="33"/>
  <c r="U751" i="33"/>
  <c r="W751" i="33" s="1"/>
  <c r="N481" i="33"/>
  <c r="N487" i="33" s="1"/>
  <c r="T473" i="33"/>
  <c r="A359" i="33"/>
  <c r="T440" i="33"/>
  <c r="V438" i="33"/>
  <c r="V440" i="33" s="1"/>
  <c r="V376" i="33"/>
  <c r="U376" i="33"/>
  <c r="A126" i="33"/>
  <c r="AB740" i="32"/>
  <c r="AB763" i="32" s="1"/>
  <c r="AA740" i="32"/>
  <c r="AC740" i="32" s="1"/>
  <c r="Z763" i="32"/>
  <c r="AA763" i="32" s="1"/>
  <c r="AC763" i="32" s="1"/>
  <c r="V90" i="33"/>
  <c r="U90" i="33"/>
  <c r="W90" i="33" s="1"/>
  <c r="J621" i="32"/>
  <c r="I621" i="32" s="1"/>
  <c r="AA652" i="32"/>
  <c r="AC652" i="32" s="1"/>
  <c r="AB652" i="32"/>
  <c r="AB663" i="32" s="1"/>
  <c r="Z663" i="32"/>
  <c r="AA663" i="32" s="1"/>
  <c r="AC663" i="32" s="1"/>
  <c r="T104" i="33"/>
  <c r="U104" i="33" s="1"/>
  <c r="W104" i="33" s="1"/>
  <c r="V102" i="33"/>
  <c r="V104" i="33" s="1"/>
  <c r="U102" i="33"/>
  <c r="Q299" i="32"/>
  <c r="Z297" i="32"/>
  <c r="Z262" i="32"/>
  <c r="AA262" i="32" s="1"/>
  <c r="AC262" i="32" s="1"/>
  <c r="AA260" i="32"/>
  <c r="AB260" i="32"/>
  <c r="AB262" i="32" s="1"/>
  <c r="A235" i="32"/>
  <c r="AB351" i="32"/>
  <c r="AA351" i="32"/>
  <c r="AC351" i="32" s="1"/>
  <c r="AB88" i="32"/>
  <c r="AA88" i="32"/>
  <c r="AC88" i="32" s="1"/>
  <c r="J146" i="32"/>
  <c r="I146" i="32" s="1"/>
  <c r="I142" i="32"/>
  <c r="I235" i="32"/>
  <c r="J246" i="32"/>
  <c r="I246" i="32" s="1"/>
  <c r="V287" i="34"/>
  <c r="U289" i="34"/>
  <c r="I424" i="33"/>
  <c r="J442" i="33"/>
  <c r="I442" i="33" s="1"/>
  <c r="J366" i="33"/>
  <c r="I356" i="33"/>
  <c r="Q704" i="32"/>
  <c r="Z693" i="32"/>
  <c r="Z438" i="32"/>
  <c r="Q440" i="32"/>
  <c r="Q451" i="32"/>
  <c r="Q453" i="32" s="1"/>
  <c r="Q459" i="32" s="1"/>
  <c r="Z448" i="32"/>
  <c r="Q511" i="32"/>
  <c r="Z507" i="32"/>
  <c r="Z368" i="32"/>
  <c r="U185" i="33"/>
  <c r="T187" i="33"/>
  <c r="U187" i="33" s="1"/>
  <c r="W187" i="33" s="1"/>
  <c r="V185" i="33"/>
  <c r="V187" i="33" s="1"/>
  <c r="Q294" i="32"/>
  <c r="Z292" i="32"/>
  <c r="Z562" i="32"/>
  <c r="AA562" i="32" s="1"/>
  <c r="AC562" i="32" s="1"/>
  <c r="AB559" i="32"/>
  <c r="AB562" i="32" s="1"/>
  <c r="AA559" i="32"/>
  <c r="AC559" i="32" s="1"/>
  <c r="AB240" i="32"/>
  <c r="Z242" i="32"/>
  <c r="AA240" i="32"/>
  <c r="AB227" i="32"/>
  <c r="AA227" i="32"/>
  <c r="AC227" i="32" s="1"/>
  <c r="U556" i="34"/>
  <c r="W553" i="34"/>
  <c r="W556" i="34" s="1"/>
  <c r="W566" i="34" s="1"/>
  <c r="V553" i="34"/>
  <c r="X553" i="34" s="1"/>
  <c r="A241" i="34"/>
  <c r="O365" i="34"/>
  <c r="V728" i="33"/>
  <c r="V730" i="33" s="1"/>
  <c r="U728" i="33"/>
  <c r="W728" i="33" s="1"/>
  <c r="W730" i="33" s="1"/>
  <c r="T730" i="33"/>
  <c r="J405" i="33"/>
  <c r="I405" i="33" s="1"/>
  <c r="I396" i="33"/>
  <c r="V554" i="33"/>
  <c r="U554" i="33"/>
  <c r="W554" i="33" s="1"/>
  <c r="T556" i="33"/>
  <c r="AA750" i="32"/>
  <c r="AC750" i="32" s="1"/>
  <c r="AC742" i="32"/>
  <c r="A479" i="34"/>
  <c r="A421" i="34"/>
  <c r="O386" i="34"/>
  <c r="O388" i="34" s="1"/>
  <c r="U384" i="34"/>
  <c r="A285" i="34"/>
  <c r="W598" i="34"/>
  <c r="W606" i="34" s="1"/>
  <c r="W623" i="34" s="1"/>
  <c r="V598" i="34"/>
  <c r="X598" i="34" s="1"/>
  <c r="U606" i="34"/>
  <c r="A741" i="34"/>
  <c r="A744" i="34" s="1"/>
  <c r="A534" i="34"/>
  <c r="U442" i="34"/>
  <c r="V442" i="34" s="1"/>
  <c r="X442" i="34" s="1"/>
  <c r="V420" i="34"/>
  <c r="X420" i="34" s="1"/>
  <c r="W420" i="34"/>
  <c r="U424" i="34"/>
  <c r="V424" i="34" s="1"/>
  <c r="X424" i="34" s="1"/>
  <c r="U334" i="34"/>
  <c r="V334" i="34" s="1"/>
  <c r="X334" i="34" s="1"/>
  <c r="W332" i="34"/>
  <c r="W334" i="34" s="1"/>
  <c r="V332" i="34"/>
  <c r="V166" i="34"/>
  <c r="X166" i="34" s="1"/>
  <c r="A170" i="34"/>
  <c r="N833" i="33"/>
  <c r="T818" i="33"/>
  <c r="A642" i="33"/>
  <c r="A685" i="33"/>
  <c r="U124" i="34"/>
  <c r="W122" i="34"/>
  <c r="W124" i="34" s="1"/>
  <c r="W126" i="34" s="1"/>
  <c r="W137" i="34" s="1"/>
  <c r="V122" i="34"/>
  <c r="W739" i="33"/>
  <c r="U747" i="33"/>
  <c r="W747" i="33" s="1"/>
  <c r="W604" i="33"/>
  <c r="J859" i="33"/>
  <c r="I725" i="33"/>
  <c r="V556" i="33"/>
  <c r="V566" i="33" s="1"/>
  <c r="A422" i="33"/>
  <c r="N259" i="33"/>
  <c r="N270" i="33" s="1"/>
  <c r="T253" i="33"/>
  <c r="V479" i="33"/>
  <c r="N442" i="33"/>
  <c r="N566" i="33"/>
  <c r="U435" i="33"/>
  <c r="I239" i="33"/>
  <c r="J250" i="33"/>
  <c r="I250" i="33" s="1"/>
  <c r="A173" i="33"/>
  <c r="A75" i="33"/>
  <c r="A288" i="33"/>
  <c r="V200" i="33"/>
  <c r="A479" i="32"/>
  <c r="AA682" i="32"/>
  <c r="AC682" i="32" s="1"/>
  <c r="Z689" i="32"/>
  <c r="AB682" i="32"/>
  <c r="AB689" i="32" s="1"/>
  <c r="A285" i="32"/>
  <c r="J548" i="32"/>
  <c r="I548" i="32" s="1"/>
  <c r="I536" i="32"/>
  <c r="N33" i="33"/>
  <c r="I583" i="32"/>
  <c r="J587" i="32"/>
  <c r="I587" i="32" s="1"/>
  <c r="Q402" i="32"/>
  <c r="Z400" i="32"/>
  <c r="A286" i="32"/>
  <c r="I355" i="32"/>
  <c r="J365" i="32"/>
  <c r="Q336" i="32"/>
  <c r="AB207" i="32"/>
  <c r="AB209" i="32" s="1"/>
  <c r="Z209" i="32"/>
  <c r="AA209" i="32" s="1"/>
  <c r="AC209" i="32" s="1"/>
  <c r="AA207" i="32"/>
  <c r="A74" i="32"/>
  <c r="AB14" i="32"/>
  <c r="AB22" i="32" s="1"/>
  <c r="AA14" i="32"/>
  <c r="AC14" i="32" s="1"/>
  <c r="J504" i="32"/>
  <c r="AB497" i="32"/>
  <c r="AB499" i="32" s="1"/>
  <c r="Z499" i="32"/>
  <c r="AA499" i="32" s="1"/>
  <c r="AC499" i="32" s="1"/>
  <c r="AA497" i="32"/>
  <c r="A237" i="32"/>
  <c r="A19" i="32"/>
  <c r="Q133" i="32"/>
  <c r="Q137" i="32" s="1"/>
  <c r="Z131" i="32"/>
  <c r="J177" i="32"/>
  <c r="AB79" i="32"/>
  <c r="AB81" i="32" s="1"/>
  <c r="Z81" i="32"/>
  <c r="AA81" i="32" s="1"/>
  <c r="AC81" i="32" s="1"/>
  <c r="AA79" i="32"/>
  <c r="AA163" i="32"/>
  <c r="Z166" i="32"/>
  <c r="AB163" i="32"/>
  <c r="AB166" i="32" s="1"/>
  <c r="AB191" i="32"/>
  <c r="AB202" i="32" s="1"/>
  <c r="AB213" i="32" s="1"/>
  <c r="Z202" i="32"/>
  <c r="AA191" i="32"/>
  <c r="AC191" i="32" s="1"/>
  <c r="U707" i="34"/>
  <c r="V707" i="34" s="1"/>
  <c r="X707" i="34" s="1"/>
  <c r="V689" i="34"/>
  <c r="X689" i="34" s="1"/>
  <c r="A534" i="33"/>
  <c r="I33" i="34"/>
  <c r="O479" i="34"/>
  <c r="U475" i="34"/>
  <c r="U644" i="34"/>
  <c r="O651" i="34"/>
  <c r="O668" i="34" s="1"/>
  <c r="A742" i="34"/>
  <c r="A539" i="34"/>
  <c r="J388" i="34"/>
  <c r="I388" i="34" s="1"/>
  <c r="J365" i="34"/>
  <c r="I365" i="34" s="1"/>
  <c r="I360" i="34"/>
  <c r="J95" i="34"/>
  <c r="J106" i="34" s="1"/>
  <c r="I106" i="34" s="1"/>
  <c r="I93" i="34"/>
  <c r="I95" i="34" s="1"/>
  <c r="J202" i="34"/>
  <c r="J213" i="34" s="1"/>
  <c r="I213" i="34" s="1"/>
  <c r="I197" i="34"/>
  <c r="I202" i="34" s="1"/>
  <c r="W312" i="34"/>
  <c r="W317" i="34" s="1"/>
  <c r="W319" i="34" s="1"/>
  <c r="V312" i="34"/>
  <c r="U317" i="34"/>
  <c r="U299" i="34"/>
  <c r="V299" i="34" s="1"/>
  <c r="X299" i="34" s="1"/>
  <c r="W297" i="34"/>
  <c r="W299" i="34" s="1"/>
  <c r="V297" i="34"/>
  <c r="A728" i="33"/>
  <c r="A730" i="33" s="1"/>
  <c r="V794" i="33"/>
  <c r="T608" i="33"/>
  <c r="N619" i="33"/>
  <c r="N621" i="33" s="1"/>
  <c r="U93" i="34"/>
  <c r="W91" i="34"/>
  <c r="W93" i="34" s="1"/>
  <c r="W95" i="34" s="1"/>
  <c r="W106" i="34" s="1"/>
  <c r="V91" i="34"/>
  <c r="V808" i="33"/>
  <c r="V813" i="33" s="1"/>
  <c r="U808" i="33"/>
  <c r="W808" i="33" s="1"/>
  <c r="T813" i="33"/>
  <c r="U813" i="33" s="1"/>
  <c r="W813" i="33" s="1"/>
  <c r="A478" i="33"/>
  <c r="J126" i="34"/>
  <c r="J137" i="34" s="1"/>
  <c r="I137" i="34" s="1"/>
  <c r="I124" i="34"/>
  <c r="I126" i="34" s="1"/>
  <c r="O124" i="34"/>
  <c r="O126" i="34" s="1"/>
  <c r="O137" i="34" s="1"/>
  <c r="N649" i="33"/>
  <c r="N666" i="33" s="1"/>
  <c r="T635" i="33"/>
  <c r="I320" i="33"/>
  <c r="J322" i="33"/>
  <c r="T424" i="33"/>
  <c r="V418" i="33"/>
  <c r="V424" i="33" s="1"/>
  <c r="V442" i="33" s="1"/>
  <c r="U418" i="33"/>
  <c r="W418" i="33" s="1"/>
  <c r="J516" i="33"/>
  <c r="I516" i="33" s="1"/>
  <c r="I504" i="33"/>
  <c r="T511" i="33"/>
  <c r="U511" i="33" s="1"/>
  <c r="W511" i="33" s="1"/>
  <c r="V507" i="33"/>
  <c r="V511" i="33" s="1"/>
  <c r="U507" i="33"/>
  <c r="W507" i="33" s="1"/>
  <c r="V369" i="33"/>
  <c r="V377" i="33" s="1"/>
  <c r="U369" i="33"/>
  <c r="T377" i="33"/>
  <c r="U377" i="33" s="1"/>
  <c r="W377" i="33" s="1"/>
  <c r="V303" i="33"/>
  <c r="U303" i="33"/>
  <c r="W303" i="33" s="1"/>
  <c r="T36" i="33"/>
  <c r="N46" i="33"/>
  <c r="N57" i="33" s="1"/>
  <c r="V435" i="33"/>
  <c r="V359" i="33"/>
  <c r="V361" i="33" s="1"/>
  <c r="U359" i="33"/>
  <c r="T361" i="33"/>
  <c r="U361" i="33" s="1"/>
  <c r="W361" i="33" s="1"/>
  <c r="I129" i="33"/>
  <c r="J140" i="33"/>
  <c r="I140" i="33" s="1"/>
  <c r="Z604" i="32"/>
  <c r="AB590" i="32"/>
  <c r="AB604" i="32" s="1"/>
  <c r="AB621" i="32" s="1"/>
  <c r="AA590" i="32"/>
  <c r="AC590" i="32" s="1"/>
  <c r="Q707" i="32"/>
  <c r="J33" i="33"/>
  <c r="I22" i="33"/>
  <c r="Q494" i="32"/>
  <c r="Q504" i="32" s="1"/>
  <c r="Q516" i="32" s="1"/>
  <c r="Z491" i="32"/>
  <c r="I707" i="32"/>
  <c r="J481" i="32"/>
  <c r="I479" i="32"/>
  <c r="V163" i="33"/>
  <c r="T180" i="33"/>
  <c r="U163" i="33"/>
  <c r="W163" i="33" s="1"/>
  <c r="U14" i="33"/>
  <c r="W14" i="33" s="1"/>
  <c r="V14" i="33"/>
  <c r="A733" i="32"/>
  <c r="A355" i="32"/>
  <c r="Z353" i="32"/>
  <c r="Q355" i="32"/>
  <c r="Q365" i="32" s="1"/>
  <c r="A20" i="32"/>
  <c r="Z479" i="32"/>
  <c r="AA479" i="32" s="1"/>
  <c r="AC479" i="32" s="1"/>
  <c r="AB475" i="32"/>
  <c r="AB479" i="32" s="1"/>
  <c r="AA475" i="32"/>
  <c r="AB310" i="32"/>
  <c r="Z319" i="32"/>
  <c r="AA310" i="32"/>
  <c r="AC310" i="32" s="1"/>
  <c r="J459" i="32"/>
  <c r="I459" i="32" s="1"/>
  <c r="I453" i="32"/>
  <c r="AB446" i="32"/>
  <c r="AA446" i="32"/>
  <c r="AC446" i="32" s="1"/>
  <c r="Z358" i="32"/>
  <c r="Q360" i="32"/>
  <c r="I20" i="32"/>
  <c r="J22" i="32"/>
  <c r="Q29" i="32"/>
  <c r="Q33" i="32" s="1"/>
  <c r="Z27" i="32"/>
  <c r="Q53" i="32"/>
  <c r="W581" i="34"/>
  <c r="W589" i="34" s="1"/>
  <c r="V581" i="34"/>
  <c r="U583" i="34"/>
  <c r="U324" i="34"/>
  <c r="V324" i="34" s="1"/>
  <c r="X324" i="34" s="1"/>
  <c r="W322" i="34"/>
  <c r="W324" i="34" s="1"/>
  <c r="V322" i="34"/>
  <c r="J487" i="34"/>
  <c r="I487" i="34" s="1"/>
  <c r="J481" i="34"/>
  <c r="I479" i="34"/>
  <c r="I481" i="34" s="1"/>
  <c r="J668" i="34"/>
  <c r="I668" i="34" s="1"/>
  <c r="I651" i="34"/>
  <c r="W540" i="34"/>
  <c r="W543" i="34" s="1"/>
  <c r="V540" i="34"/>
  <c r="X540" i="34" s="1"/>
  <c r="U543" i="34"/>
  <c r="V543" i="34" s="1"/>
  <c r="X543" i="34" s="1"/>
  <c r="U72" i="34"/>
  <c r="O74" i="34"/>
  <c r="O85" i="34" s="1"/>
  <c r="U170" i="34"/>
  <c r="O173" i="34"/>
  <c r="O177" i="34" s="1"/>
  <c r="O188" i="34" s="1"/>
  <c r="W379" i="34"/>
  <c r="W381" i="34" s="1"/>
  <c r="V379" i="34"/>
  <c r="U381" i="34"/>
  <c r="V381" i="34" s="1"/>
  <c r="X381" i="34" s="1"/>
  <c r="O336" i="34"/>
  <c r="O106" i="34"/>
  <c r="J705" i="33"/>
  <c r="I705" i="33" s="1"/>
  <c r="N855" i="33"/>
  <c r="T847" i="33"/>
  <c r="V760" i="33"/>
  <c r="T705" i="33"/>
  <c r="U705" i="33" s="1"/>
  <c r="U687" i="33"/>
  <c r="W687" i="33" s="1"/>
  <c r="T725" i="33"/>
  <c r="V722" i="33"/>
  <c r="V725" i="33" s="1"/>
  <c r="J666" i="33"/>
  <c r="I666" i="33" s="1"/>
  <c r="I649" i="33"/>
  <c r="T548" i="33"/>
  <c r="U536" i="33"/>
  <c r="W536" i="33" s="1"/>
  <c r="A479" i="33"/>
  <c r="A356" i="33"/>
  <c r="N293" i="33"/>
  <c r="N310" i="33" s="1"/>
  <c r="T284" i="33"/>
  <c r="J270" i="33"/>
  <c r="I270" i="33" s="1"/>
  <c r="I259" i="33"/>
  <c r="N377" i="33"/>
  <c r="N389" i="33" s="1"/>
  <c r="T337" i="33"/>
  <c r="U337" i="33" s="1"/>
  <c r="W337" i="33" s="1"/>
  <c r="V335" i="33"/>
  <c r="V337" i="33" s="1"/>
  <c r="U335" i="33"/>
  <c r="A24" i="33"/>
  <c r="A27" i="33"/>
  <c r="A31" i="33" s="1"/>
  <c r="N75" i="33"/>
  <c r="N86" i="33" s="1"/>
  <c r="T71" i="33"/>
  <c r="V230" i="33"/>
  <c r="V239" i="33" s="1"/>
  <c r="V250" i="33" s="1"/>
  <c r="T239" i="33"/>
  <c r="U230" i="33"/>
  <c r="W230" i="33" s="1"/>
  <c r="T93" i="33"/>
  <c r="N95" i="33"/>
  <c r="N97" i="33" s="1"/>
  <c r="N108" i="33" s="1"/>
  <c r="A781" i="32"/>
  <c r="I556" i="32"/>
  <c r="J566" i="32"/>
  <c r="I566" i="32" s="1"/>
  <c r="J665" i="32"/>
  <c r="I665" i="32" s="1"/>
  <c r="I648" i="32"/>
  <c r="A481" i="32"/>
  <c r="A483" i="32" s="1"/>
  <c r="A421" i="32"/>
  <c r="J442" i="32"/>
  <c r="I442" i="32" s="1"/>
  <c r="I424" i="32"/>
  <c r="T82" i="33"/>
  <c r="U82" i="33" s="1"/>
  <c r="W82" i="33" s="1"/>
  <c r="V80" i="33"/>
  <c r="V82" i="33" s="1"/>
  <c r="U80" i="33"/>
  <c r="AC744" i="32"/>
  <c r="AA751" i="32"/>
  <c r="AC751" i="32" s="1"/>
  <c r="A585" i="32"/>
  <c r="V176" i="33"/>
  <c r="A175" i="32"/>
  <c r="J85" i="32"/>
  <c r="I85" i="32" s="1"/>
  <c r="I74" i="32"/>
  <c r="AB391" i="32"/>
  <c r="AB395" i="32" s="1"/>
  <c r="AA391" i="32"/>
  <c r="AC391" i="32" s="1"/>
  <c r="Z395" i="32"/>
  <c r="AB52" i="32"/>
  <c r="AA52" i="32"/>
  <c r="I124" i="32"/>
  <c r="J126" i="32"/>
  <c r="AA182" i="32"/>
  <c r="AB182" i="32"/>
  <c r="AB184" i="32" s="1"/>
  <c r="Z184" i="32"/>
  <c r="AA184" i="32" s="1"/>
  <c r="AC184" i="32" s="1"/>
  <c r="Z317" i="32"/>
  <c r="AA317" i="32" s="1"/>
  <c r="AC317" i="32" s="1"/>
  <c r="AA312" i="32"/>
  <c r="AB312" i="32"/>
  <c r="AB317" i="32" s="1"/>
  <c r="I202" i="32"/>
  <c r="J213" i="32"/>
  <c r="I213" i="32" s="1"/>
  <c r="Z53" i="32"/>
  <c r="AA53" i="32" s="1"/>
  <c r="AC53" i="32" s="1"/>
  <c r="AA51" i="32"/>
  <c r="AB51" i="32"/>
  <c r="AB53" i="32" s="1"/>
  <c r="J57" i="32"/>
  <c r="I57" i="32" s="1"/>
  <c r="I46" i="32"/>
  <c r="U448" i="34"/>
  <c r="O451" i="34"/>
  <c r="W292" i="34"/>
  <c r="W294" i="34" s="1"/>
  <c r="V292" i="34"/>
  <c r="U294" i="34"/>
  <c r="V294" i="34" s="1"/>
  <c r="X294" i="34" s="1"/>
  <c r="U27" i="34"/>
  <c r="O29" i="34"/>
  <c r="A687" i="32"/>
  <c r="V16" i="33"/>
  <c r="V20" i="33" s="1"/>
  <c r="U16" i="33"/>
  <c r="T20" i="33"/>
  <c r="U20" i="33" s="1"/>
  <c r="W20" i="33" s="1"/>
  <c r="V396" i="33"/>
  <c r="AB820" i="32"/>
  <c r="AB835" i="32" s="1"/>
  <c r="AA820" i="32"/>
  <c r="AC820" i="32" s="1"/>
  <c r="Z835" i="32"/>
  <c r="AA835" i="32" s="1"/>
  <c r="AC835" i="32" s="1"/>
  <c r="J191" i="33"/>
  <c r="I191" i="33" s="1"/>
  <c r="I180" i="33"/>
  <c r="N145" i="33"/>
  <c r="N149" i="33" s="1"/>
  <c r="T143" i="33"/>
  <c r="T44" i="33"/>
  <c r="U44" i="33" s="1"/>
  <c r="W44" i="33" s="1"/>
  <c r="V38" i="33"/>
  <c r="V44" i="33" s="1"/>
  <c r="U38" i="33"/>
  <c r="AA539" i="32"/>
  <c r="AC539" i="32" s="1"/>
  <c r="Z543" i="32"/>
  <c r="AA543" i="32" s="1"/>
  <c r="AC543" i="32" s="1"/>
  <c r="AB539" i="32"/>
  <c r="AB543" i="32" s="1"/>
  <c r="AB384" i="32"/>
  <c r="AB386" i="32" s="1"/>
  <c r="Z386" i="32"/>
  <c r="AA386" i="32" s="1"/>
  <c r="AC386" i="32" s="1"/>
  <c r="AA384" i="32"/>
  <c r="Z280" i="32"/>
  <c r="Q289" i="32"/>
  <c r="Q307" i="32" s="1"/>
  <c r="Z424" i="32"/>
  <c r="AB418" i="32"/>
  <c r="AB424" i="32" s="1"/>
  <c r="AA418" i="32"/>
  <c r="AC418" i="32" s="1"/>
  <c r="J106" i="32"/>
  <c r="I106" i="32" s="1"/>
  <c r="A355" i="34"/>
  <c r="O307" i="34"/>
  <c r="O289" i="34"/>
  <c r="N859" i="33"/>
  <c r="A697" i="34"/>
  <c r="A595" i="34"/>
  <c r="A422" i="34"/>
  <c r="W863" i="34"/>
  <c r="J453" i="34"/>
  <c r="I451" i="34"/>
  <c r="I453" i="34" s="1"/>
  <c r="J459" i="34"/>
  <c r="I459" i="34" s="1"/>
  <c r="U392" i="34"/>
  <c r="O395" i="34"/>
  <c r="O404" i="34"/>
  <c r="A540" i="34"/>
  <c r="A651" i="34"/>
  <c r="A655" i="34" s="1"/>
  <c r="U16" i="34"/>
  <c r="O20" i="34"/>
  <c r="O22" i="34" s="1"/>
  <c r="O33" i="34" s="1"/>
  <c r="A126" i="34"/>
  <c r="X242" i="34"/>
  <c r="A76" i="34"/>
  <c r="U262" i="34"/>
  <c r="W260" i="34"/>
  <c r="V260" i="34"/>
  <c r="V283" i="34"/>
  <c r="W283" i="34"/>
  <c r="W287" i="34" s="1"/>
  <c r="W289" i="34" s="1"/>
  <c r="O57" i="34"/>
  <c r="J85" i="34"/>
  <c r="I85" i="34" s="1"/>
  <c r="A778" i="33"/>
  <c r="A782" i="33"/>
  <c r="A783" i="33"/>
  <c r="W197" i="34"/>
  <c r="W202" i="34" s="1"/>
  <c r="W213" i="34" s="1"/>
  <c r="A424" i="33"/>
  <c r="T664" i="33"/>
  <c r="U664" i="33" s="1"/>
  <c r="W664" i="33" s="1"/>
  <c r="V653" i="33"/>
  <c r="V664" i="33" s="1"/>
  <c r="U653" i="33"/>
  <c r="W653" i="33" s="1"/>
  <c r="V536" i="33"/>
  <c r="T562" i="33"/>
  <c r="U562" i="33" s="1"/>
  <c r="W562" i="33" s="1"/>
  <c r="V560" i="33"/>
  <c r="V562" i="33" s="1"/>
  <c r="U560" i="33"/>
  <c r="W560" i="33" s="1"/>
  <c r="U401" i="33"/>
  <c r="T403" i="33"/>
  <c r="U403" i="33" s="1"/>
  <c r="W403" i="33" s="1"/>
  <c r="V401" i="33"/>
  <c r="V403" i="33" s="1"/>
  <c r="N504" i="33"/>
  <c r="N516" i="33" s="1"/>
  <c r="T446" i="33"/>
  <c r="N453" i="33"/>
  <c r="N459" i="33" s="1"/>
  <c r="A234" i="33"/>
  <c r="A235" i="33" s="1"/>
  <c r="A640" i="32"/>
  <c r="V366" i="33"/>
  <c r="T332" i="33"/>
  <c r="U332" i="33" s="1"/>
  <c r="W332" i="33" s="1"/>
  <c r="V330" i="33"/>
  <c r="V332" i="33" s="1"/>
  <c r="U330" i="33"/>
  <c r="A127" i="33"/>
  <c r="T194" i="33"/>
  <c r="N205" i="33"/>
  <c r="N216" i="33" s="1"/>
  <c r="Q856" i="32"/>
  <c r="Q860" i="32" s="1"/>
  <c r="Z848" i="32"/>
  <c r="T405" i="33"/>
  <c r="U405" i="33" s="1"/>
  <c r="W405" i="33" s="1"/>
  <c r="U396" i="33"/>
  <c r="W396" i="33" s="1"/>
  <c r="V123" i="33"/>
  <c r="U123" i="33"/>
  <c r="W123" i="33" s="1"/>
  <c r="A174" i="33"/>
  <c r="U315" i="33"/>
  <c r="T320" i="33"/>
  <c r="V315" i="33"/>
  <c r="V320" i="33" s="1"/>
  <c r="V322" i="33" s="1"/>
  <c r="V339" i="33" s="1"/>
  <c r="T356" i="33"/>
  <c r="V354" i="33"/>
  <c r="V356" i="33" s="1"/>
  <c r="U354" i="33"/>
  <c r="Z648" i="32"/>
  <c r="AA634" i="32"/>
  <c r="AC634" i="32" s="1"/>
  <c r="AB634" i="32"/>
  <c r="AB648" i="32" s="1"/>
  <c r="AB665" i="32" s="1"/>
  <c r="I97" i="33"/>
  <c r="J108" i="33"/>
  <c r="I108" i="33" s="1"/>
  <c r="A358" i="32"/>
  <c r="V29" i="33"/>
  <c r="AB473" i="32"/>
  <c r="AB481" i="32" s="1"/>
  <c r="AB487" i="32" s="1"/>
  <c r="AA473" i="32"/>
  <c r="AC473" i="32" s="1"/>
  <c r="T127" i="33"/>
  <c r="U127" i="33" s="1"/>
  <c r="W127" i="33" s="1"/>
  <c r="V125" i="33"/>
  <c r="V127" i="33" s="1"/>
  <c r="V129" i="33" s="1"/>
  <c r="V140" i="33" s="1"/>
  <c r="U125" i="33"/>
  <c r="A736" i="32"/>
  <c r="Z556" i="32"/>
  <c r="AB552" i="32"/>
  <c r="AB556" i="32" s="1"/>
  <c r="AB566" i="32" s="1"/>
  <c r="AA552" i="32"/>
  <c r="AC552" i="32" s="1"/>
  <c r="A534" i="32"/>
  <c r="AB379" i="32"/>
  <c r="AB381" i="32" s="1"/>
  <c r="Z381" i="32"/>
  <c r="AA381" i="32" s="1"/>
  <c r="AC381" i="32" s="1"/>
  <c r="AA379" i="32"/>
  <c r="AB282" i="32"/>
  <c r="AB287" i="32" s="1"/>
  <c r="AA282" i="32"/>
  <c r="Z287" i="32"/>
  <c r="AA287" i="32" s="1"/>
  <c r="AC287" i="32" s="1"/>
  <c r="Z583" i="32"/>
  <c r="AB580" i="32"/>
  <c r="AB583" i="32" s="1"/>
  <c r="AB587" i="32" s="1"/>
  <c r="AA580" i="32"/>
  <c r="AC580" i="32" s="1"/>
  <c r="Z536" i="32"/>
  <c r="AB530" i="32"/>
  <c r="AB536" i="32" s="1"/>
  <c r="AA530" i="32"/>
  <c r="AC530" i="32" s="1"/>
  <c r="I289" i="32"/>
  <c r="J307" i="32"/>
  <c r="I307" i="32" s="1"/>
  <c r="Q173" i="32"/>
  <c r="Q177" i="32" s="1"/>
  <c r="Q188" i="32" s="1"/>
  <c r="Z170" i="32"/>
  <c r="AB38" i="32"/>
  <c r="AB44" i="32" s="1"/>
  <c r="Z44" i="32"/>
  <c r="AA44" i="32" s="1"/>
  <c r="AC44" i="32" s="1"/>
  <c r="AA38" i="32"/>
  <c r="Q442" i="32"/>
  <c r="Q93" i="32"/>
  <c r="Q95" i="32" s="1"/>
  <c r="Q106" i="32" s="1"/>
  <c r="Z91" i="32"/>
  <c r="Z102" i="32"/>
  <c r="AA102" i="32" s="1"/>
  <c r="AC102" i="32" s="1"/>
  <c r="AA100" i="32"/>
  <c r="AB100" i="32"/>
  <c r="AB102" i="32" s="1"/>
  <c r="Z20" i="32"/>
  <c r="AA20" i="32" s="1"/>
  <c r="AC20" i="32" s="1"/>
  <c r="AB16" i="32"/>
  <c r="AB20" i="32" s="1"/>
  <c r="AA16" i="32"/>
  <c r="Z142" i="32"/>
  <c r="AB140" i="32"/>
  <c r="AB142" i="32" s="1"/>
  <c r="AB146" i="32" s="1"/>
  <c r="AA140" i="32"/>
  <c r="AC140" i="32" s="1"/>
  <c r="Z74" i="32"/>
  <c r="AB70" i="32"/>
  <c r="AB74" i="32" s="1"/>
  <c r="AB85" i="32" s="1"/>
  <c r="AA70" i="32"/>
  <c r="AC70" i="32" s="1"/>
  <c r="Z124" i="32"/>
  <c r="AA124" i="32" s="1"/>
  <c r="AC124" i="32" s="1"/>
  <c r="AA122" i="32"/>
  <c r="AC122" i="32" s="1"/>
  <c r="AB122" i="32"/>
  <c r="AB124" i="32" s="1"/>
  <c r="A485" i="32" l="1"/>
  <c r="A750" i="34"/>
  <c r="A745" i="34"/>
  <c r="A740" i="32"/>
  <c r="V93" i="34"/>
  <c r="U95" i="34"/>
  <c r="U106" i="34" s="1"/>
  <c r="V106" i="34" s="1"/>
  <c r="X106" i="34" s="1"/>
  <c r="AB400" i="32"/>
  <c r="AB402" i="32" s="1"/>
  <c r="Z402" i="32"/>
  <c r="AA402" i="32" s="1"/>
  <c r="AC402" i="32" s="1"/>
  <c r="AA400" i="32"/>
  <c r="A641" i="32"/>
  <c r="U20" i="34"/>
  <c r="W16" i="34"/>
  <c r="V16" i="34"/>
  <c r="AA424" i="32"/>
  <c r="AC424" i="32" s="1"/>
  <c r="V405" i="33"/>
  <c r="I126" i="32"/>
  <c r="J137" i="32"/>
  <c r="I137" i="32" s="1"/>
  <c r="V548" i="33"/>
  <c r="U548" i="33"/>
  <c r="W548" i="33" s="1"/>
  <c r="W705" i="33"/>
  <c r="U589" i="34"/>
  <c r="V589" i="34" s="1"/>
  <c r="X589" i="34" s="1"/>
  <c r="W583" i="34"/>
  <c r="I22" i="32"/>
  <c r="J33" i="32"/>
  <c r="V22" i="33"/>
  <c r="V33" i="33" s="1"/>
  <c r="V608" i="33"/>
  <c r="V619" i="33" s="1"/>
  <c r="V621" i="33" s="1"/>
  <c r="T619" i="33"/>
  <c r="U608" i="33"/>
  <c r="W608" i="33" s="1"/>
  <c r="W336" i="34"/>
  <c r="Z22" i="32"/>
  <c r="A76" i="32"/>
  <c r="A286" i="34"/>
  <c r="A481" i="34"/>
  <c r="A134" i="33"/>
  <c r="V289" i="34"/>
  <c r="X287" i="34"/>
  <c r="X289" i="34" s="1"/>
  <c r="AB297" i="32"/>
  <c r="AB299" i="32" s="1"/>
  <c r="Z299" i="32"/>
  <c r="AA299" i="32" s="1"/>
  <c r="AC299" i="32" s="1"/>
  <c r="AA297" i="32"/>
  <c r="A492" i="32"/>
  <c r="J246" i="34"/>
  <c r="I246" i="34" s="1"/>
  <c r="I235" i="34"/>
  <c r="I319" i="32"/>
  <c r="J336" i="32"/>
  <c r="I336" i="32" s="1"/>
  <c r="A422" i="32"/>
  <c r="AB810" i="32"/>
  <c r="AB815" i="32" s="1"/>
  <c r="AA810" i="32"/>
  <c r="AC810" i="32" s="1"/>
  <c r="Z815" i="32"/>
  <c r="AA815" i="32" s="1"/>
  <c r="AC815" i="32" s="1"/>
  <c r="A237" i="33"/>
  <c r="U304" i="34"/>
  <c r="V304" i="34" s="1"/>
  <c r="X304" i="34" s="1"/>
  <c r="W302" i="34"/>
  <c r="W304" i="34" s="1"/>
  <c r="W307" i="34" s="1"/>
  <c r="V302" i="34"/>
  <c r="T129" i="33"/>
  <c r="A360" i="33"/>
  <c r="A128" i="32"/>
  <c r="AB548" i="32"/>
  <c r="A689" i="32"/>
  <c r="A358" i="34"/>
  <c r="T145" i="33"/>
  <c r="V143" i="33"/>
  <c r="V145" i="33" s="1"/>
  <c r="V149" i="33" s="1"/>
  <c r="U143" i="33"/>
  <c r="W143" i="33" s="1"/>
  <c r="U29" i="34"/>
  <c r="V29" i="34" s="1"/>
  <c r="X29" i="34" s="1"/>
  <c r="W27" i="34"/>
  <c r="W29" i="34" s="1"/>
  <c r="V27" i="34"/>
  <c r="T250" i="33"/>
  <c r="U250" i="33" s="1"/>
  <c r="W250" i="33" s="1"/>
  <c r="U239" i="33"/>
  <c r="W239" i="33" s="1"/>
  <c r="T293" i="33"/>
  <c r="V284" i="33"/>
  <c r="V293" i="33" s="1"/>
  <c r="V310" i="33" s="1"/>
  <c r="U284" i="33"/>
  <c r="W284" i="33" s="1"/>
  <c r="U173" i="34"/>
  <c r="W170" i="34"/>
  <c r="W173" i="34" s="1"/>
  <c r="W177" i="34" s="1"/>
  <c r="W188" i="34" s="1"/>
  <c r="V170" i="34"/>
  <c r="X581" i="34"/>
  <c r="X583" i="34" s="1"/>
  <c r="V583" i="34"/>
  <c r="A177" i="32"/>
  <c r="T22" i="33"/>
  <c r="AB491" i="32"/>
  <c r="AB494" i="32" s="1"/>
  <c r="AB504" i="32" s="1"/>
  <c r="AB516" i="32" s="1"/>
  <c r="AA491" i="32"/>
  <c r="Z494" i="32"/>
  <c r="V36" i="33"/>
  <c r="V46" i="33" s="1"/>
  <c r="V57" i="33" s="1"/>
  <c r="U36" i="33"/>
  <c r="W36" i="33" s="1"/>
  <c r="T46" i="33"/>
  <c r="V635" i="33"/>
  <c r="V649" i="33" s="1"/>
  <c r="V666" i="33" s="1"/>
  <c r="U635" i="33"/>
  <c r="W635" i="33" s="1"/>
  <c r="T649" i="33"/>
  <c r="A541" i="34"/>
  <c r="U386" i="34"/>
  <c r="V386" i="34" s="1"/>
  <c r="X386" i="34" s="1"/>
  <c r="W384" i="34"/>
  <c r="W386" i="34" s="1"/>
  <c r="V384" i="34"/>
  <c r="AB368" i="32"/>
  <c r="AA368" i="32"/>
  <c r="Z704" i="32"/>
  <c r="AA704" i="32" s="1"/>
  <c r="AC704" i="32" s="1"/>
  <c r="AB693" i="32"/>
  <c r="AB704" i="32" s="1"/>
  <c r="AB707" i="32" s="1"/>
  <c r="AA693" i="32"/>
  <c r="AC693" i="32" s="1"/>
  <c r="A22" i="32"/>
  <c r="A536" i="33"/>
  <c r="A539" i="33" s="1"/>
  <c r="O376" i="32"/>
  <c r="O388" i="32" s="1"/>
  <c r="O709" i="32" s="1"/>
  <c r="O862" i="32" s="1"/>
  <c r="P375" i="32"/>
  <c r="AC728" i="32"/>
  <c r="U583" i="33"/>
  <c r="W583" i="33" s="1"/>
  <c r="T587" i="33"/>
  <c r="U587" i="33" s="1"/>
  <c r="W587" i="33" s="1"/>
  <c r="A487" i="32"/>
  <c r="A493" i="32" s="1"/>
  <c r="A657" i="34"/>
  <c r="AA280" i="32"/>
  <c r="AC280" i="32" s="1"/>
  <c r="Z289" i="32"/>
  <c r="AB280" i="32"/>
  <c r="AB289" i="32" s="1"/>
  <c r="W644" i="34"/>
  <c r="W651" i="34" s="1"/>
  <c r="W668" i="34" s="1"/>
  <c r="V644" i="34"/>
  <c r="X644" i="34" s="1"/>
  <c r="U651" i="34"/>
  <c r="V818" i="33"/>
  <c r="V833" i="33" s="1"/>
  <c r="V859" i="33" s="1"/>
  <c r="U818" i="33"/>
  <c r="W818" i="33" s="1"/>
  <c r="T833" i="33"/>
  <c r="U833" i="33" s="1"/>
  <c r="W833" i="33" s="1"/>
  <c r="U623" i="34"/>
  <c r="V623" i="34" s="1"/>
  <c r="X623" i="34" s="1"/>
  <c r="V606" i="34"/>
  <c r="X606" i="34" s="1"/>
  <c r="A698" i="34"/>
  <c r="J57" i="33"/>
  <c r="I57" i="33" s="1"/>
  <c r="I46" i="33"/>
  <c r="X213" i="34"/>
  <c r="A171" i="34"/>
  <c r="T75" i="33"/>
  <c r="V71" i="33"/>
  <c r="V75" i="33" s="1"/>
  <c r="V86" i="33" s="1"/>
  <c r="U71" i="33"/>
  <c r="W71" i="33" s="1"/>
  <c r="A364" i="33"/>
  <c r="T855" i="33"/>
  <c r="U855" i="33" s="1"/>
  <c r="W855" i="33" s="1"/>
  <c r="V847" i="33"/>
  <c r="V855" i="33" s="1"/>
  <c r="U847" i="33"/>
  <c r="W847" i="33" s="1"/>
  <c r="U74" i="34"/>
  <c r="U85" i="34" s="1"/>
  <c r="V85" i="34" s="1"/>
  <c r="X85" i="34" s="1"/>
  <c r="W72" i="34"/>
  <c r="W74" i="34" s="1"/>
  <c r="W85" i="34" s="1"/>
  <c r="V72" i="34"/>
  <c r="AB319" i="32"/>
  <c r="AB336" i="32" s="1"/>
  <c r="J339" i="33"/>
  <c r="I339" i="33" s="1"/>
  <c r="I322" i="33"/>
  <c r="J388" i="32"/>
  <c r="I388" i="32" s="1"/>
  <c r="I365" i="32"/>
  <c r="A491" i="32"/>
  <c r="V124" i="34"/>
  <c r="U126" i="34"/>
  <c r="U137" i="34" s="1"/>
  <c r="V137" i="34" s="1"/>
  <c r="X137" i="34" s="1"/>
  <c r="A242" i="34"/>
  <c r="A77" i="33"/>
  <c r="Z511" i="32"/>
  <c r="AA511" i="32" s="1"/>
  <c r="AC511" i="32" s="1"/>
  <c r="AB507" i="32"/>
  <c r="AB511" i="32" s="1"/>
  <c r="AA507" i="32"/>
  <c r="AC507" i="32" s="1"/>
  <c r="AB448" i="32"/>
  <c r="AB451" i="32" s="1"/>
  <c r="AA448" i="32"/>
  <c r="Z451" i="32"/>
  <c r="J389" i="33"/>
  <c r="I389" i="33" s="1"/>
  <c r="I366" i="33"/>
  <c r="AB95" i="32"/>
  <c r="AB106" i="32" s="1"/>
  <c r="A129" i="33"/>
  <c r="A361" i="33"/>
  <c r="W251" i="34"/>
  <c r="W255" i="34" s="1"/>
  <c r="W266" i="34" s="1"/>
  <c r="V251" i="34"/>
  <c r="U255" i="34"/>
  <c r="U266" i="34" s="1"/>
  <c r="V266" i="34" s="1"/>
  <c r="X266" i="34" s="1"/>
  <c r="A240" i="32"/>
  <c r="A363" i="33"/>
  <c r="X197" i="34"/>
  <c r="X202" i="34" s="1"/>
  <c r="V202" i="34"/>
  <c r="A596" i="34"/>
  <c r="U46" i="34"/>
  <c r="U57" i="34" s="1"/>
  <c r="V44" i="34"/>
  <c r="A543" i="34"/>
  <c r="A427" i="33"/>
  <c r="A28" i="34"/>
  <c r="Z85" i="32"/>
  <c r="AA85" i="32" s="1"/>
  <c r="AC85" i="32" s="1"/>
  <c r="AA74" i="32"/>
  <c r="AC74" i="32" s="1"/>
  <c r="Z548" i="32"/>
  <c r="AA548" i="32" s="1"/>
  <c r="AC548" i="32" s="1"/>
  <c r="AA536" i="32"/>
  <c r="AC536" i="32" s="1"/>
  <c r="U356" i="33"/>
  <c r="W356" i="33" s="1"/>
  <c r="T366" i="33"/>
  <c r="W262" i="34"/>
  <c r="V262" i="34"/>
  <c r="X262" i="34" s="1"/>
  <c r="Z336" i="32"/>
  <c r="AA336" i="32" s="1"/>
  <c r="AC336" i="32" s="1"/>
  <c r="AA319" i="32"/>
  <c r="AC319" i="32" s="1"/>
  <c r="A33" i="33"/>
  <c r="T442" i="33"/>
  <c r="U442" i="33" s="1"/>
  <c r="W442" i="33" s="1"/>
  <c r="U424" i="33"/>
  <c r="W424" i="33" s="1"/>
  <c r="AB170" i="32"/>
  <c r="AB173" i="32" s="1"/>
  <c r="AB177" i="32" s="1"/>
  <c r="AB188" i="32" s="1"/>
  <c r="AA170" i="32"/>
  <c r="Z173" i="32"/>
  <c r="AA173" i="32" s="1"/>
  <c r="AC173" i="32" s="1"/>
  <c r="AA556" i="32"/>
  <c r="AC556" i="32" s="1"/>
  <c r="Z566" i="32"/>
  <c r="AA566" i="32" s="1"/>
  <c r="AC566" i="32" s="1"/>
  <c r="Z481" i="32"/>
  <c r="AA648" i="32"/>
  <c r="AC648" i="32" s="1"/>
  <c r="Z665" i="32"/>
  <c r="AA665" i="32" s="1"/>
  <c r="AC665" i="32" s="1"/>
  <c r="V194" i="33"/>
  <c r="V205" i="33" s="1"/>
  <c r="V216" i="33" s="1"/>
  <c r="T205" i="33"/>
  <c r="U194" i="33"/>
  <c r="W194" i="33" s="1"/>
  <c r="Z404" i="32"/>
  <c r="AA404" i="32" s="1"/>
  <c r="AC404" i="32" s="1"/>
  <c r="AA395" i="32"/>
  <c r="AC395" i="32" s="1"/>
  <c r="AB453" i="32"/>
  <c r="AB459" i="32" s="1"/>
  <c r="T191" i="33"/>
  <c r="U191" i="33" s="1"/>
  <c r="W191" i="33" s="1"/>
  <c r="U180" i="33"/>
  <c r="W180" i="33" s="1"/>
  <c r="A481" i="33"/>
  <c r="W475" i="34"/>
  <c r="W479" i="34" s="1"/>
  <c r="W481" i="34" s="1"/>
  <c r="W487" i="34" s="1"/>
  <c r="V475" i="34"/>
  <c r="U479" i="34"/>
  <c r="Z213" i="32"/>
  <c r="AA213" i="32" s="1"/>
  <c r="AC213" i="32" s="1"/>
  <c r="AA202" i="32"/>
  <c r="AC202" i="32" s="1"/>
  <c r="A483" i="33"/>
  <c r="A485" i="33" s="1"/>
  <c r="T566" i="33"/>
  <c r="U566" i="33" s="1"/>
  <c r="W566" i="33" s="1"/>
  <c r="U556" i="33"/>
  <c r="W556" i="33" s="1"/>
  <c r="AB292" i="32"/>
  <c r="AB294" i="32" s="1"/>
  <c r="Z294" i="32"/>
  <c r="AA294" i="32" s="1"/>
  <c r="AC294" i="32" s="1"/>
  <c r="AA292" i="32"/>
  <c r="U473" i="33"/>
  <c r="W473" i="33" s="1"/>
  <c r="T481" i="33"/>
  <c r="V473" i="33"/>
  <c r="V481" i="33" s="1"/>
  <c r="V487" i="33" s="1"/>
  <c r="W531" i="34"/>
  <c r="W536" i="34" s="1"/>
  <c r="W548" i="34" s="1"/>
  <c r="V531" i="34"/>
  <c r="X531" i="34" s="1"/>
  <c r="U536" i="34"/>
  <c r="AB302" i="32"/>
  <c r="AB304" i="32" s="1"/>
  <c r="Z304" i="32"/>
  <c r="AA304" i="32" s="1"/>
  <c r="AC304" i="32" s="1"/>
  <c r="AA302" i="32"/>
  <c r="A131" i="33"/>
  <c r="Q231" i="32"/>
  <c r="Q235" i="32" s="1"/>
  <c r="Q246" i="32" s="1"/>
  <c r="Z246" i="32" s="1"/>
  <c r="AA246" i="32" s="1"/>
  <c r="AC246" i="32" s="1"/>
  <c r="Z229" i="32"/>
  <c r="A128" i="34"/>
  <c r="Z355" i="32"/>
  <c r="AA353" i="32"/>
  <c r="AB353" i="32"/>
  <c r="AB355" i="32" s="1"/>
  <c r="AB365" i="32" s="1"/>
  <c r="AA142" i="32"/>
  <c r="AC142" i="32" s="1"/>
  <c r="Z146" i="32"/>
  <c r="AA146" i="32" s="1"/>
  <c r="AC146" i="32" s="1"/>
  <c r="AB91" i="32"/>
  <c r="AB93" i="32" s="1"/>
  <c r="Z93" i="32"/>
  <c r="AA91" i="32"/>
  <c r="U320" i="33"/>
  <c r="W320" i="33" s="1"/>
  <c r="T322" i="33"/>
  <c r="A79" i="34"/>
  <c r="V392" i="34"/>
  <c r="X392" i="34" s="1"/>
  <c r="U395" i="34"/>
  <c r="V395" i="34" s="1"/>
  <c r="X395" i="34" s="1"/>
  <c r="U404" i="34"/>
  <c r="V404" i="34" s="1"/>
  <c r="X404" i="34" s="1"/>
  <c r="W392" i="34"/>
  <c r="W395" i="34" s="1"/>
  <c r="W404" i="34" s="1"/>
  <c r="O459" i="34"/>
  <c r="O453" i="34"/>
  <c r="A785" i="32"/>
  <c r="Z29" i="32"/>
  <c r="AA29" i="32" s="1"/>
  <c r="AC29" i="32" s="1"/>
  <c r="AB27" i="32"/>
  <c r="AB29" i="32" s="1"/>
  <c r="AB33" i="32" s="1"/>
  <c r="AA27" i="32"/>
  <c r="Z360" i="32"/>
  <c r="AA360" i="32" s="1"/>
  <c r="AC360" i="32" s="1"/>
  <c r="AA358" i="32"/>
  <c r="AB358" i="32"/>
  <c r="AB360" i="32" s="1"/>
  <c r="V180" i="33"/>
  <c r="V191" i="33" s="1"/>
  <c r="I33" i="33"/>
  <c r="AA604" i="32"/>
  <c r="AC604" i="32" s="1"/>
  <c r="Z621" i="32"/>
  <c r="AA621" i="32" s="1"/>
  <c r="AC621" i="32" s="1"/>
  <c r="O481" i="34"/>
  <c r="O487" i="34"/>
  <c r="I177" i="32"/>
  <c r="J188" i="32"/>
  <c r="I188" i="32" s="1"/>
  <c r="A79" i="32"/>
  <c r="A741" i="32"/>
  <c r="AA689" i="32"/>
  <c r="AC689" i="32" s="1"/>
  <c r="Z707" i="32"/>
  <c r="AA707" i="32" s="1"/>
  <c r="AC707" i="32" s="1"/>
  <c r="A687" i="33"/>
  <c r="A693" i="33" s="1"/>
  <c r="A691" i="33"/>
  <c r="A424" i="34"/>
  <c r="A427" i="34" s="1"/>
  <c r="AB242" i="32"/>
  <c r="AA242" i="32"/>
  <c r="AC242" i="32" s="1"/>
  <c r="A135" i="33"/>
  <c r="V97" i="33"/>
  <c r="V108" i="33" s="1"/>
  <c r="U365" i="34"/>
  <c r="V365" i="34" s="1"/>
  <c r="X365" i="34" s="1"/>
  <c r="V360" i="34"/>
  <c r="X360" i="34" s="1"/>
  <c r="U231" i="34"/>
  <c r="W229" i="34"/>
  <c r="W231" i="34" s="1"/>
  <c r="W235" i="34" s="1"/>
  <c r="W246" i="34" s="1"/>
  <c r="V229" i="34"/>
  <c r="A593" i="33"/>
  <c r="T859" i="33"/>
  <c r="W725" i="33"/>
  <c r="V317" i="34"/>
  <c r="U336" i="34"/>
  <c r="V336" i="34" s="1"/>
  <c r="X336" i="34" s="1"/>
  <c r="U319" i="34"/>
  <c r="J709" i="34"/>
  <c r="J865" i="34" s="1"/>
  <c r="AA131" i="32"/>
  <c r="AB131" i="32"/>
  <c r="AB133" i="32" s="1"/>
  <c r="Z133" i="32"/>
  <c r="AA133" i="32" s="1"/>
  <c r="AC133" i="32" s="1"/>
  <c r="N707" i="33"/>
  <c r="N861" i="33" s="1"/>
  <c r="A291" i="33"/>
  <c r="A289" i="33"/>
  <c r="A293" i="33"/>
  <c r="U253" i="33"/>
  <c r="T259" i="33"/>
  <c r="V253" i="33"/>
  <c r="V259" i="33" s="1"/>
  <c r="V270" i="33" s="1"/>
  <c r="W442" i="34"/>
  <c r="W424" i="34"/>
  <c r="U566" i="34"/>
  <c r="V566" i="34" s="1"/>
  <c r="X566" i="34" s="1"/>
  <c r="V556" i="34"/>
  <c r="X556" i="34" s="1"/>
  <c r="AB438" i="32"/>
  <c r="AB440" i="32" s="1"/>
  <c r="AB442" i="32" s="1"/>
  <c r="Z440" i="32"/>
  <c r="Z442" i="32" s="1"/>
  <c r="AA442" i="32" s="1"/>
  <c r="AC442" i="32" s="1"/>
  <c r="AB126" i="32"/>
  <c r="AB137" i="32" s="1"/>
  <c r="U494" i="33"/>
  <c r="W494" i="33" s="1"/>
  <c r="T504" i="33"/>
  <c r="A175" i="33"/>
  <c r="U451" i="34"/>
  <c r="W448" i="34"/>
  <c r="W451" i="34" s="1"/>
  <c r="W453" i="34" s="1"/>
  <c r="W459" i="34" s="1"/>
  <c r="V448" i="34"/>
  <c r="AA583" i="32"/>
  <c r="AC583" i="32" s="1"/>
  <c r="Z587" i="32"/>
  <c r="AA587" i="32" s="1"/>
  <c r="AC587" i="32" s="1"/>
  <c r="A536" i="32"/>
  <c r="AB848" i="32"/>
  <c r="AB856" i="32" s="1"/>
  <c r="AB860" i="32" s="1"/>
  <c r="AA848" i="32"/>
  <c r="AC848" i="32" s="1"/>
  <c r="Z856" i="32"/>
  <c r="AA856" i="32" s="1"/>
  <c r="AC856" i="32" s="1"/>
  <c r="U446" i="33"/>
  <c r="W446" i="33" s="1"/>
  <c r="T453" i="33"/>
  <c r="V446" i="33"/>
  <c r="V453" i="33" s="1"/>
  <c r="V459" i="33" s="1"/>
  <c r="A172" i="34"/>
  <c r="A784" i="33"/>
  <c r="O709" i="34"/>
  <c r="O865" i="34" s="1"/>
  <c r="A587" i="32"/>
  <c r="A424" i="32"/>
  <c r="T95" i="33"/>
  <c r="V93" i="33"/>
  <c r="V95" i="33" s="1"/>
  <c r="U93" i="33"/>
  <c r="I481" i="32"/>
  <c r="J487" i="32"/>
  <c r="I487" i="32" s="1"/>
  <c r="A590" i="32"/>
  <c r="A366" i="33"/>
  <c r="A733" i="33"/>
  <c r="AA166" i="32"/>
  <c r="AC166" i="32" s="1"/>
  <c r="I504" i="32"/>
  <c r="J516" i="32"/>
  <c r="I516" i="32" s="1"/>
  <c r="A287" i="32"/>
  <c r="A290" i="33"/>
  <c r="A645" i="33"/>
  <c r="A644" i="33"/>
  <c r="A749" i="34"/>
  <c r="A241" i="32"/>
  <c r="U307" i="34"/>
  <c r="V307" i="34" s="1"/>
  <c r="X307" i="34" s="1"/>
  <c r="A359" i="32"/>
  <c r="W388" i="34"/>
  <c r="U376" i="34"/>
  <c r="V376" i="34" s="1"/>
  <c r="X376" i="34" s="1"/>
  <c r="W368" i="34"/>
  <c r="W376" i="34" s="1"/>
  <c r="V368" i="34"/>
  <c r="Z126" i="32"/>
  <c r="AB36" i="32"/>
  <c r="AB46" i="32" s="1"/>
  <c r="AB57" i="32" s="1"/>
  <c r="AA36" i="32"/>
  <c r="AC36" i="32" s="1"/>
  <c r="Z46" i="32"/>
  <c r="Z255" i="32"/>
  <c r="AA249" i="32"/>
  <c r="AB249" i="32"/>
  <c r="AB255" i="32" s="1"/>
  <c r="AB266" i="32" s="1"/>
  <c r="V516" i="33"/>
  <c r="A173" i="34"/>
  <c r="A175" i="34" s="1"/>
  <c r="A693" i="32"/>
  <c r="A497" i="32" l="1"/>
  <c r="A428" i="34"/>
  <c r="A430" i="34"/>
  <c r="A431" i="34"/>
  <c r="A132" i="32"/>
  <c r="A494" i="32"/>
  <c r="A177" i="34"/>
  <c r="U487" i="34"/>
  <c r="V487" i="34" s="1"/>
  <c r="X487" i="34" s="1"/>
  <c r="V479" i="34"/>
  <c r="U481" i="34"/>
  <c r="W57" i="34"/>
  <c r="V57" i="34"/>
  <c r="X57" i="34" s="1"/>
  <c r="U95" i="33"/>
  <c r="W95" i="33" s="1"/>
  <c r="T97" i="33"/>
  <c r="A539" i="32"/>
  <c r="A296" i="33"/>
  <c r="V231" i="34"/>
  <c r="X231" i="34" s="1"/>
  <c r="U235" i="34"/>
  <c r="A428" i="33"/>
  <c r="A695" i="32"/>
  <c r="T216" i="33"/>
  <c r="U216" i="33" s="1"/>
  <c r="W216" i="33" s="1"/>
  <c r="U205" i="33"/>
  <c r="W205" i="33" s="1"/>
  <c r="V46" i="34"/>
  <c r="X44" i="34"/>
  <c r="X46" i="34" s="1"/>
  <c r="A742" i="32"/>
  <c r="A244" i="34"/>
  <c r="A131" i="32"/>
  <c r="AA494" i="32"/>
  <c r="AC494" i="32" s="1"/>
  <c r="Z504" i="32"/>
  <c r="A483" i="34"/>
  <c r="U22" i="34"/>
  <c r="U33" i="34" s="1"/>
  <c r="W20" i="34"/>
  <c r="W22" i="34" s="1"/>
  <c r="V20" i="34"/>
  <c r="A643" i="32"/>
  <c r="A136" i="33"/>
  <c r="V126" i="34"/>
  <c r="X124" i="34"/>
  <c r="X126" i="34" s="1"/>
  <c r="AB307" i="32"/>
  <c r="A743" i="32"/>
  <c r="A700" i="34"/>
  <c r="U453" i="33"/>
  <c r="W453" i="33" s="1"/>
  <c r="T459" i="33"/>
  <c r="U459" i="33" s="1"/>
  <c r="W459" i="33" s="1"/>
  <c r="U619" i="33"/>
  <c r="W619" i="33" s="1"/>
  <c r="T621" i="33"/>
  <c r="U621" i="33" s="1"/>
  <c r="W621" i="33" s="1"/>
  <c r="Z177" i="32"/>
  <c r="A647" i="33"/>
  <c r="V451" i="34"/>
  <c r="U453" i="34"/>
  <c r="U459" i="34"/>
  <c r="V459" i="34" s="1"/>
  <c r="X459" i="34" s="1"/>
  <c r="X317" i="34"/>
  <c r="V319" i="34"/>
  <c r="U388" i="34"/>
  <c r="V388" i="34" s="1"/>
  <c r="X388" i="34" s="1"/>
  <c r="J707" i="33"/>
  <c r="J861" i="33" s="1"/>
  <c r="A594" i="33"/>
  <c r="AA451" i="32"/>
  <c r="AC451" i="32" s="1"/>
  <c r="Z453" i="32"/>
  <c r="A360" i="32"/>
  <c r="AA289" i="32"/>
  <c r="AC289" i="32" s="1"/>
  <c r="Z307" i="32"/>
  <c r="AA307" i="32" s="1"/>
  <c r="AC307" i="32" s="1"/>
  <c r="A540" i="33"/>
  <c r="A541" i="33" s="1"/>
  <c r="T33" i="33"/>
  <c r="U22" i="33"/>
  <c r="W22" i="33" s="1"/>
  <c r="V173" i="34"/>
  <c r="U177" i="34"/>
  <c r="U188" i="34" s="1"/>
  <c r="V188" i="34" s="1"/>
  <c r="X188" i="34" s="1"/>
  <c r="Z33" i="32"/>
  <c r="AA22" i="32"/>
  <c r="AC22" i="32" s="1"/>
  <c r="A751" i="34"/>
  <c r="AB229" i="32"/>
  <c r="AB231" i="32" s="1"/>
  <c r="AB235" i="32" s="1"/>
  <c r="AB246" i="32" s="1"/>
  <c r="Z231" i="32"/>
  <c r="AA229" i="32"/>
  <c r="T487" i="33"/>
  <c r="U487" i="33" s="1"/>
  <c r="W487" i="33" s="1"/>
  <c r="U481" i="33"/>
  <c r="W481" i="33" s="1"/>
  <c r="A540" i="32"/>
  <c r="A179" i="34"/>
  <c r="A182" i="34" s="1"/>
  <c r="A80" i="32"/>
  <c r="A545" i="34"/>
  <c r="V536" i="34"/>
  <c r="X536" i="34" s="1"/>
  <c r="U548" i="34"/>
  <c r="V548" i="34" s="1"/>
  <c r="X548" i="34" s="1"/>
  <c r="A289" i="32"/>
  <c r="A80" i="33"/>
  <c r="A593" i="32"/>
  <c r="A646" i="32"/>
  <c r="Z860" i="32"/>
  <c r="U46" i="33"/>
  <c r="W46" i="33" s="1"/>
  <c r="T57" i="33"/>
  <c r="U57" i="33" s="1"/>
  <c r="W57" i="33" s="1"/>
  <c r="A644" i="32"/>
  <c r="A652" i="32" s="1"/>
  <c r="U504" i="33"/>
  <c r="W504" i="33" s="1"/>
  <c r="T516" i="33"/>
  <c r="U516" i="33" s="1"/>
  <c r="W516" i="33" s="1"/>
  <c r="U259" i="33"/>
  <c r="W259" i="33" s="1"/>
  <c r="T270" i="33"/>
  <c r="U270" i="33" s="1"/>
  <c r="W270" i="33" s="1"/>
  <c r="A596" i="33"/>
  <c r="A696" i="32"/>
  <c r="AA355" i="32"/>
  <c r="AC355" i="32" s="1"/>
  <c r="Z365" i="32"/>
  <c r="A427" i="32"/>
  <c r="A785" i="33"/>
  <c r="Z487" i="32"/>
  <c r="AA487" i="32" s="1"/>
  <c r="AC487" i="32" s="1"/>
  <c r="AA481" i="32"/>
  <c r="AC481" i="32" s="1"/>
  <c r="A658" i="34"/>
  <c r="X251" i="34"/>
  <c r="X255" i="34" s="1"/>
  <c r="V255" i="34"/>
  <c r="U75" i="33"/>
  <c r="W75" i="33" s="1"/>
  <c r="T86" i="33"/>
  <c r="U86" i="33" s="1"/>
  <c r="W86" i="33" s="1"/>
  <c r="A27" i="32"/>
  <c r="A24" i="32"/>
  <c r="X93" i="34"/>
  <c r="X95" i="34" s="1"/>
  <c r="V95" i="34"/>
  <c r="A487" i="33"/>
  <c r="A244" i="32"/>
  <c r="U649" i="33"/>
  <c r="W649" i="33" s="1"/>
  <c r="T666" i="33"/>
  <c r="U666" i="33" s="1"/>
  <c r="W666" i="33" s="1"/>
  <c r="Z137" i="32"/>
  <c r="AA137" i="32" s="1"/>
  <c r="AC137" i="32" s="1"/>
  <c r="AA126" i="32"/>
  <c r="AC126" i="32" s="1"/>
  <c r="AA255" i="32"/>
  <c r="AC255" i="32" s="1"/>
  <c r="Z266" i="32"/>
  <c r="AA266" i="32" s="1"/>
  <c r="AC266" i="32" s="1"/>
  <c r="T389" i="33"/>
  <c r="U366" i="33"/>
  <c r="W366" i="33" s="1"/>
  <c r="A369" i="33"/>
  <c r="U668" i="34"/>
  <c r="V668" i="34" s="1"/>
  <c r="X668" i="34" s="1"/>
  <c r="V651" i="34"/>
  <c r="X651" i="34" s="1"/>
  <c r="P376" i="32"/>
  <c r="P388" i="32" s="1"/>
  <c r="P709" i="32" s="1"/>
  <c r="P862" i="32" s="1"/>
  <c r="Q375" i="32"/>
  <c r="A289" i="34"/>
  <c r="A287" i="34"/>
  <c r="A292" i="32"/>
  <c r="A546" i="34"/>
  <c r="J709" i="32"/>
  <c r="J862" i="32" s="1"/>
  <c r="I33" i="32"/>
  <c r="A648" i="32"/>
  <c r="A239" i="33"/>
  <c r="A737" i="33"/>
  <c r="A738" i="33" s="1"/>
  <c r="T339" i="33"/>
  <c r="U339" i="33" s="1"/>
  <c r="W339" i="33" s="1"/>
  <c r="U322" i="33"/>
  <c r="W322" i="33" s="1"/>
  <c r="Z57" i="32"/>
  <c r="AA57" i="32" s="1"/>
  <c r="AC57" i="32" s="1"/>
  <c r="AA46" i="32"/>
  <c r="AC46" i="32" s="1"/>
  <c r="A176" i="33"/>
  <c r="A694" i="33"/>
  <c r="A786" i="32"/>
  <c r="A359" i="34"/>
  <c r="A80" i="34"/>
  <c r="AA93" i="32"/>
  <c r="AC93" i="32" s="1"/>
  <c r="Z95" i="32"/>
  <c r="A132" i="34"/>
  <c r="A131" i="34"/>
  <c r="A598" i="34"/>
  <c r="V74" i="34"/>
  <c r="X72" i="34"/>
  <c r="X74" i="34" s="1"/>
  <c r="A179" i="32"/>
  <c r="A370" i="33"/>
  <c r="A498" i="32"/>
  <c r="A499" i="32" s="1"/>
  <c r="U293" i="33"/>
  <c r="W293" i="33" s="1"/>
  <c r="T310" i="33"/>
  <c r="U310" i="33" s="1"/>
  <c r="W310" i="33" s="1"/>
  <c r="U145" i="33"/>
  <c r="W145" i="33" s="1"/>
  <c r="T149" i="33"/>
  <c r="U149" i="33" s="1"/>
  <c r="W149" i="33" s="1"/>
  <c r="U129" i="33"/>
  <c r="W129" i="33" s="1"/>
  <c r="T140" i="33"/>
  <c r="U140" i="33" s="1"/>
  <c r="W140" i="33" s="1"/>
  <c r="AB404" i="32"/>
  <c r="A242" i="32"/>
  <c r="A31" i="34"/>
  <c r="A33" i="34" s="1"/>
  <c r="A183" i="34" l="1"/>
  <c r="A184" i="34" s="1"/>
  <c r="A501" i="32"/>
  <c r="A654" i="32"/>
  <c r="A655" i="32"/>
  <c r="A293" i="32"/>
  <c r="AA95" i="32"/>
  <c r="AC95" i="32" s="1"/>
  <c r="Z106" i="32"/>
  <c r="AA106" i="32" s="1"/>
  <c r="AC106" i="32" s="1"/>
  <c r="A246" i="32"/>
  <c r="A293" i="34"/>
  <c r="A186" i="34"/>
  <c r="A133" i="32"/>
  <c r="A744" i="32"/>
  <c r="A133" i="34"/>
  <c r="A145" i="33"/>
  <c r="A147" i="33" s="1"/>
  <c r="A149" i="33" s="1"/>
  <c r="A135" i="34"/>
  <c r="A241" i="33"/>
  <c r="A28" i="32"/>
  <c r="A29" i="32" s="1"/>
  <c r="A292" i="34"/>
  <c r="A182" i="32"/>
  <c r="A594" i="32"/>
  <c r="A491" i="33"/>
  <c r="V177" i="34"/>
  <c r="X173" i="34"/>
  <c r="X177" i="34" s="1"/>
  <c r="A81" i="32"/>
  <c r="A138" i="33"/>
  <c r="A140" i="33" s="1"/>
  <c r="A143" i="33" s="1"/>
  <c r="A144" i="33" s="1"/>
  <c r="A695" i="33"/>
  <c r="A659" i="34"/>
  <c r="A660" i="34" s="1"/>
  <c r="T108" i="33"/>
  <c r="U108" i="33" s="1"/>
  <c r="W108" i="33" s="1"/>
  <c r="U97" i="33"/>
  <c r="W97" i="33" s="1"/>
  <c r="A83" i="34"/>
  <c r="A788" i="33"/>
  <c r="A596" i="32"/>
  <c r="V22" i="34"/>
  <c r="X20" i="34"/>
  <c r="X22" i="34" s="1"/>
  <c r="X479" i="34"/>
  <c r="X481" i="34" s="1"/>
  <c r="V481" i="34"/>
  <c r="A541" i="32"/>
  <c r="A178" i="33"/>
  <c r="A182" i="33" s="1"/>
  <c r="A185" i="33" s="1"/>
  <c r="A186" i="33" s="1"/>
  <c r="A187" i="33" s="1"/>
  <c r="A189" i="33" s="1"/>
  <c r="A191" i="33" s="1"/>
  <c r="T707" i="33"/>
  <c r="T861" i="33" s="1"/>
  <c r="U33" i="33"/>
  <c r="W33" i="33" s="1"/>
  <c r="Z188" i="32"/>
  <c r="AA188" i="32" s="1"/>
  <c r="AC188" i="32" s="1"/>
  <c r="AA177" i="32"/>
  <c r="AC177" i="32" s="1"/>
  <c r="A485" i="34"/>
  <c r="A135" i="32"/>
  <c r="A137" i="32" s="1"/>
  <c r="A140" i="32" s="1"/>
  <c r="A141" i="32" s="1"/>
  <c r="A142" i="32" s="1"/>
  <c r="A428" i="32"/>
  <c r="A81" i="34"/>
  <c r="V389" i="33"/>
  <c r="V707" i="33" s="1"/>
  <c r="V861" i="33" s="1"/>
  <c r="U389" i="33"/>
  <c r="W389" i="33" s="1"/>
  <c r="Z516" i="32"/>
  <c r="AA516" i="32" s="1"/>
  <c r="AC516" i="32" s="1"/>
  <c r="AA504" i="32"/>
  <c r="AC504" i="32" s="1"/>
  <c r="A601" i="34"/>
  <c r="A602" i="34" s="1"/>
  <c r="A599" i="34"/>
  <c r="A789" i="33"/>
  <c r="A791" i="33" s="1"/>
  <c r="A180" i="33"/>
  <c r="A548" i="34"/>
  <c r="AA231" i="32"/>
  <c r="AC231" i="32" s="1"/>
  <c r="Z235" i="32"/>
  <c r="AA235" i="32" s="1"/>
  <c r="AC235" i="32" s="1"/>
  <c r="A360" i="34"/>
  <c r="A543" i="33"/>
  <c r="A362" i="32"/>
  <c r="Z459" i="32"/>
  <c r="AA459" i="32" s="1"/>
  <c r="AC459" i="32" s="1"/>
  <c r="AA453" i="32"/>
  <c r="AC453" i="32" s="1"/>
  <c r="V453" i="34"/>
  <c r="X451" i="34"/>
  <c r="X453" i="34" s="1"/>
  <c r="U709" i="34"/>
  <c r="U865" i="34" s="1"/>
  <c r="W33" i="34"/>
  <c r="W709" i="34" s="1"/>
  <c r="W865" i="34" s="1"/>
  <c r="V33" i="34"/>
  <c r="X33" i="34" s="1"/>
  <c r="U246" i="34"/>
  <c r="V246" i="34" s="1"/>
  <c r="X246" i="34" s="1"/>
  <c r="V235" i="34"/>
  <c r="X235" i="34" s="1"/>
  <c r="A649" i="33"/>
  <c r="A433" i="34"/>
  <c r="A434" i="34" s="1"/>
  <c r="Z375" i="32"/>
  <c r="Q376" i="32"/>
  <c r="Q388" i="32" s="1"/>
  <c r="Q709" i="32" s="1"/>
  <c r="Q862" i="32" s="1"/>
  <c r="A83" i="32"/>
  <c r="A294" i="32"/>
  <c r="A739" i="33"/>
  <c r="A246" i="34"/>
  <c r="A430" i="32"/>
  <c r="A697" i="32"/>
  <c r="A702" i="34"/>
  <c r="A704" i="34" s="1"/>
  <c r="A706" i="34" s="1"/>
  <c r="A709" i="34" s="1"/>
  <c r="A787" i="32"/>
  <c r="A788" i="32" s="1"/>
  <c r="AA33" i="32"/>
  <c r="AC33" i="32" s="1"/>
  <c r="A597" i="33"/>
  <c r="A599" i="33" s="1"/>
  <c r="A600" i="33" s="1"/>
  <c r="A602" i="33" s="1"/>
  <c r="A604" i="33" s="1"/>
  <c r="A608" i="33" s="1"/>
  <c r="A610" i="33" s="1"/>
  <c r="A611" i="33" s="1"/>
  <c r="A612" i="33" s="1"/>
  <c r="A613" i="33" s="1"/>
  <c r="A615" i="33" s="1"/>
  <c r="A617" i="33" s="1"/>
  <c r="A619" i="33" s="1"/>
  <c r="A621" i="33" s="1"/>
  <c r="AA365" i="32"/>
  <c r="AC365" i="32" s="1"/>
  <c r="A430" i="33"/>
  <c r="A81" i="33"/>
  <c r="A372" i="33"/>
  <c r="A752" i="34"/>
  <c r="A297" i="33"/>
  <c r="A250" i="32" l="1"/>
  <c r="A251" i="32" s="1"/>
  <c r="A253" i="32" s="1"/>
  <c r="A435" i="34"/>
  <c r="A794" i="33"/>
  <c r="A808" i="33" s="1"/>
  <c r="A792" i="33"/>
  <c r="A604" i="34"/>
  <c r="A700" i="32"/>
  <c r="A702" i="32" s="1"/>
  <c r="A698" i="32"/>
  <c r="A704" i="32"/>
  <c r="A706" i="32" s="1"/>
  <c r="A709" i="32" s="1"/>
  <c r="A294" i="34"/>
  <c r="A363" i="34"/>
  <c r="A249" i="32"/>
  <c r="A698" i="33"/>
  <c r="A543" i="32"/>
  <c r="A545" i="32" s="1"/>
  <c r="A502" i="32"/>
  <c r="A504" i="32" s="1"/>
  <c r="A507" i="32" s="1"/>
  <c r="A508" i="32"/>
  <c r="A509" i="32" s="1"/>
  <c r="A511" i="32" s="1"/>
  <c r="A513" i="32" s="1"/>
  <c r="A514" i="32" s="1"/>
  <c r="A516" i="32" s="1"/>
  <c r="A297" i="32"/>
  <c r="A298" i="32" s="1"/>
  <c r="A492" i="33"/>
  <c r="A548" i="32"/>
  <c r="A552" i="32" s="1"/>
  <c r="A553" i="32" s="1"/>
  <c r="A554" i="32" s="1"/>
  <c r="A556" i="32" s="1"/>
  <c r="A559" i="32" s="1"/>
  <c r="A560" i="32" s="1"/>
  <c r="AB375" i="32"/>
  <c r="AB376" i="32" s="1"/>
  <c r="AB388" i="32" s="1"/>
  <c r="AB709" i="32" s="1"/>
  <c r="AB862" i="32" s="1"/>
  <c r="AA375" i="32"/>
  <c r="Z376" i="32"/>
  <c r="A297" i="34"/>
  <c r="A363" i="32"/>
  <c r="A144" i="32"/>
  <c r="A194" i="33"/>
  <c r="A195" i="33" s="1"/>
  <c r="A197" i="33" s="1"/>
  <c r="A198" i="33" s="1"/>
  <c r="A199" i="33" s="1"/>
  <c r="A740" i="33"/>
  <c r="A431" i="32"/>
  <c r="A194" i="34"/>
  <c r="A195" i="34" s="1"/>
  <c r="A196" i="34" s="1"/>
  <c r="A197" i="34" s="1"/>
  <c r="A199" i="34" s="1"/>
  <c r="A200" i="34" s="1"/>
  <c r="A202" i="34" s="1"/>
  <c r="A204" i="34" s="1"/>
  <c r="A207" i="34" s="1"/>
  <c r="A208" i="34" s="1"/>
  <c r="A209" i="34" s="1"/>
  <c r="A211" i="34" s="1"/>
  <c r="A213" i="34" s="1"/>
  <c r="A85" i="32"/>
  <c r="A656" i="32"/>
  <c r="A373" i="33"/>
  <c r="A188" i="34"/>
  <c r="A191" i="34" s="1"/>
  <c r="A546" i="32"/>
  <c r="A562" i="32" s="1"/>
  <c r="A564" i="32" s="1"/>
  <c r="A566" i="32" s="1"/>
  <c r="A82" i="33"/>
  <c r="A298" i="34"/>
  <c r="A552" i="34"/>
  <c r="A137" i="34"/>
  <c r="A491" i="34"/>
  <c r="A492" i="34" s="1"/>
  <c r="A597" i="32"/>
  <c r="A662" i="34"/>
  <c r="A696" i="33"/>
  <c r="A545" i="33"/>
  <c r="A433" i="32"/>
  <c r="A753" i="34"/>
  <c r="A431" i="33"/>
  <c r="A249" i="34"/>
  <c r="A250" i="34" s="1"/>
  <c r="A85" i="34"/>
  <c r="A655" i="33"/>
  <c r="A656" i="33" s="1"/>
  <c r="A657" i="33" s="1"/>
  <c r="A658" i="33" s="1"/>
  <c r="A653" i="33"/>
  <c r="A140" i="34"/>
  <c r="A141" i="34" s="1"/>
  <c r="A142" i="34" s="1"/>
  <c r="A746" i="32"/>
  <c r="A146" i="32"/>
  <c r="A183" i="32"/>
  <c r="A192" i="34"/>
  <c r="A298" i="33"/>
  <c r="A244" i="33"/>
  <c r="A791" i="32"/>
  <c r="A438" i="34"/>
  <c r="A439" i="34" s="1"/>
  <c r="A487" i="34"/>
  <c r="A184" i="32"/>
  <c r="A741" i="33"/>
  <c r="A362" i="34"/>
  <c r="A31" i="32"/>
  <c r="A329" i="32" l="1"/>
  <c r="A332" i="32" s="1"/>
  <c r="A333" i="32" s="1"/>
  <c r="A334" i="32" s="1"/>
  <c r="A336" i="32" s="1"/>
  <c r="A299" i="32"/>
  <c r="A302" i="32" s="1"/>
  <c r="A303" i="32" s="1"/>
  <c r="A304" i="32" s="1"/>
  <c r="A306" i="32" s="1"/>
  <c r="A310" i="32" s="1"/>
  <c r="A312" i="32" s="1"/>
  <c r="A313" i="32" s="1"/>
  <c r="A314" i="32" s="1"/>
  <c r="A315" i="32" s="1"/>
  <c r="A316" i="32" s="1"/>
  <c r="A317" i="32" s="1"/>
  <c r="A319" i="32" s="1"/>
  <c r="A322" i="32" s="1"/>
  <c r="A323" i="32" s="1"/>
  <c r="A324" i="32" s="1"/>
  <c r="A327" i="32" s="1"/>
  <c r="A328" i="32" s="1"/>
  <c r="A251" i="34"/>
  <c r="A253" i="34" s="1"/>
  <c r="A255" i="34" s="1"/>
  <c r="A257" i="34" s="1"/>
  <c r="A260" i="34" s="1"/>
  <c r="A261" i="34" s="1"/>
  <c r="A262" i="34" s="1"/>
  <c r="A264" i="34" s="1"/>
  <c r="A266" i="34" s="1"/>
  <c r="A493" i="34"/>
  <c r="A494" i="34" s="1"/>
  <c r="A754" i="34"/>
  <c r="A84" i="33"/>
  <c r="A668" i="34"/>
  <c r="A664" i="34"/>
  <c r="A666" i="34" s="1"/>
  <c r="A657" i="32"/>
  <c r="A659" i="32" s="1"/>
  <c r="A661" i="32" s="1"/>
  <c r="A663" i="32" s="1"/>
  <c r="A665" i="32" s="1"/>
  <c r="A33" i="32"/>
  <c r="A200" i="33"/>
  <c r="A202" i="33" s="1"/>
  <c r="A88" i="34"/>
  <c r="A546" i="33"/>
  <c r="A548" i="33" s="1"/>
  <c r="A552" i="33" s="1"/>
  <c r="A553" i="33" s="1"/>
  <c r="A554" i="33" s="1"/>
  <c r="A556" i="33" s="1"/>
  <c r="A559" i="33" s="1"/>
  <c r="A560" i="33" s="1"/>
  <c r="A562" i="33" s="1"/>
  <c r="A564" i="33" s="1"/>
  <c r="A566" i="33" s="1"/>
  <c r="A88" i="32"/>
  <c r="A746" i="33"/>
  <c r="A743" i="33"/>
  <c r="A809" i="33"/>
  <c r="A810" i="33"/>
  <c r="A365" i="34"/>
  <c r="A368" i="34" s="1"/>
  <c r="A369" i="34" s="1"/>
  <c r="A371" i="34"/>
  <c r="A301" i="33"/>
  <c r="A660" i="33"/>
  <c r="A662" i="33" s="1"/>
  <c r="A664" i="33" s="1"/>
  <c r="A666" i="33" s="1"/>
  <c r="A700" i="33"/>
  <c r="A702" i="33" s="1"/>
  <c r="A704" i="33" s="1"/>
  <c r="A707" i="33" s="1"/>
  <c r="A434" i="32"/>
  <c r="A433" i="33"/>
  <c r="A606" i="34"/>
  <c r="A144" i="34"/>
  <c r="A146" i="34" s="1"/>
  <c r="A245" i="33"/>
  <c r="A246" i="33" s="1"/>
  <c r="A248" i="33" s="1"/>
  <c r="A250" i="33" s="1"/>
  <c r="A253" i="33" s="1"/>
  <c r="A254" i="33" s="1"/>
  <c r="A255" i="33" s="1"/>
  <c r="A257" i="33" s="1"/>
  <c r="A259" i="33" s="1"/>
  <c r="A261" i="33" s="1"/>
  <c r="A264" i="33" s="1"/>
  <c r="A265" i="33" s="1"/>
  <c r="A266" i="33" s="1"/>
  <c r="A268" i="33" s="1"/>
  <c r="A270" i="33" s="1"/>
  <c r="A440" i="34"/>
  <c r="A442" i="34" s="1"/>
  <c r="A446" i="34" s="1"/>
  <c r="A448" i="34" s="1"/>
  <c r="A449" i="34" s="1"/>
  <c r="A450" i="34" s="1"/>
  <c r="A451" i="34" s="1"/>
  <c r="A453" i="34" s="1"/>
  <c r="A455" i="34" s="1"/>
  <c r="A457" i="34" s="1"/>
  <c r="A459" i="34" s="1"/>
  <c r="A302" i="33"/>
  <c r="A303" i="33" s="1"/>
  <c r="A306" i="33" s="1"/>
  <c r="A203" i="33"/>
  <c r="A205" i="33" s="1"/>
  <c r="A207" i="33" s="1"/>
  <c r="A210" i="33" s="1"/>
  <c r="A211" i="33" s="1"/>
  <c r="A212" i="33" s="1"/>
  <c r="A214" i="33" s="1"/>
  <c r="A216" i="33" s="1"/>
  <c r="A599" i="32"/>
  <c r="A89" i="32"/>
  <c r="A91" i="32" s="1"/>
  <c r="A92" i="32" s="1"/>
  <c r="A93" i="32" s="1"/>
  <c r="A95" i="32" s="1"/>
  <c r="A97" i="32" s="1"/>
  <c r="A100" i="32" s="1"/>
  <c r="A101" i="32" s="1"/>
  <c r="A102" i="32" s="1"/>
  <c r="A104" i="32" s="1"/>
  <c r="A106" i="32" s="1"/>
  <c r="A749" i="32"/>
  <c r="A750" i="32" s="1"/>
  <c r="A751" i="32" s="1"/>
  <c r="A752" i="32" s="1"/>
  <c r="A753" i="32" s="1"/>
  <c r="A754" i="32" s="1"/>
  <c r="A756" i="32" s="1"/>
  <c r="A757" i="32" s="1"/>
  <c r="A760" i="32" s="1"/>
  <c r="A761" i="32" s="1"/>
  <c r="A763" i="32" s="1"/>
  <c r="A493" i="33"/>
  <c r="A494" i="33" s="1"/>
  <c r="A497" i="33" s="1"/>
  <c r="A498" i="33" s="1"/>
  <c r="A499" i="33" s="1"/>
  <c r="A501" i="33" s="1"/>
  <c r="A502" i="33" s="1"/>
  <c r="A504" i="33" s="1"/>
  <c r="A507" i="33" s="1"/>
  <c r="A508" i="33" s="1"/>
  <c r="A509" i="33" s="1"/>
  <c r="A511" i="33" s="1"/>
  <c r="A513" i="33" s="1"/>
  <c r="A514" i="33" s="1"/>
  <c r="A792" i="32"/>
  <c r="A186" i="32"/>
  <c r="A188" i="32" s="1"/>
  <c r="A191" i="32" s="1"/>
  <c r="A192" i="32" s="1"/>
  <c r="A194" i="32" s="1"/>
  <c r="A195" i="32" s="1"/>
  <c r="A196" i="32" s="1"/>
  <c r="A197" i="32" s="1"/>
  <c r="A199" i="32" s="1"/>
  <c r="A200" i="32" s="1"/>
  <c r="A202" i="32" s="1"/>
  <c r="A204" i="32" s="1"/>
  <c r="A207" i="32" s="1"/>
  <c r="A553" i="34"/>
  <c r="A375" i="33"/>
  <c r="A376" i="33" s="1"/>
  <c r="A377" i="33" s="1"/>
  <c r="A380" i="33" s="1"/>
  <c r="A381" i="33" s="1"/>
  <c r="A382" i="33" s="1"/>
  <c r="A385" i="33" s="1"/>
  <c r="A386" i="33" s="1"/>
  <c r="A387" i="33" s="1"/>
  <c r="A389" i="33" s="1"/>
  <c r="A392" i="33" s="1"/>
  <c r="A393" i="33" s="1"/>
  <c r="A394" i="33" s="1"/>
  <c r="A395" i="33" s="1"/>
  <c r="A396" i="33" s="1"/>
  <c r="A365" i="32"/>
  <c r="A368" i="32" s="1"/>
  <c r="A369" i="32" s="1"/>
  <c r="A371" i="32" s="1"/>
  <c r="A372" i="32" s="1"/>
  <c r="A374" i="32" s="1"/>
  <c r="A375" i="32" s="1"/>
  <c r="A376" i="32" s="1"/>
  <c r="A379" i="32" s="1"/>
  <c r="AA376" i="32"/>
  <c r="AC376" i="32" s="1"/>
  <c r="Z388" i="32"/>
  <c r="A255" i="32"/>
  <c r="A257" i="32" s="1"/>
  <c r="A260" i="32" s="1"/>
  <c r="A261" i="32" s="1"/>
  <c r="A262" i="32" s="1"/>
  <c r="A264" i="32" s="1"/>
  <c r="A266" i="32" s="1"/>
  <c r="A299" i="34"/>
  <c r="A497" i="34" l="1"/>
  <c r="A498" i="34" s="1"/>
  <c r="A499" i="34" s="1"/>
  <c r="A501" i="34" s="1"/>
  <c r="A502" i="34" s="1"/>
  <c r="A504" i="34" s="1"/>
  <c r="A507" i="34" s="1"/>
  <c r="A508" i="34" s="1"/>
  <c r="A509" i="34" s="1"/>
  <c r="A511" i="34" s="1"/>
  <c r="A513" i="34" s="1"/>
  <c r="A514" i="34" s="1"/>
  <c r="A516" i="34" s="1"/>
  <c r="A610" i="34"/>
  <c r="A612" i="34" s="1"/>
  <c r="A613" i="34" s="1"/>
  <c r="A614" i="34" s="1"/>
  <c r="A615" i="34" s="1"/>
  <c r="A617" i="34" s="1"/>
  <c r="A619" i="34" s="1"/>
  <c r="A621" i="34" s="1"/>
  <c r="A623" i="34" s="1"/>
  <c r="A86" i="33"/>
  <c r="A90" i="33" s="1"/>
  <c r="A91" i="33" s="1"/>
  <c r="A93" i="33" s="1"/>
  <c r="A94" i="33" s="1"/>
  <c r="A95" i="33" s="1"/>
  <c r="A97" i="33" s="1"/>
  <c r="A99" i="33" s="1"/>
  <c r="A102" i="33" s="1"/>
  <c r="A103" i="33" s="1"/>
  <c r="A104" i="33" s="1"/>
  <c r="A106" i="33" s="1"/>
  <c r="A554" i="34"/>
  <c r="A556" i="34" s="1"/>
  <c r="A559" i="34" s="1"/>
  <c r="A560" i="34" s="1"/>
  <c r="A562" i="34" s="1"/>
  <c r="A564" i="34" s="1"/>
  <c r="A566" i="34" s="1"/>
  <c r="A600" i="32"/>
  <c r="A208" i="32"/>
  <c r="A209" i="32" s="1"/>
  <c r="A211" i="32" s="1"/>
  <c r="A213" i="32" s="1"/>
  <c r="A794" i="32"/>
  <c r="A795" i="32" s="1"/>
  <c r="A797" i="32" s="1"/>
  <c r="A810" i="32" s="1"/>
  <c r="A811" i="32" s="1"/>
  <c r="A812" i="32" s="1"/>
  <c r="A813" i="32" s="1"/>
  <c r="A89" i="34"/>
  <c r="A91" i="34" s="1"/>
  <c r="A92" i="34" s="1"/>
  <c r="A93" i="34" s="1"/>
  <c r="A95" i="34" s="1"/>
  <c r="A97" i="34" s="1"/>
  <c r="A100" i="34" s="1"/>
  <c r="A101" i="34" s="1"/>
  <c r="A102" i="34" s="1"/>
  <c r="A104" i="34" s="1"/>
  <c r="A106" i="34" s="1"/>
  <c r="A756" i="34"/>
  <c r="A757" i="34" s="1"/>
  <c r="A760" i="34" s="1"/>
  <c r="A761" i="34" s="1"/>
  <c r="A763" i="34" s="1"/>
  <c r="A778" i="34" s="1"/>
  <c r="A780" i="34" s="1"/>
  <c r="A781" i="34" s="1"/>
  <c r="A782" i="34" s="1"/>
  <c r="A786" i="34" s="1"/>
  <c r="A787" i="34" s="1"/>
  <c r="A788" i="34" s="1"/>
  <c r="A789" i="34" s="1"/>
  <c r="A792" i="34" s="1"/>
  <c r="A793" i="34" s="1"/>
  <c r="A795" i="34" s="1"/>
  <c r="A796" i="34" s="1"/>
  <c r="A798" i="34" s="1"/>
  <c r="A812" i="34" s="1"/>
  <c r="A434" i="33"/>
  <c r="A435" i="33" s="1"/>
  <c r="A438" i="33"/>
  <c r="A439" i="33" s="1"/>
  <c r="A440" i="33" s="1"/>
  <c r="A442" i="33" s="1"/>
  <c r="A446" i="33" s="1"/>
  <c r="A448" i="33" s="1"/>
  <c r="A449" i="33" s="1"/>
  <c r="A450" i="33" s="1"/>
  <c r="A451" i="33" s="1"/>
  <c r="A453" i="33" s="1"/>
  <c r="A455" i="33" s="1"/>
  <c r="A457" i="33" s="1"/>
  <c r="A459" i="33" s="1"/>
  <c r="A811" i="33"/>
  <c r="A435" i="32"/>
  <c r="A438" i="32" s="1"/>
  <c r="A439" i="32" s="1"/>
  <c r="A440" i="32" s="1"/>
  <c r="A442" i="32" s="1"/>
  <c r="A446" i="32" s="1"/>
  <c r="A448" i="32" s="1"/>
  <c r="A449" i="32" s="1"/>
  <c r="A450" i="32" s="1"/>
  <c r="A451" i="32" s="1"/>
  <c r="A453" i="32" s="1"/>
  <c r="A455" i="32" s="1"/>
  <c r="A457" i="32" s="1"/>
  <c r="A459" i="32" s="1"/>
  <c r="A36" i="32"/>
  <c r="A308" i="33"/>
  <c r="A310" i="33" s="1"/>
  <c r="A313" i="33" s="1"/>
  <c r="A315" i="33" s="1"/>
  <c r="A316" i="33" s="1"/>
  <c r="A317" i="33" s="1"/>
  <c r="A318" i="33" s="1"/>
  <c r="A319" i="33" s="1"/>
  <c r="A320" i="33" s="1"/>
  <c r="A322" i="33" s="1"/>
  <c r="A325" i="33" s="1"/>
  <c r="A326" i="33" s="1"/>
  <c r="A327" i="33" s="1"/>
  <c r="A330" i="33" s="1"/>
  <c r="A331" i="33" s="1"/>
  <c r="A332" i="33" s="1"/>
  <c r="A335" i="33" s="1"/>
  <c r="A336" i="33" s="1"/>
  <c r="A337" i="33" s="1"/>
  <c r="A339" i="33" s="1"/>
  <c r="A307" i="33"/>
  <c r="A372" i="34"/>
  <c r="A374" i="34" s="1"/>
  <c r="A375" i="34" s="1"/>
  <c r="A376" i="34" s="1"/>
  <c r="A379" i="34" s="1"/>
  <c r="A380" i="34" s="1"/>
  <c r="A381" i="34" s="1"/>
  <c r="A384" i="34" s="1"/>
  <c r="A385" i="34" s="1"/>
  <c r="A386" i="34" s="1"/>
  <c r="A388" i="34" s="1"/>
  <c r="A391" i="34" s="1"/>
  <c r="A392" i="34" s="1"/>
  <c r="A393" i="34" s="1"/>
  <c r="A394" i="34" s="1"/>
  <c r="A395" i="34" s="1"/>
  <c r="A397" i="34" s="1"/>
  <c r="A400" i="34" s="1"/>
  <c r="A401" i="34" s="1"/>
  <c r="A402" i="34" s="1"/>
  <c r="A404" i="34" s="1"/>
  <c r="A813" i="33"/>
  <c r="A302" i="34"/>
  <c r="A398" i="33"/>
  <c r="A401" i="33" s="1"/>
  <c r="A402" i="33" s="1"/>
  <c r="A403" i="33" s="1"/>
  <c r="A405" i="33" s="1"/>
  <c r="A747" i="33"/>
  <c r="A748" i="33" s="1"/>
  <c r="A749" i="33" s="1"/>
  <c r="A750" i="33" s="1"/>
  <c r="A751" i="33" s="1"/>
  <c r="A753" i="33" s="1"/>
  <c r="A754" i="33" s="1"/>
  <c r="A757" i="33" s="1"/>
  <c r="A758" i="33" s="1"/>
  <c r="A760" i="33" s="1"/>
  <c r="A380" i="32"/>
  <c r="A381" i="32" s="1"/>
  <c r="A384" i="32" s="1"/>
  <c r="A385" i="32" s="1"/>
  <c r="A386" i="32" s="1"/>
  <c r="A388" i="32" s="1"/>
  <c r="A391" i="32" s="1"/>
  <c r="A392" i="32" s="1"/>
  <c r="A393" i="32" s="1"/>
  <c r="A394" i="32" s="1"/>
  <c r="A395" i="32" s="1"/>
  <c r="A397" i="32" s="1"/>
  <c r="A400" i="32" s="1"/>
  <c r="A401" i="32" s="1"/>
  <c r="A402" i="32" s="1"/>
  <c r="A404" i="32" s="1"/>
  <c r="AA388" i="32"/>
  <c r="AC388" i="32" s="1"/>
  <c r="Z709" i="32"/>
  <c r="Z862" i="32" s="1"/>
  <c r="A813" i="34" l="1"/>
  <c r="A814" i="34" s="1"/>
  <c r="A815" i="34" s="1"/>
  <c r="A817" i="34" s="1"/>
  <c r="A819" i="34" s="1"/>
  <c r="A822" i="34" s="1"/>
  <c r="A823" i="34" s="1"/>
  <c r="A825" i="34" s="1"/>
  <c r="A826" i="34" s="1"/>
  <c r="A827" i="34" s="1"/>
  <c r="A828" i="34" s="1"/>
  <c r="A829" i="34" s="1"/>
  <c r="A831" i="34" s="1"/>
  <c r="A832" i="34" s="1"/>
  <c r="A833" i="34" s="1"/>
  <c r="A834" i="34" s="1"/>
  <c r="A815" i="33"/>
  <c r="A602" i="32"/>
  <c r="A604" i="32" s="1"/>
  <c r="A608" i="32" s="1"/>
  <c r="A610" i="32" s="1"/>
  <c r="A611" i="32" s="1"/>
  <c r="A612" i="32" s="1"/>
  <c r="A613" i="32" s="1"/>
  <c r="A615" i="32" s="1"/>
  <c r="A617" i="32" s="1"/>
  <c r="A619" i="32" s="1"/>
  <c r="A621" i="32" s="1"/>
  <c r="A38" i="32"/>
  <c r="A39" i="32" s="1"/>
  <c r="A40" i="32" s="1"/>
  <c r="A41" i="32" s="1"/>
  <c r="A42" i="32" s="1"/>
  <c r="A43" i="32" s="1"/>
  <c r="A44" i="32" s="1"/>
  <c r="A46" i="32" s="1"/>
  <c r="A48" i="32" s="1"/>
  <c r="A51" i="32" s="1"/>
  <c r="A52" i="32" s="1"/>
  <c r="A53" i="32" s="1"/>
  <c r="A55" i="32" s="1"/>
  <c r="A57" i="32" s="1"/>
  <c r="A818" i="33"/>
  <c r="A303" i="34"/>
  <c r="A304" i="34" s="1"/>
  <c r="A306" i="34" s="1"/>
  <c r="A310" i="34" s="1"/>
  <c r="A312" i="34" s="1"/>
  <c r="A313" i="34" s="1"/>
  <c r="A314" i="34" s="1"/>
  <c r="A315" i="34" s="1"/>
  <c r="A316" i="34" s="1"/>
  <c r="A317" i="34" s="1"/>
  <c r="A319" i="34" s="1"/>
  <c r="A322" i="34" s="1"/>
  <c r="A323" i="34" s="1"/>
  <c r="A324" i="34" s="1"/>
  <c r="A327" i="34" s="1"/>
  <c r="A328" i="34" s="1"/>
  <c r="A329" i="34" s="1"/>
  <c r="A332" i="34" s="1"/>
  <c r="A333" i="34" s="1"/>
  <c r="A334" i="34" s="1"/>
  <c r="A336" i="34" s="1"/>
  <c r="A817" i="32"/>
  <c r="A815" i="32"/>
  <c r="A822" i="33" l="1"/>
  <c r="A820" i="32"/>
  <c r="A835" i="34"/>
  <c r="A837" i="34" s="1"/>
  <c r="A819" i="33"/>
  <c r="A823" i="33"/>
  <c r="A824" i="33" s="1"/>
  <c r="A821" i="33"/>
  <c r="A825" i="33" l="1"/>
  <c r="A827" i="33"/>
  <c r="A828" i="33" s="1"/>
  <c r="A829" i="33"/>
  <c r="A830" i="33" s="1"/>
  <c r="A831" i="33" s="1"/>
  <c r="A833" i="33" s="1"/>
  <c r="A851" i="34"/>
  <c r="A821" i="32"/>
  <c r="A849" i="33" l="1"/>
  <c r="A850" i="33" s="1"/>
  <c r="A854" i="34"/>
  <c r="A853" i="34"/>
  <c r="A823" i="32"/>
  <c r="A851" i="33" l="1"/>
  <c r="A853" i="33"/>
  <c r="A855" i="34"/>
  <c r="A824" i="32"/>
  <c r="A855" i="33" l="1"/>
  <c r="A859" i="34"/>
  <c r="A861" i="34"/>
  <c r="A825" i="32"/>
  <c r="A857" i="34"/>
  <c r="A859" i="33" l="1"/>
  <c r="A857" i="33"/>
  <c r="A826" i="32"/>
  <c r="A827" i="32"/>
  <c r="A829" i="32" s="1"/>
  <c r="A830" i="32" s="1"/>
  <c r="A831" i="32" s="1"/>
  <c r="A832" i="32" s="1"/>
  <c r="A833" i="32" s="1"/>
  <c r="A835" i="32" s="1"/>
  <c r="A848" i="32" s="1"/>
  <c r="A863" i="34"/>
  <c r="A865" i="34" s="1"/>
  <c r="A861" i="33" l="1"/>
  <c r="A850" i="32"/>
  <c r="A851" i="32" s="1"/>
  <c r="A852" i="32" l="1"/>
  <c r="A854" i="32" l="1"/>
  <c r="A856" i="32" l="1"/>
  <c r="A858" i="32" l="1"/>
  <c r="A860" i="32"/>
  <c r="A862" i="32"/>
  <c r="E24" i="21" l="1"/>
  <c r="L325" i="6" l="1"/>
  <c r="L324" i="6"/>
  <c r="P324" i="6" l="1"/>
  <c r="J324" i="6"/>
  <c r="J325" i="6"/>
  <c r="P325" i="6"/>
  <c r="N613" i="6" l="1"/>
  <c r="J647" i="6" l="1"/>
  <c r="J646" i="6"/>
  <c r="D239" i="4" l="1"/>
  <c r="D214" i="4"/>
  <c r="D153" i="4"/>
  <c r="D110" i="4"/>
  <c r="J110" i="4"/>
  <c r="F110" i="4"/>
  <c r="D106" i="4"/>
  <c r="D102" i="4"/>
  <c r="D98" i="4"/>
  <c r="D94" i="4"/>
  <c r="D90" i="4"/>
  <c r="D86" i="4"/>
  <c r="D82" i="4"/>
  <c r="D78" i="4"/>
  <c r="D74" i="4"/>
  <c r="T31" i="31" l="1"/>
  <c r="P58" i="31"/>
  <c r="N58" i="31"/>
  <c r="L58" i="31"/>
  <c r="J58" i="31"/>
  <c r="H58" i="31"/>
  <c r="J55" i="31"/>
  <c r="H55" i="31"/>
  <c r="J54" i="31"/>
  <c r="H54" i="31"/>
  <c r="J53" i="31"/>
  <c r="H53" i="31"/>
  <c r="J52" i="31"/>
  <c r="H52" i="31"/>
  <c r="J51" i="31"/>
  <c r="H51" i="31"/>
  <c r="P50" i="31"/>
  <c r="N50" i="31"/>
  <c r="L50" i="31"/>
  <c r="J50" i="31"/>
  <c r="H50" i="31"/>
  <c r="P49" i="31"/>
  <c r="N49" i="31"/>
  <c r="L49" i="31"/>
  <c r="J49" i="31"/>
  <c r="H49" i="31"/>
  <c r="P48" i="31"/>
  <c r="N48" i="31"/>
  <c r="L48" i="31"/>
  <c r="J48" i="31"/>
  <c r="H48" i="31"/>
  <c r="AL22" i="31"/>
  <c r="R22" i="31"/>
  <c r="P22" i="31"/>
  <c r="B13" i="31"/>
  <c r="AH58" i="31" l="1"/>
  <c r="AF58" i="31"/>
  <c r="AD58" i="31"/>
  <c r="AB58" i="31"/>
  <c r="Z58" i="31"/>
  <c r="AD50" i="31"/>
  <c r="Z50" i="31"/>
  <c r="AH50" i="31"/>
  <c r="AF49" i="31"/>
  <c r="AH49" i="31"/>
  <c r="J56" i="31"/>
  <c r="Z49" i="31"/>
  <c r="AB50" i="31"/>
  <c r="AB49" i="31"/>
  <c r="AD49" i="31"/>
  <c r="AF50" i="31"/>
  <c r="Z48" i="31"/>
  <c r="H56" i="31"/>
  <c r="AB48" i="31"/>
  <c r="B14" i="31"/>
  <c r="AD48" i="31"/>
  <c r="AF48" i="31"/>
  <c r="AH48" i="31"/>
  <c r="B15" i="31" l="1"/>
  <c r="B16" i="31" s="1"/>
  <c r="B17" i="31" l="1"/>
  <c r="B18" i="31" s="1"/>
  <c r="K30" i="26"/>
  <c r="B19" i="31" l="1"/>
  <c r="B20" i="31" s="1"/>
  <c r="B21" i="31" s="1"/>
  <c r="K13" i="26"/>
  <c r="B22" i="31" l="1"/>
  <c r="P200" i="6" l="1"/>
  <c r="B23" i="31"/>
  <c r="B26" i="31" s="1"/>
  <c r="P206" i="6"/>
  <c r="I13" i="26"/>
  <c r="I30" i="26"/>
  <c r="G31" i="26"/>
  <c r="G14" i="26"/>
  <c r="B27" i="31" l="1"/>
  <c r="B28" i="31" s="1"/>
  <c r="K12" i="26"/>
  <c r="I14" i="26"/>
  <c r="K14" i="26" s="1"/>
  <c r="K29" i="26"/>
  <c r="I31" i="26"/>
  <c r="K31" i="26" s="1"/>
  <c r="G21" i="26"/>
  <c r="G23" i="26" s="1"/>
  <c r="B29" i="31" l="1"/>
  <c r="B30" i="31" s="1"/>
  <c r="B31" i="31" s="1"/>
  <c r="B34" i="31" s="1"/>
  <c r="B35" i="31" s="1"/>
  <c r="B36" i="31" s="1"/>
  <c r="B37" i="31" s="1"/>
  <c r="B38" i="31" s="1"/>
  <c r="B39" i="31" s="1"/>
  <c r="B40" i="31" s="1"/>
  <c r="B41" i="31" s="1"/>
  <c r="B42" i="31" s="1"/>
  <c r="B43" i="31" s="1"/>
  <c r="B45" i="31" s="1"/>
  <c r="B48" i="31" s="1"/>
  <c r="B49" i="31" s="1"/>
  <c r="B50" i="31" s="1"/>
  <c r="B51" i="31" s="1"/>
  <c r="B52" i="31" s="1"/>
  <c r="B53" i="31" s="1"/>
  <c r="B54" i="31" s="1"/>
  <c r="B55" i="31" s="1"/>
  <c r="B56" i="31" s="1"/>
  <c r="B58" i="31" s="1"/>
  <c r="B60" i="31" s="1"/>
  <c r="A14" i="30" l="1"/>
  <c r="A15" i="30" s="1"/>
  <c r="A16" i="30" s="1"/>
  <c r="A17" i="30" l="1"/>
  <c r="A19" i="30" l="1"/>
  <c r="A20" i="30" l="1"/>
  <c r="A21" i="30" l="1"/>
  <c r="N22" i="13"/>
  <c r="A22" i="30" l="1"/>
  <c r="A23" i="30"/>
  <c r="A24" i="30" s="1"/>
  <c r="A26" i="30" s="1"/>
  <c r="A27" i="30" l="1"/>
  <c r="A28" i="30" l="1"/>
  <c r="A30" i="30"/>
  <c r="A31" i="30" s="1"/>
  <c r="A15" i="6"/>
  <c r="A32" i="30" l="1"/>
  <c r="A33" i="30" s="1"/>
  <c r="A34" i="30" s="1"/>
  <c r="A36" i="30" s="1"/>
  <c r="A16" i="6"/>
  <c r="A17" i="6" s="1"/>
  <c r="J208" i="6" l="1"/>
  <c r="J207" i="6"/>
  <c r="J206" i="6"/>
  <c r="J202" i="6"/>
  <c r="J201" i="6"/>
  <c r="J200" i="6"/>
  <c r="U50" i="30" l="1"/>
  <c r="U49" i="30"/>
  <c r="U26" i="29"/>
  <c r="U25" i="29"/>
  <c r="U24" i="29"/>
  <c r="U23" i="29"/>
  <c r="A14" i="29"/>
  <c r="A15" i="29" s="1"/>
  <c r="A16" i="29" s="1"/>
  <c r="A17" i="29" s="1"/>
  <c r="A18" i="29" s="1"/>
  <c r="A19" i="29" s="1"/>
  <c r="A20" i="29" s="1"/>
  <c r="A21" i="29" s="1"/>
  <c r="A22" i="29" s="1"/>
  <c r="A23" i="29" s="1"/>
  <c r="A24" i="29" s="1"/>
  <c r="A25" i="29" s="1"/>
  <c r="A26" i="29" s="1"/>
  <c r="A28" i="29" s="1"/>
  <c r="A13" i="26" l="1"/>
  <c r="A14" i="26" s="1"/>
  <c r="A16" i="26" s="1"/>
  <c r="A17" i="26" s="1"/>
  <c r="A20" i="26" s="1"/>
  <c r="A21" i="26" s="1"/>
  <c r="A22" i="26" s="1"/>
  <c r="A23" i="26" s="1"/>
  <c r="A25" i="26" s="1"/>
  <c r="B69" i="4" l="1"/>
  <c r="B70" i="4" l="1"/>
  <c r="B73" i="4" s="1"/>
  <c r="B74" i="4" l="1"/>
  <c r="B77" i="4" s="1"/>
  <c r="B78" i="4" l="1"/>
  <c r="B81" i="4" l="1"/>
  <c r="B82" i="4" s="1"/>
  <c r="B85" i="4" s="1"/>
  <c r="B86" i="4" l="1"/>
  <c r="B89" i="4" s="1"/>
  <c r="B90" i="4" l="1"/>
  <c r="B93" i="4" s="1"/>
  <c r="B94" i="4" s="1"/>
  <c r="B97" i="4" l="1"/>
  <c r="B98" i="4" s="1"/>
  <c r="B101" i="4" s="1"/>
  <c r="B102" i="4" l="1"/>
  <c r="B105" i="4" s="1"/>
  <c r="B106" i="4" s="1"/>
  <c r="B109" i="4" l="1"/>
  <c r="B110" i="4" l="1"/>
  <c r="B112" i="4" s="1"/>
  <c r="M21" i="19"/>
  <c r="B129" i="4" l="1"/>
  <c r="M48" i="19"/>
  <c r="M50" i="19"/>
  <c r="M49" i="19"/>
  <c r="G57" i="19"/>
  <c r="E57" i="19"/>
  <c r="B130" i="4" l="1"/>
  <c r="B131" i="4" s="1"/>
  <c r="B135" i="4" s="1"/>
  <c r="B136" i="4" s="1"/>
  <c r="B137" i="4" s="1"/>
  <c r="B138" i="4" s="1"/>
  <c r="B139" i="4" s="1"/>
  <c r="B140" i="4" s="1"/>
  <c r="B144" i="4" s="1"/>
  <c r="B145" i="4" s="1"/>
  <c r="B147" i="4" s="1"/>
  <c r="B148" i="4" s="1"/>
  <c r="B149" i="4" s="1"/>
  <c r="B152" i="4" s="1"/>
  <c r="B153" i="4" l="1"/>
  <c r="B156" i="4" s="1"/>
  <c r="B157" i="4" s="1"/>
  <c r="B158" i="4" s="1"/>
  <c r="B160" i="4" l="1"/>
  <c r="B174" i="4" s="1"/>
  <c r="B175" i="4" s="1"/>
  <c r="B176" i="4" s="1"/>
  <c r="B180" i="4" s="1"/>
  <c r="B181" i="4" s="1"/>
  <c r="B182" i="4" s="1"/>
  <c r="B183" i="4" s="1"/>
  <c r="B184" i="4" s="1"/>
  <c r="B188" i="4" s="1"/>
  <c r="B189" i="4" s="1"/>
  <c r="B190" i="4" s="1"/>
  <c r="B192" i="4" s="1"/>
  <c r="B193" i="4" s="1"/>
  <c r="B194" i="4" s="1"/>
  <c r="B198" i="4" s="1"/>
  <c r="B199" i="4" s="1"/>
  <c r="B201" i="4" s="1"/>
  <c r="B202" i="4" s="1"/>
  <c r="B206" i="4" s="1"/>
  <c r="B207" i="4" s="1"/>
  <c r="B209" i="4" s="1"/>
  <c r="B210" i="4" s="1"/>
  <c r="B213" i="4" s="1"/>
  <c r="B214" i="4" l="1"/>
  <c r="B219" i="4" l="1"/>
  <c r="B220" i="4" s="1"/>
  <c r="B223" i="4" s="1"/>
  <c r="B224" i="4" s="1"/>
  <c r="B229" i="4" s="1"/>
  <c r="B230" i="4" s="1"/>
  <c r="B233" i="4" s="1"/>
  <c r="B234" i="4" s="1"/>
  <c r="B238" i="4" s="1"/>
  <c r="B239" i="4" l="1"/>
  <c r="B241" i="4" s="1"/>
  <c r="E55" i="24" l="1"/>
  <c r="E55" i="25"/>
  <c r="A11" i="21" l="1"/>
  <c r="A12" i="21" s="1"/>
  <c r="A13" i="21" s="1"/>
  <c r="A16" i="21" s="1"/>
  <c r="A17" i="21" s="1"/>
  <c r="A18" i="21" s="1"/>
  <c r="A19" i="21" s="1"/>
  <c r="A20" i="21" s="1"/>
  <c r="A21" i="21" s="1"/>
  <c r="A26" i="21" l="1"/>
  <c r="A29" i="21" s="1"/>
  <c r="A32" i="21" s="1"/>
  <c r="A33" i="21" s="1"/>
  <c r="A34" i="21" s="1"/>
  <c r="A35" i="21" s="1"/>
  <c r="A36" i="21" s="1"/>
  <c r="A38" i="21" s="1"/>
  <c r="A40" i="21" s="1"/>
  <c r="G24" i="21"/>
  <c r="R50" i="31" l="1"/>
  <c r="T58" i="7"/>
  <c r="X50" i="31" l="1"/>
  <c r="AL50" i="31" s="1"/>
  <c r="V50" i="31"/>
  <c r="J340" i="6" l="1"/>
  <c r="J339" i="6"/>
  <c r="T202" i="7" l="1"/>
  <c r="AJ202" i="7" s="1"/>
  <c r="AB200" i="7"/>
  <c r="X200" i="7"/>
  <c r="V200" i="7"/>
  <c r="J200" i="7"/>
  <c r="H200" i="7"/>
  <c r="T194" i="7"/>
  <c r="AJ194" i="7" s="1"/>
  <c r="H187" i="7"/>
  <c r="X187" i="7"/>
  <c r="V187" i="7"/>
  <c r="J187" i="7"/>
  <c r="AB175" i="7"/>
  <c r="X175" i="7"/>
  <c r="V175" i="7"/>
  <c r="J175" i="7"/>
  <c r="H175" i="7"/>
  <c r="AB167" i="7"/>
  <c r="X167" i="7"/>
  <c r="V167" i="7"/>
  <c r="J167" i="7"/>
  <c r="H167" i="7"/>
  <c r="AJ129" i="7"/>
  <c r="T128" i="7"/>
  <c r="AH126" i="7"/>
  <c r="AF126" i="7"/>
  <c r="AD126" i="7"/>
  <c r="AB126" i="7"/>
  <c r="X126" i="7"/>
  <c r="R126" i="7"/>
  <c r="P126" i="7"/>
  <c r="N126" i="7"/>
  <c r="J126" i="7"/>
  <c r="H126" i="7"/>
  <c r="AH113" i="7"/>
  <c r="AF113" i="7"/>
  <c r="AD113" i="7"/>
  <c r="R113" i="7"/>
  <c r="P113" i="7"/>
  <c r="N113" i="7"/>
  <c r="R101" i="7"/>
  <c r="AH101" i="7"/>
  <c r="AF101" i="7"/>
  <c r="AD101" i="7"/>
  <c r="P101" i="7"/>
  <c r="N101" i="7"/>
  <c r="AD93" i="7"/>
  <c r="P93" i="7"/>
  <c r="AH93" i="7"/>
  <c r="AF93" i="7"/>
  <c r="R93" i="7"/>
  <c r="N93" i="7"/>
  <c r="AJ59" i="7"/>
  <c r="AB56" i="7"/>
  <c r="X56" i="7"/>
  <c r="J56" i="7"/>
  <c r="H56" i="7"/>
  <c r="J41" i="31" l="1"/>
  <c r="N29" i="31"/>
  <c r="N30" i="31"/>
  <c r="J29" i="31"/>
  <c r="J42" i="31"/>
  <c r="P29" i="31"/>
  <c r="P30" i="31"/>
  <c r="AH115" i="7"/>
  <c r="AH130" i="7" s="1"/>
  <c r="AD115" i="7"/>
  <c r="AD130" i="7" s="1"/>
  <c r="X189" i="7"/>
  <c r="X204" i="7" s="1"/>
  <c r="H189" i="7"/>
  <c r="H204" i="7" s="1"/>
  <c r="J189" i="7"/>
  <c r="J204" i="7" s="1"/>
  <c r="V189" i="7"/>
  <c r="V204" i="7" s="1"/>
  <c r="AF115" i="7"/>
  <c r="AF130" i="7" s="1"/>
  <c r="N115" i="7"/>
  <c r="N130" i="7" s="1"/>
  <c r="R115" i="7"/>
  <c r="R130" i="7" s="1"/>
  <c r="P115" i="7"/>
  <c r="P130" i="7" s="1"/>
  <c r="AO33" i="7" l="1"/>
  <c r="AO32" i="7"/>
  <c r="AO25" i="7"/>
  <c r="AO24" i="7"/>
  <c r="AO22" i="7"/>
  <c r="L17" i="31" l="1"/>
  <c r="J17" i="31"/>
  <c r="P17" i="31"/>
  <c r="L31" i="13" l="1"/>
  <c r="O31" i="13"/>
  <c r="L30" i="13"/>
  <c r="O30" i="13"/>
  <c r="N30" i="13"/>
  <c r="O29" i="13"/>
  <c r="L29" i="13"/>
  <c r="F29" i="13"/>
  <c r="O26" i="13"/>
  <c r="L26" i="13"/>
  <c r="N26" i="13"/>
  <c r="O25" i="13"/>
  <c r="L25" i="13"/>
  <c r="N25" i="13"/>
  <c r="O24" i="13"/>
  <c r="L24" i="13"/>
  <c r="N24" i="13"/>
  <c r="O23" i="13"/>
  <c r="L23" i="13"/>
  <c r="N23" i="13"/>
  <c r="P23" i="13" s="1"/>
  <c r="J15" i="13"/>
  <c r="O17" i="13"/>
  <c r="A16" i="13"/>
  <c r="A17" i="13" s="1"/>
  <c r="A18" i="13" s="1"/>
  <c r="A22" i="13" s="1"/>
  <c r="A23" i="13" s="1"/>
  <c r="A24" i="13" s="1"/>
  <c r="A25" i="13" s="1"/>
  <c r="A26" i="13" s="1"/>
  <c r="A27" i="13" s="1"/>
  <c r="A29" i="13" s="1"/>
  <c r="A30" i="13" s="1"/>
  <c r="A31" i="13" s="1"/>
  <c r="A32" i="13" s="1"/>
  <c r="A34" i="13" s="1"/>
  <c r="P26" i="13" l="1"/>
  <c r="P25" i="13"/>
  <c r="P24" i="13"/>
  <c r="F26" i="13"/>
  <c r="N29" i="13"/>
  <c r="P29" i="13" s="1"/>
  <c r="O15" i="13"/>
  <c r="F16" i="13"/>
  <c r="F31" i="13"/>
  <c r="F23" i="13"/>
  <c r="P30" i="13"/>
  <c r="E18" i="13"/>
  <c r="F24" i="13"/>
  <c r="F15" i="13"/>
  <c r="F30" i="13"/>
  <c r="N31" i="13"/>
  <c r="P31" i="13" s="1"/>
  <c r="D27" i="13"/>
  <c r="D32" i="13" s="1"/>
  <c r="F17" i="13"/>
  <c r="D18" i="13"/>
  <c r="F25" i="13"/>
  <c r="E27" i="13"/>
  <c r="E32" i="13" s="1"/>
  <c r="F22" i="13"/>
  <c r="J22" i="13" l="1"/>
  <c r="J16" i="13"/>
  <c r="O16" i="13" s="1"/>
  <c r="H27" i="13"/>
  <c r="H32" i="13" s="1"/>
  <c r="E34" i="13"/>
  <c r="F18" i="13"/>
  <c r="F27" i="13"/>
  <c r="F32" i="13" s="1"/>
  <c r="N27" i="13"/>
  <c r="N32" i="13" s="1"/>
  <c r="D34" i="13"/>
  <c r="J18" i="13" l="1"/>
  <c r="O18" i="13"/>
  <c r="F34" i="13"/>
  <c r="A14" i="11" l="1"/>
  <c r="A15" i="11" s="1"/>
  <c r="A16" i="11" s="1"/>
  <c r="A14" i="10"/>
  <c r="A15" i="10" s="1"/>
  <c r="A16" i="10" s="1"/>
  <c r="A17" i="10" s="1"/>
  <c r="A18" i="10" s="1"/>
  <c r="A20" i="10" s="1"/>
  <c r="A21" i="10" s="1"/>
  <c r="A24" i="10" s="1"/>
  <c r="A25" i="10" s="1"/>
  <c r="A26" i="10" s="1"/>
  <c r="A27" i="10" s="1"/>
  <c r="A28" i="10" s="1"/>
  <c r="A30" i="10" s="1"/>
  <c r="A31" i="10" s="1"/>
  <c r="A34" i="10" s="1"/>
  <c r="A35" i="10" s="1"/>
  <c r="A36" i="10" s="1"/>
  <c r="A37" i="10" s="1"/>
  <c r="A38" i="10" s="1"/>
  <c r="A40" i="10" s="1"/>
  <c r="A14" i="9"/>
  <c r="I28" i="8"/>
  <c r="A13" i="8" a="1"/>
  <c r="A13" i="8" s="1"/>
  <c r="L22" i="31"/>
  <c r="N22" i="31"/>
  <c r="B13" i="7"/>
  <c r="A15" i="9" l="1"/>
  <c r="A16" i="9" s="1"/>
  <c r="A17" i="9" s="1"/>
  <c r="A18" i="9" s="1"/>
  <c r="A20" i="9" s="1"/>
  <c r="A21" i="9" s="1"/>
  <c r="A22" i="9" s="1"/>
  <c r="A23" i="9" s="1"/>
  <c r="A26" i="9" s="1"/>
  <c r="A27" i="9" s="1"/>
  <c r="A28" i="9" s="1"/>
  <c r="A29" i="9" s="1"/>
  <c r="A30" i="9" s="1"/>
  <c r="A32" i="9" s="1"/>
  <c r="A33" i="9" s="1"/>
  <c r="A34" i="9" s="1"/>
  <c r="A35" i="9" s="1"/>
  <c r="A38" i="9" s="1"/>
  <c r="A39" i="9" s="1"/>
  <c r="A40" i="9" s="1"/>
  <c r="A41" i="9" s="1"/>
  <c r="A42" i="9" s="1"/>
  <c r="A44" i="9" s="1"/>
  <c r="A45" i="9" s="1"/>
  <c r="A46" i="9" s="1"/>
  <c r="A47" i="9" s="1"/>
  <c r="A50" i="9" s="1"/>
  <c r="A51" i="9" s="1"/>
  <c r="A52" i="9" s="1"/>
  <c r="A53" i="9" s="1"/>
  <c r="A54" i="9" s="1"/>
  <c r="A56" i="9" s="1"/>
  <c r="A57" i="9" s="1"/>
  <c r="A58" i="9" s="1"/>
  <c r="A59" i="9" s="1"/>
  <c r="A62" i="9" s="1"/>
  <c r="A63" i="9" s="1"/>
  <c r="A64" i="9" s="1"/>
  <c r="A65" i="9" s="1"/>
  <c r="A66" i="9" s="1"/>
  <c r="A68" i="9" s="1"/>
  <c r="A69" i="9" s="1"/>
  <c r="A70" i="9" s="1"/>
  <c r="A71" i="9" s="1"/>
  <c r="A74" i="9" s="1"/>
  <c r="A75" i="9" s="1"/>
  <c r="A76" i="9" s="1"/>
  <c r="A77" i="9" s="1"/>
  <c r="A78" i="9" s="1"/>
  <c r="A80" i="9" s="1"/>
  <c r="A81" i="9" s="1"/>
  <c r="A82" i="9" s="1"/>
  <c r="A83" i="9" s="1"/>
  <c r="A86" i="9" s="1"/>
  <c r="A55" i="10"/>
  <c r="A56" i="10" s="1"/>
  <c r="A57" i="10" s="1"/>
  <c r="A58" i="10" s="1"/>
  <c r="A60" i="10" s="1"/>
  <c r="A61" i="10" s="1"/>
  <c r="A45" i="10" s="1"/>
  <c r="A46" i="10" s="1"/>
  <c r="A47" i="10" s="1"/>
  <c r="A48" i="10" s="1"/>
  <c r="A50" i="10" s="1"/>
  <c r="A51" i="10" s="1"/>
  <c r="A65" i="10" s="1"/>
  <c r="A66" i="10" s="1"/>
  <c r="A67" i="10" s="1"/>
  <c r="A68" i="10" s="1"/>
  <c r="A70" i="10" s="1"/>
  <c r="A71" i="10" s="1"/>
  <c r="A41" i="10"/>
  <c r="A17" i="11"/>
  <c r="A19" i="11" s="1"/>
  <c r="A20" i="11" s="1"/>
  <c r="A23" i="11" s="1"/>
  <c r="A24" i="11" s="1"/>
  <c r="A25" i="11" s="1"/>
  <c r="M115" i="11"/>
  <c r="O115" i="11" s="1"/>
  <c r="Q115" i="11" s="1"/>
  <c r="M27" i="9"/>
  <c r="O27" i="9" s="1"/>
  <c r="M75" i="9"/>
  <c r="O75" i="9" s="1"/>
  <c r="M109" i="9"/>
  <c r="O109" i="9" s="1"/>
  <c r="M133" i="9"/>
  <c r="O133" i="9" s="1"/>
  <c r="M24" i="11"/>
  <c r="O24" i="11" s="1"/>
  <c r="Q24" i="11" s="1"/>
  <c r="M121" i="9"/>
  <c r="O121" i="9" s="1"/>
  <c r="M145" i="9"/>
  <c r="O145" i="9" s="1"/>
  <c r="M169" i="9"/>
  <c r="O169" i="9" s="1"/>
  <c r="M55" i="10"/>
  <c r="O55" i="10" s="1"/>
  <c r="M260" i="9"/>
  <c r="O260" i="9" s="1"/>
  <c r="M118" i="10"/>
  <c r="O118" i="10" s="1"/>
  <c r="I45" i="8"/>
  <c r="M236" i="9"/>
  <c r="O236" i="9" s="1"/>
  <c r="M97" i="11"/>
  <c r="O97" i="11" s="1"/>
  <c r="Q97" i="11" s="1"/>
  <c r="M168" i="11"/>
  <c r="O168" i="11" s="1"/>
  <c r="Q168" i="11" s="1"/>
  <c r="M69" i="11"/>
  <c r="O69" i="11" s="1"/>
  <c r="Q69" i="11" s="1"/>
  <c r="M33" i="11"/>
  <c r="O33" i="11" s="1"/>
  <c r="Q33" i="11" s="1"/>
  <c r="M159" i="11"/>
  <c r="O159" i="11" s="1"/>
  <c r="Q159" i="11" s="1"/>
  <c r="M15" i="10"/>
  <c r="O15" i="10" s="1"/>
  <c r="M65" i="10"/>
  <c r="O65" i="10" s="1"/>
  <c r="M45" i="10"/>
  <c r="O45" i="10" s="1"/>
  <c r="M35" i="10"/>
  <c r="O35" i="10" s="1"/>
  <c r="M25" i="10"/>
  <c r="O25" i="10" s="1"/>
  <c r="M224" i="9"/>
  <c r="O224" i="9" s="1"/>
  <c r="M60" i="11"/>
  <c r="O60" i="11" s="1"/>
  <c r="Q60" i="11" s="1"/>
  <c r="M51" i="11"/>
  <c r="O51" i="11" s="1"/>
  <c r="Q51" i="11" s="1"/>
  <c r="M87" i="9"/>
  <c r="O87" i="9" s="1"/>
  <c r="M15" i="11"/>
  <c r="O15" i="11" s="1"/>
  <c r="Q15" i="11" s="1"/>
  <c r="M42" i="11"/>
  <c r="O42" i="11" s="1"/>
  <c r="Q42" i="11" s="1"/>
  <c r="M106" i="11"/>
  <c r="O106" i="11" s="1"/>
  <c r="Q106" i="11" s="1"/>
  <c r="M200" i="9"/>
  <c r="O200" i="9" s="1"/>
  <c r="M248" i="9"/>
  <c r="O248" i="9" s="1"/>
  <c r="M88" i="11"/>
  <c r="O88" i="11" s="1"/>
  <c r="Q88" i="11" s="1"/>
  <c r="M15" i="9"/>
  <c r="O15" i="9" s="1"/>
  <c r="M39" i="9"/>
  <c r="O39" i="9" s="1"/>
  <c r="M181" i="9"/>
  <c r="O181" i="9" s="1"/>
  <c r="Q181" i="9" s="1"/>
  <c r="M96" i="10"/>
  <c r="O96" i="10" s="1"/>
  <c r="M106" i="10"/>
  <c r="O106" i="10" s="1"/>
  <c r="M140" i="11"/>
  <c r="O140" i="11" s="1"/>
  <c r="Q140" i="11" s="1"/>
  <c r="M195" i="11"/>
  <c r="O195" i="11" s="1"/>
  <c r="Q195" i="11" s="1"/>
  <c r="M212" i="9"/>
  <c r="O212" i="9" s="1"/>
  <c r="M51" i="9"/>
  <c r="O51" i="9" s="1"/>
  <c r="M63" i="9"/>
  <c r="O63" i="9" s="1"/>
  <c r="M157" i="9"/>
  <c r="O157" i="9" s="1"/>
  <c r="M177" i="11"/>
  <c r="O177" i="11" s="1"/>
  <c r="Q177" i="11" s="1"/>
  <c r="M186" i="11"/>
  <c r="O186" i="11" s="1"/>
  <c r="Q186" i="11" s="1"/>
  <c r="A14" i="8" a="1"/>
  <c r="A14" i="8" s="1"/>
  <c r="B14" i="7"/>
  <c r="A87" i="9" l="1"/>
  <c r="A88" i="9"/>
  <c r="A89" i="9" s="1"/>
  <c r="A85" i="10"/>
  <c r="A86" i="10" s="1"/>
  <c r="A87" i="10" s="1"/>
  <c r="A88" i="10" s="1"/>
  <c r="A89" i="10" s="1"/>
  <c r="A91" i="10" s="1"/>
  <c r="A92" i="10" s="1"/>
  <c r="A95" i="10" s="1"/>
  <c r="A96" i="10" s="1"/>
  <c r="A97" i="10" s="1"/>
  <c r="A98" i="10" s="1"/>
  <c r="A99" i="10" s="1"/>
  <c r="A101" i="10" s="1"/>
  <c r="A102" i="10" s="1"/>
  <c r="A105" i="10" s="1"/>
  <c r="A106" i="10" s="1"/>
  <c r="A107" i="10" s="1"/>
  <c r="A108" i="10" s="1"/>
  <c r="A109" i="10" s="1"/>
  <c r="A111" i="10" s="1"/>
  <c r="A112" i="10" s="1"/>
  <c r="A113" i="10" s="1"/>
  <c r="A114" i="10" s="1"/>
  <c r="A117" i="10" s="1"/>
  <c r="A118" i="10" s="1"/>
  <c r="A119" i="10" s="1"/>
  <c r="A120" i="10" s="1"/>
  <c r="A121" i="10" s="1"/>
  <c r="A123" i="10" s="1"/>
  <c r="A124" i="10" s="1"/>
  <c r="A125" i="10" s="1"/>
  <c r="A126" i="10" s="1"/>
  <c r="A26" i="11"/>
  <c r="A28" i="11" s="1"/>
  <c r="A29" i="11" s="1"/>
  <c r="A32" i="11" s="1"/>
  <c r="A33" i="11" s="1"/>
  <c r="A15" i="8" a="1"/>
  <c r="A15" i="8" s="1"/>
  <c r="B15" i="7"/>
  <c r="A90" i="9" l="1"/>
  <c r="A34" i="11"/>
  <c r="A35" i="11" s="1"/>
  <c r="A37" i="11" s="1"/>
  <c r="A38" i="11" s="1"/>
  <c r="A51" i="11" s="1"/>
  <c r="A16" i="8" a="1"/>
  <c r="A16" i="8" s="1"/>
  <c r="B16" i="7"/>
  <c r="A92" i="9" l="1"/>
  <c r="A52" i="11"/>
  <c r="A53" i="11" s="1"/>
  <c r="A55" i="11" s="1"/>
  <c r="A56" i="11" s="1"/>
  <c r="A42" i="11" s="1"/>
  <c r="A43" i="11" s="1"/>
  <c r="A44" i="11" s="1"/>
  <c r="A46" i="11" s="1"/>
  <c r="A47" i="11" s="1"/>
  <c r="A60" i="11" s="1"/>
  <c r="B17" i="7"/>
  <c r="A19" i="8" a="1"/>
  <c r="A19" i="8" s="1"/>
  <c r="B18" i="7"/>
  <c r="A93" i="9" l="1"/>
  <c r="A61" i="11"/>
  <c r="A62" i="11" s="1"/>
  <c r="A64" i="11" s="1"/>
  <c r="A65" i="11" s="1"/>
  <c r="A68" i="11" s="1"/>
  <c r="A69" i="11" s="1"/>
  <c r="A20" i="8" a="1"/>
  <c r="A20" i="8" s="1"/>
  <c r="B19" i="7"/>
  <c r="A94" i="9" l="1"/>
  <c r="A95" i="9" s="1"/>
  <c r="A108" i="9" s="1"/>
  <c r="A70" i="11"/>
  <c r="A71" i="11" s="1"/>
  <c r="A73" i="11" s="1"/>
  <c r="A74" i="11" s="1"/>
  <c r="A87" i="11" s="1"/>
  <c r="A88" i="11" s="1"/>
  <c r="B20" i="7"/>
  <c r="B21" i="7" s="1"/>
  <c r="A21" i="8" a="1"/>
  <c r="A21" i="8" s="1"/>
  <c r="A109" i="9" l="1"/>
  <c r="A110" i="9"/>
  <c r="A111" i="9" s="1"/>
  <c r="A112" i="9" s="1"/>
  <c r="A114" i="9" s="1"/>
  <c r="A115" i="9" s="1"/>
  <c r="A116" i="9" s="1"/>
  <c r="A117" i="9" s="1"/>
  <c r="A120" i="9" s="1"/>
  <c r="A121" i="9" s="1"/>
  <c r="A122" i="9" s="1"/>
  <c r="A123" i="9" s="1"/>
  <c r="A124" i="9" s="1"/>
  <c r="A89" i="11"/>
  <c r="A90" i="11" s="1"/>
  <c r="A92" i="11" s="1"/>
  <c r="A93" i="11" s="1"/>
  <c r="A96" i="11" s="1"/>
  <c r="A97" i="11" s="1"/>
  <c r="A22" i="8" a="1"/>
  <c r="A22" i="8" s="1"/>
  <c r="A25" i="8" s="1" a="1"/>
  <c r="A25" i="8" s="1"/>
  <c r="A26" i="8" s="1" a="1"/>
  <c r="A26" i="8" s="1"/>
  <c r="A27" i="8" s="1" a="1"/>
  <c r="A27" i="8" s="1"/>
  <c r="A28" i="8" s="1" a="1"/>
  <c r="A28" i="8" s="1"/>
  <c r="A29" i="8" s="1" a="1"/>
  <c r="A29" i="8" s="1"/>
  <c r="A30" i="8" s="1" a="1"/>
  <c r="A30" i="8" s="1"/>
  <c r="A31" i="8" s="1" a="1"/>
  <c r="A31" i="8" s="1"/>
  <c r="A34" i="8" s="1" a="1"/>
  <c r="A34" i="8" s="1"/>
  <c r="A35" i="8" s="1" a="1"/>
  <c r="A35" i="8" s="1"/>
  <c r="A36" i="8" s="1" a="1"/>
  <c r="A36" i="8" s="1"/>
  <c r="A37" i="8" s="1" a="1"/>
  <c r="A37" i="8" s="1"/>
  <c r="A38" i="8" s="1" a="1"/>
  <c r="A38" i="8" s="1"/>
  <c r="A39" i="8" s="1" a="1"/>
  <c r="A39" i="8" s="1"/>
  <c r="A42" i="8" s="1" a="1"/>
  <c r="A42" i="8" s="1"/>
  <c r="A43" i="8" s="1" a="1"/>
  <c r="A43" i="8" s="1"/>
  <c r="A44" i="8" s="1" a="1"/>
  <c r="A44" i="8" s="1"/>
  <c r="A45" i="8" s="1" a="1"/>
  <c r="A45" i="8" s="1"/>
  <c r="A47" i="8" s="1" a="1"/>
  <c r="A47" i="8" s="1"/>
  <c r="B22" i="7"/>
  <c r="A98" i="11" l="1"/>
  <c r="A99" i="11" s="1"/>
  <c r="A101" i="11" s="1"/>
  <c r="A102" i="11" s="1"/>
  <c r="A105" i="11" s="1"/>
  <c r="A106" i="11" s="1"/>
  <c r="B23" i="7"/>
  <c r="B26" i="7" s="1"/>
  <c r="B27" i="7" s="1"/>
  <c r="B28" i="7" s="1"/>
  <c r="B29" i="7" s="1"/>
  <c r="B30" i="7" s="1"/>
  <c r="B31" i="7" s="1"/>
  <c r="B34" i="7" s="1"/>
  <c r="B35" i="7" s="1"/>
  <c r="B36" i="7" s="1"/>
  <c r="B37" i="7" s="1"/>
  <c r="B38" i="7" s="1"/>
  <c r="A107" i="11" l="1"/>
  <c r="A108" i="11" s="1"/>
  <c r="A110" i="11" s="1"/>
  <c r="A111" i="11" s="1"/>
  <c r="A114" i="11" s="1"/>
  <c r="A115" i="11" s="1"/>
  <c r="B39" i="7"/>
  <c r="B40" i="7" s="1"/>
  <c r="B41" i="7" s="1"/>
  <c r="B42" i="7" s="1"/>
  <c r="B43" i="7" s="1"/>
  <c r="B45" i="7" s="1"/>
  <c r="B48" i="7" s="1"/>
  <c r="B49" i="7" s="1"/>
  <c r="B50" i="7" s="1"/>
  <c r="B51" i="7" s="1"/>
  <c r="B52" i="7" s="1"/>
  <c r="B53" i="7" s="1"/>
  <c r="B54" i="7" s="1"/>
  <c r="B55" i="7" s="1"/>
  <c r="B56" i="7" s="1"/>
  <c r="B58" i="7" s="1"/>
  <c r="B60" i="7" s="1"/>
  <c r="A116" i="11" l="1"/>
  <c r="A117" i="11" s="1"/>
  <c r="A119" i="11" s="1"/>
  <c r="A120" i="11" s="1"/>
  <c r="A123" i="11" s="1"/>
  <c r="A124" i="11" s="1"/>
  <c r="A125" i="11" s="1"/>
  <c r="A127" i="11" s="1"/>
  <c r="A128" i="11" s="1"/>
  <c r="A131" i="11" s="1"/>
  <c r="A132" i="11" s="1"/>
  <c r="A18" i="6"/>
  <c r="A19" i="6" l="1"/>
  <c r="A20" i="6" l="1"/>
  <c r="A22" i="6" l="1"/>
  <c r="A23" i="6" s="1"/>
  <c r="A24" i="6" l="1"/>
  <c r="A26" i="6" s="1"/>
  <c r="A29" i="6" s="1"/>
  <c r="A30" i="6" s="1"/>
  <c r="A31" i="6" s="1"/>
  <c r="A32" i="6" s="1"/>
  <c r="A33" i="6" l="1"/>
  <c r="A34" i="6" l="1"/>
  <c r="A35" i="6" s="1"/>
  <c r="A36" i="6" s="1"/>
  <c r="A38" i="6" l="1"/>
  <c r="A39" i="6" s="1"/>
  <c r="A40" i="6" s="1"/>
  <c r="A42" i="6" l="1"/>
  <c r="A45" i="6" l="1"/>
  <c r="A46" i="6" s="1"/>
  <c r="A48" i="6" s="1"/>
  <c r="A49" i="6" s="1"/>
  <c r="A50" i="6" l="1"/>
  <c r="A52" i="6" s="1"/>
  <c r="A53" i="6" s="1"/>
  <c r="A54" i="6" s="1"/>
  <c r="A62" i="6" l="1"/>
  <c r="A63" i="6" s="1"/>
  <c r="A65" i="6" s="1"/>
  <c r="A66" i="6" s="1"/>
  <c r="A67" i="6" s="1"/>
  <c r="A69" i="6" s="1"/>
  <c r="A86" i="6" s="1"/>
  <c r="A87" i="6" s="1"/>
  <c r="A89" i="6" l="1"/>
  <c r="J175" i="4"/>
  <c r="J130" i="4"/>
  <c r="K23" i="5"/>
  <c r="U22" i="5"/>
  <c r="U21" i="5"/>
  <c r="U20" i="5"/>
  <c r="A19" i="5"/>
  <c r="D45" i="4"/>
  <c r="D33" i="4"/>
  <c r="D25" i="4"/>
  <c r="B15" i="4"/>
  <c r="A90" i="6" l="1"/>
  <c r="A92" i="6" s="1"/>
  <c r="U19" i="5"/>
  <c r="J69" i="4"/>
  <c r="Q34" i="5"/>
  <c r="Q32" i="5"/>
  <c r="Q31" i="5"/>
  <c r="U31" i="5"/>
  <c r="U33" i="5"/>
  <c r="U43" i="5"/>
  <c r="Q30" i="5"/>
  <c r="U34" i="5"/>
  <c r="Q43" i="5"/>
  <c r="K45" i="5"/>
  <c r="U30" i="5"/>
  <c r="I45" i="5"/>
  <c r="Q33" i="5"/>
  <c r="Q42" i="5"/>
  <c r="U42" i="5"/>
  <c r="U32" i="5"/>
  <c r="W49" i="5"/>
  <c r="I35" i="5"/>
  <c r="U44" i="5"/>
  <c r="F45" i="4"/>
  <c r="F25" i="4"/>
  <c r="F33" i="4"/>
  <c r="U23" i="5"/>
  <c r="Q44" i="5"/>
  <c r="K35" i="5"/>
  <c r="A20" i="5"/>
  <c r="A21" i="5" s="1"/>
  <c r="B16" i="4"/>
  <c r="A93" i="6" l="1"/>
  <c r="A94" i="6" s="1"/>
  <c r="Y32" i="5"/>
  <c r="Y33" i="5"/>
  <c r="Y31" i="5"/>
  <c r="Y43" i="5"/>
  <c r="Y34" i="5"/>
  <c r="Y30" i="5"/>
  <c r="A22" i="5"/>
  <c r="A23" i="5" s="1"/>
  <c r="Y42" i="5"/>
  <c r="U35" i="5"/>
  <c r="F47" i="4"/>
  <c r="Q35" i="5"/>
  <c r="U45" i="5"/>
  <c r="Y44" i="5"/>
  <c r="Q45" i="5"/>
  <c r="B17" i="4"/>
  <c r="B18" i="4" s="1"/>
  <c r="Y35" i="5" l="1"/>
  <c r="H130" i="4" s="1"/>
  <c r="A96" i="6"/>
  <c r="Y45" i="5"/>
  <c r="H175" i="4" s="1"/>
  <c r="B19" i="4"/>
  <c r="B20" i="4" s="1"/>
  <c r="B21" i="4" s="1"/>
  <c r="A25" i="5"/>
  <c r="A100" i="6" l="1"/>
  <c r="A28" i="5"/>
  <c r="B22" i="4"/>
  <c r="A101" i="6" l="1"/>
  <c r="A30" i="5"/>
  <c r="A31" i="5" s="1"/>
  <c r="A32" i="5" s="1"/>
  <c r="B23" i="4"/>
  <c r="A104" i="6" l="1"/>
  <c r="A33" i="5"/>
  <c r="A34" i="5" s="1"/>
  <c r="B24" i="4"/>
  <c r="A107" i="6" l="1"/>
  <c r="A35" i="5"/>
  <c r="A37" i="5" s="1"/>
  <c r="A40" i="5" s="1"/>
  <c r="A42" i="5" s="1"/>
  <c r="A43" i="5" s="1"/>
  <c r="B25" i="4"/>
  <c r="B28" i="4" s="1"/>
  <c r="B29" i="4" s="1"/>
  <c r="B30" i="4" s="1"/>
  <c r="B31" i="4" s="1"/>
  <c r="B32" i="4" s="1"/>
  <c r="B33" i="4" s="1"/>
  <c r="B36" i="4" s="1"/>
  <c r="B37" i="4" s="1"/>
  <c r="B38" i="4" s="1"/>
  <c r="B39" i="4" s="1"/>
  <c r="B40" i="4" s="1"/>
  <c r="B41" i="4" s="1"/>
  <c r="B42" i="4" s="1"/>
  <c r="B43" i="4" s="1"/>
  <c r="B44" i="4" s="1"/>
  <c r="B45" i="4" s="1"/>
  <c r="B47" i="4" s="1"/>
  <c r="A108" i="6" l="1"/>
  <c r="A109" i="6" s="1"/>
  <c r="A44" i="5"/>
  <c r="A45" i="5" s="1"/>
  <c r="A47" i="5" s="1"/>
  <c r="A49" i="5" s="1"/>
  <c r="A113" i="6" l="1"/>
  <c r="A114" i="6" s="1"/>
  <c r="A115" i="6" s="1"/>
  <c r="A117" i="6" s="1"/>
  <c r="A118" i="6" s="1"/>
  <c r="A119" i="6" s="1"/>
  <c r="AB187" i="7"/>
  <c r="AB189" i="7" s="1"/>
  <c r="AB204" i="7" s="1"/>
  <c r="A121" i="6" l="1"/>
  <c r="A140" i="6" l="1"/>
  <c r="A141" i="6" s="1"/>
  <c r="A143" i="6" s="1"/>
  <c r="A144" i="6" l="1"/>
  <c r="A145" i="6" s="1"/>
  <c r="A147" i="6" s="1"/>
  <c r="A148" i="6" s="1"/>
  <c r="A149" i="6" s="1"/>
  <c r="A151" i="6" s="1"/>
  <c r="A154" i="6" s="1"/>
  <c r="A155" i="6" s="1"/>
  <c r="A157" i="6" s="1"/>
  <c r="A158" i="6" s="1"/>
  <c r="A160" i="6" s="1"/>
  <c r="A161" i="6" s="1"/>
  <c r="A162" i="6" s="1"/>
  <c r="A164" i="6" s="1"/>
  <c r="A167" i="6" s="1"/>
  <c r="A168" i="6" s="1"/>
  <c r="A169" i="6" s="1"/>
  <c r="A171" i="6" s="1"/>
  <c r="A172" i="6" s="1"/>
  <c r="A173" i="6" s="1"/>
  <c r="A175" i="6" s="1"/>
  <c r="A192" i="6" s="1"/>
  <c r="A193" i="6" s="1"/>
  <c r="A195" i="6" s="1"/>
  <c r="A196" i="6" s="1"/>
  <c r="A199" i="6" s="1"/>
  <c r="A200" i="6" s="1"/>
  <c r="A201" i="6" s="1"/>
  <c r="A202" i="6" s="1"/>
  <c r="A205" i="6" s="1"/>
  <c r="A206" i="6" s="1"/>
  <c r="A207" i="6" s="1"/>
  <c r="A208" i="6" s="1"/>
  <c r="A211" i="6" l="1"/>
  <c r="A212" i="6" s="1"/>
  <c r="A245" i="6" s="1"/>
  <c r="J167" i="6" l="1"/>
  <c r="J40" i="31" l="1"/>
  <c r="J22" i="31" l="1"/>
  <c r="V22" i="31" l="1"/>
  <c r="T193" i="7" l="1"/>
  <c r="AJ193" i="7" s="1"/>
  <c r="T192" i="7" l="1"/>
  <c r="AJ192" i="7" l="1"/>
  <c r="T120" i="7" l="1"/>
  <c r="AJ120" i="7" s="1"/>
  <c r="AL120" i="7" s="1"/>
  <c r="T50" i="7" l="1"/>
  <c r="AJ50" i="7" s="1"/>
  <c r="AL50" i="7" l="1"/>
  <c r="AO50" i="7"/>
  <c r="G20" i="25" l="1"/>
  <c r="E20" i="25"/>
  <c r="E28" i="25" l="1"/>
  <c r="E43" i="25"/>
  <c r="E57" i="25" l="1"/>
  <c r="E22" i="19"/>
  <c r="E30" i="19"/>
  <c r="E45" i="19" l="1"/>
  <c r="E59" i="19" s="1"/>
  <c r="H16" i="13" l="1"/>
  <c r="H15" i="13" l="1"/>
  <c r="N15" i="13" s="1"/>
  <c r="L15" i="13" l="1"/>
  <c r="H17" i="13"/>
  <c r="P15" i="13"/>
  <c r="L17" i="13" l="1"/>
  <c r="N17" i="13"/>
  <c r="P17" i="13" l="1"/>
  <c r="O22" i="13" l="1"/>
  <c r="J27" i="13"/>
  <c r="J32" i="13" s="1"/>
  <c r="J34" i="13" s="1"/>
  <c r="L22" i="13"/>
  <c r="L27" i="13" s="1"/>
  <c r="L32" i="13" s="1"/>
  <c r="O27" i="13" l="1"/>
  <c r="O32" i="13" s="1"/>
  <c r="P22" i="13"/>
  <c r="P27" i="13" s="1"/>
  <c r="P32" i="13" s="1"/>
  <c r="O34" i="13" l="1"/>
  <c r="G29" i="21" l="1"/>
  <c r="A247" i="6" l="1"/>
  <c r="A248" i="6" l="1"/>
  <c r="A249" i="6" s="1"/>
  <c r="A250" i="6" l="1"/>
  <c r="A251" i="6" l="1"/>
  <c r="A253" i="6" l="1"/>
  <c r="A254" i="6" l="1"/>
  <c r="A256" i="6" s="1"/>
  <c r="A257" i="6" l="1"/>
  <c r="A259" i="6" s="1"/>
  <c r="A260" i="6" s="1"/>
  <c r="A263" i="6" l="1"/>
  <c r="A265" i="6" s="1"/>
  <c r="A266" i="6" s="1"/>
  <c r="A267" i="6" s="1"/>
  <c r="A268" i="6" s="1"/>
  <c r="A269" i="6" s="1"/>
  <c r="A271" i="6" s="1"/>
  <c r="A272" i="6" l="1"/>
  <c r="A274" i="6" s="1"/>
  <c r="A275" i="6" s="1"/>
  <c r="A277" i="6" s="1"/>
  <c r="A278" i="6" s="1"/>
  <c r="A281" i="6" s="1"/>
  <c r="A283" i="6" l="1"/>
  <c r="A284" i="6" s="1"/>
  <c r="A286" i="6" s="1"/>
  <c r="A287" i="6" l="1"/>
  <c r="A290" i="6" s="1"/>
  <c r="A291" i="6" s="1"/>
  <c r="A293" i="6" s="1"/>
  <c r="A294" i="6" s="1"/>
  <c r="A296" i="6" s="1"/>
  <c r="A297" i="6" s="1"/>
  <c r="A300" i="6" s="1"/>
  <c r="A301" i="6" s="1"/>
  <c r="A303" i="6" s="1"/>
  <c r="A304" i="6" s="1"/>
  <c r="A320" i="6" s="1"/>
  <c r="A321" i="6" s="1"/>
  <c r="A324" i="6" s="1"/>
  <c r="A325" i="6" s="1"/>
  <c r="G33" i="21"/>
  <c r="G36" i="21" l="1"/>
  <c r="G38" i="21" s="1"/>
  <c r="I35" i="21" l="1"/>
  <c r="L16" i="13" l="1"/>
  <c r="L18" i="13" s="1"/>
  <c r="L34" i="13" s="1"/>
  <c r="N16" i="13"/>
  <c r="H18" i="13"/>
  <c r="H34" i="13" s="1"/>
  <c r="N18" i="13" l="1"/>
  <c r="N34" i="13" s="1"/>
  <c r="P16" i="13"/>
  <c r="E29" i="21" l="1"/>
  <c r="I29" i="21" s="1"/>
  <c r="P18" i="13"/>
  <c r="P34" i="13" s="1"/>
  <c r="H585" i="6" l="1"/>
  <c r="T119" i="7" l="1"/>
  <c r="T49" i="7"/>
  <c r="T48" i="7" l="1"/>
  <c r="T118" i="7"/>
  <c r="F239" i="4" l="1"/>
  <c r="F90" i="4"/>
  <c r="F78" i="4"/>
  <c r="F153" i="4"/>
  <c r="F106" i="4"/>
  <c r="F214" i="4"/>
  <c r="F149" i="4" l="1"/>
  <c r="F184" i="4"/>
  <c r="G35" i="5"/>
  <c r="F210" i="4"/>
  <c r="U22" i="29"/>
  <c r="I20" i="5"/>
  <c r="Q20" i="5" s="1"/>
  <c r="Y20" i="5" s="1"/>
  <c r="F234" i="4"/>
  <c r="F202" i="4"/>
  <c r="F194" i="4"/>
  <c r="U15" i="29"/>
  <c r="I22" i="5"/>
  <c r="Q22" i="5" s="1"/>
  <c r="Y22" i="5" s="1"/>
  <c r="F158" i="4"/>
  <c r="F129" i="4"/>
  <c r="F174" i="4"/>
  <c r="F224" i="4"/>
  <c r="I19" i="5"/>
  <c r="G23" i="5"/>
  <c r="I21" i="5"/>
  <c r="Q21" i="5" s="1"/>
  <c r="Y21" i="5" s="1"/>
  <c r="F140" i="4"/>
  <c r="G45" i="5"/>
  <c r="F130" i="4" l="1"/>
  <c r="I23" i="5"/>
  <c r="Q19" i="5"/>
  <c r="F175" i="4"/>
  <c r="F69" i="4"/>
  <c r="F70" i="4" s="1"/>
  <c r="F131" i="4" l="1"/>
  <c r="F176" i="4"/>
  <c r="Q23" i="5"/>
  <c r="H69" i="4" s="1"/>
  <c r="Y19" i="5"/>
  <c r="Y23" i="5" s="1"/>
  <c r="U13" i="29" l="1"/>
  <c r="U20" i="29"/>
  <c r="U17" i="29"/>
  <c r="U21" i="29"/>
  <c r="U16" i="29"/>
  <c r="U14" i="29"/>
  <c r="U19" i="29" l="1"/>
  <c r="U28" i="29" s="1"/>
  <c r="K28" i="29"/>
  <c r="F94" i="4" l="1"/>
  <c r="F98" i="4"/>
  <c r="F102" i="4"/>
  <c r="F74" i="4" l="1"/>
  <c r="F86" i="4"/>
  <c r="F82" i="4"/>
  <c r="E183" i="9" l="1"/>
  <c r="E274" i="9"/>
  <c r="E239" i="9"/>
  <c r="E251" i="9"/>
  <c r="E42" i="9" l="1"/>
  <c r="E263" i="9"/>
  <c r="E90" i="9"/>
  <c r="E78" i="9"/>
  <c r="E54" i="9"/>
  <c r="E215" i="9"/>
  <c r="E112" i="9"/>
  <c r="E66" i="9"/>
  <c r="E227" i="9"/>
  <c r="E203" i="9"/>
  <c r="E160" i="9" l="1"/>
  <c r="E136" i="9"/>
  <c r="E172" i="9"/>
  <c r="E30" i="9"/>
  <c r="E124" i="9"/>
  <c r="E18" i="9"/>
  <c r="E148" i="9"/>
  <c r="J641" i="6" l="1"/>
  <c r="J642" i="6" l="1"/>
  <c r="A328" i="6" l="1"/>
  <c r="A329" i="6" l="1"/>
  <c r="A330" i="6" s="1"/>
  <c r="A333" i="6" l="1"/>
  <c r="A334" i="6" l="1"/>
  <c r="A336" i="6" l="1"/>
  <c r="A337" i="6" l="1"/>
  <c r="A339" i="6" l="1"/>
  <c r="A340" i="6" l="1"/>
  <c r="A343" i="6" s="1"/>
  <c r="A344" i="6" s="1"/>
  <c r="A346" i="6" l="1"/>
  <c r="A347" i="6" s="1"/>
  <c r="A364" i="6" l="1"/>
  <c r="A366" i="6" l="1"/>
  <c r="A367" i="6" s="1"/>
  <c r="A368" i="6" s="1"/>
  <c r="A370" i="6" s="1"/>
  <c r="A371" i="6" s="1"/>
  <c r="A374" i="6" s="1"/>
  <c r="A376" i="6" s="1"/>
  <c r="A377" i="6" s="1"/>
  <c r="A378" i="6" s="1"/>
  <c r="A379" i="6" s="1"/>
  <c r="A381" i="6" s="1"/>
  <c r="A382" i="6" s="1"/>
  <c r="A387" i="6" s="1"/>
  <c r="A388" i="6" s="1"/>
  <c r="A389" i="6" s="1"/>
  <c r="A391" i="6" s="1"/>
  <c r="A392" i="6" s="1"/>
  <c r="A394" i="6" s="1"/>
  <c r="A397" i="6" s="1"/>
  <c r="A398" i="6" s="1"/>
  <c r="A399" i="6" s="1"/>
  <c r="A401" i="6" s="1"/>
  <c r="A402" i="6" s="1"/>
  <c r="A419" i="6" s="1"/>
  <c r="A420" i="6" s="1"/>
  <c r="A423" i="6" s="1"/>
  <c r="A424" i="6" s="1"/>
  <c r="A426" i="6" s="1"/>
  <c r="A428" i="6" s="1"/>
  <c r="A429" i="6" s="1"/>
  <c r="A433" i="6" s="1"/>
  <c r="A434" i="6" s="1"/>
  <c r="A437" i="6" s="1"/>
  <c r="A439" i="6" s="1"/>
  <c r="A442" i="6" s="1"/>
  <c r="A443" i="6" s="1"/>
  <c r="A445" i="6" s="1"/>
  <c r="A464" i="6" s="1"/>
  <c r="A466" i="6" s="1"/>
  <c r="A467" i="6" s="1"/>
  <c r="A468" i="6" s="1"/>
  <c r="A469" i="6" s="1"/>
  <c r="A471" i="6" s="1"/>
  <c r="A472" i="6" s="1"/>
  <c r="A476" i="6" s="1"/>
  <c r="A477" i="6" s="1"/>
  <c r="A479" i="6" s="1"/>
  <c r="A480" i="6" s="1"/>
  <c r="A482" i="6" s="1"/>
  <c r="A483" i="6" s="1"/>
  <c r="A489" i="6" s="1"/>
  <c r="A491" i="6" s="1"/>
  <c r="A492" i="6" s="1"/>
  <c r="A493" i="6" s="1"/>
  <c r="A494" i="6" s="1"/>
  <c r="A496" i="6" s="1"/>
  <c r="A497" i="6" s="1"/>
  <c r="A501" i="6" s="1"/>
  <c r="A502" i="6" s="1"/>
  <c r="A504" i="6" s="1"/>
  <c r="A505" i="6" s="1"/>
  <c r="A507" i="6" s="1"/>
  <c r="A508" i="6" s="1"/>
  <c r="A527" i="6" s="1"/>
  <c r="A529" i="6" s="1"/>
  <c r="A530" i="6" s="1"/>
  <c r="A531" i="6" s="1"/>
  <c r="A532" i="6" s="1"/>
  <c r="A534" i="6" s="1"/>
  <c r="A535" i="6" s="1"/>
  <c r="A538" i="6" s="1"/>
  <c r="A539" i="6" s="1"/>
  <c r="A540" i="6" s="1"/>
  <c r="A541" i="6" s="1"/>
  <c r="A580" i="6" s="1"/>
  <c r="A581" i="6" s="1"/>
  <c r="A584" i="6" s="1"/>
  <c r="A585" i="6" s="1"/>
  <c r="A589" i="6" s="1"/>
  <c r="A590" i="6" s="1"/>
  <c r="A591" i="6" s="1"/>
  <c r="A592" i="6" s="1"/>
  <c r="A593" i="6" s="1"/>
  <c r="A596" i="6" s="1"/>
  <c r="A597" i="6" s="1"/>
  <c r="A600" i="6" s="1"/>
  <c r="A604" i="6" s="1"/>
  <c r="A605" i="6" s="1"/>
  <c r="A606" i="6" s="1"/>
  <c r="A607" i="6" s="1"/>
  <c r="A610" i="6" s="1"/>
  <c r="A611" i="6" s="1"/>
  <c r="A612" i="6" s="1"/>
  <c r="A613" i="6" s="1"/>
  <c r="A615" i="6" s="1"/>
  <c r="A616" i="6" s="1"/>
  <c r="A633" i="6" s="1"/>
  <c r="A635" i="6" s="1"/>
  <c r="A636" i="6" s="1"/>
  <c r="A637" i="6" s="1"/>
  <c r="A639" i="6" s="1"/>
  <c r="A640" i="6" s="1"/>
  <c r="A641" i="6" s="1"/>
  <c r="A642" i="6" s="1"/>
  <c r="A644" i="6" s="1"/>
  <c r="A645" i="6" s="1"/>
  <c r="A646" i="6" s="1"/>
  <c r="A647" i="6" s="1"/>
  <c r="A651" i="6" s="1"/>
  <c r="A652" i="6" s="1"/>
  <c r="A653" i="6" s="1"/>
  <c r="A654" i="6" s="1"/>
  <c r="A656" i="6" s="1"/>
  <c r="A657" i="6" s="1"/>
  <c r="A658" i="6" s="1"/>
  <c r="A659" i="6" s="1"/>
  <c r="A662" i="6" s="1"/>
  <c r="A665" i="6" s="1"/>
  <c r="A666" i="6" s="1"/>
  <c r="A667" i="6" s="1"/>
  <c r="A669" i="6" s="1"/>
  <c r="A670" i="6" s="1"/>
  <c r="A671" i="6" s="1"/>
  <c r="A672" i="6" s="1"/>
  <c r="A673" i="6" s="1"/>
  <c r="A674" i="6" s="1"/>
  <c r="A678" i="6" s="1"/>
  <c r="A679" i="6" s="1"/>
  <c r="A680" i="6" s="1"/>
  <c r="A681" i="6" s="1"/>
  <c r="A682" i="6" s="1"/>
  <c r="A683" i="6" s="1"/>
  <c r="A699" i="6" s="1"/>
  <c r="A700" i="6" s="1"/>
  <c r="A701" i="6" s="1"/>
  <c r="A702" i="6" s="1"/>
  <c r="A703" i="6" s="1"/>
  <c r="A704" i="6" s="1"/>
  <c r="A705" i="6" s="1"/>
  <c r="A706" i="6" s="1"/>
  <c r="A707" i="6" s="1"/>
  <c r="A708" i="6" s="1"/>
  <c r="A710" i="6" l="1"/>
  <c r="A714" i="6" s="1"/>
  <c r="A715" i="6" s="1"/>
  <c r="A716" i="6" s="1"/>
  <c r="A717" i="6" s="1"/>
  <c r="A718" i="6" s="1"/>
  <c r="A719" i="6" s="1"/>
  <c r="A720" i="6" s="1"/>
  <c r="A721" i="6" s="1"/>
  <c r="M53" i="19" l="1"/>
  <c r="M56" i="19"/>
  <c r="M51" i="19" l="1"/>
  <c r="I57" i="19" l="1"/>
  <c r="K57" i="19"/>
  <c r="M54" i="19"/>
  <c r="E55" i="22"/>
  <c r="M55" i="19"/>
  <c r="E55" i="23" l="1"/>
  <c r="M52" i="19"/>
  <c r="M57" i="19" s="1"/>
  <c r="I17" i="5" l="1"/>
  <c r="F68" i="4"/>
  <c r="J174" i="4" l="1"/>
  <c r="Q40" i="5"/>
  <c r="U40" i="5"/>
  <c r="U47" i="5" s="1"/>
  <c r="J129" i="4"/>
  <c r="U28" i="5"/>
  <c r="U37" i="5" s="1"/>
  <c r="Q28" i="5"/>
  <c r="J68" i="4"/>
  <c r="U17" i="5"/>
  <c r="U25" i="5" s="1"/>
  <c r="Q17" i="5"/>
  <c r="Y17" i="5" l="1"/>
  <c r="Y25" i="5" s="1"/>
  <c r="H68" i="4"/>
  <c r="Q25" i="5"/>
  <c r="Y28" i="5"/>
  <c r="Q37" i="5"/>
  <c r="Y40" i="5"/>
  <c r="Q47" i="5"/>
  <c r="U49" i="5"/>
  <c r="Y37" i="5" l="1"/>
  <c r="H129" i="4"/>
  <c r="H131" i="4"/>
  <c r="J28" i="4"/>
  <c r="L28" i="4" s="1"/>
  <c r="Q49" i="5"/>
  <c r="H70" i="4"/>
  <c r="J14" i="4"/>
  <c r="L14" i="4" s="1"/>
  <c r="H176" i="4"/>
  <c r="J36" i="4"/>
  <c r="L36" i="4" s="1"/>
  <c r="Y47" i="5"/>
  <c r="H174" i="4"/>
  <c r="Y49" i="5" l="1"/>
  <c r="J176" i="4"/>
  <c r="J131" i="4"/>
  <c r="J70" i="4"/>
  <c r="A133" i="11" l="1"/>
  <c r="A135" i="11" s="1"/>
  <c r="A136" i="11" s="1"/>
  <c r="A139" i="11" s="1"/>
  <c r="A140" i="11" s="1"/>
  <c r="A141" i="11" s="1"/>
  <c r="A142" i="11" s="1"/>
  <c r="A144" i="11" s="1"/>
  <c r="A145" i="11" s="1"/>
  <c r="A158" i="11" s="1"/>
  <c r="A159" i="11" s="1"/>
  <c r="A160" i="11" s="1"/>
  <c r="A161" i="11" s="1"/>
  <c r="A163" i="11" s="1"/>
  <c r="A164" i="11" s="1"/>
  <c r="A167" i="11" s="1"/>
  <c r="A168" i="11" s="1"/>
  <c r="A169" i="11" s="1"/>
  <c r="A170" i="11" s="1"/>
  <c r="A172" i="11" s="1"/>
  <c r="A173" i="11" s="1"/>
  <c r="A176" i="11" s="1"/>
  <c r="A177" i="11" s="1"/>
  <c r="A178" i="11" s="1"/>
  <c r="A179" i="11" s="1"/>
  <c r="A181" i="11" s="1"/>
  <c r="A182" i="11" s="1"/>
  <c r="A185" i="11" s="1"/>
  <c r="A186" i="11" s="1"/>
  <c r="A187" i="11" s="1"/>
  <c r="A188" i="11" s="1"/>
  <c r="A190" i="11" s="1"/>
  <c r="A191" i="11" s="1"/>
  <c r="A194" i="11" s="1"/>
  <c r="A195" i="11" s="1"/>
  <c r="A196" i="11" s="1"/>
  <c r="A197" i="11" s="1"/>
  <c r="A199" i="11" s="1"/>
  <c r="A200" i="11" s="1"/>
  <c r="A203" i="11" s="1"/>
  <c r="A204" i="11" s="1"/>
  <c r="A205" i="11" s="1"/>
  <c r="A207" i="11" s="1"/>
  <c r="A208" i="11" s="1"/>
  <c r="K22" i="26" l="1"/>
  <c r="K39" i="26" l="1"/>
  <c r="G55" i="25" l="1"/>
  <c r="G55" i="24"/>
  <c r="M16" i="19" l="1"/>
  <c r="G22" i="19" l="1"/>
  <c r="G20" i="23" l="1"/>
  <c r="E20" i="24"/>
  <c r="E20" i="23"/>
  <c r="K22" i="19"/>
  <c r="G20" i="24" l="1"/>
  <c r="M15" i="19" l="1"/>
  <c r="M14" i="19"/>
  <c r="M18" i="19"/>
  <c r="M13" i="19"/>
  <c r="M20" i="19"/>
  <c r="M17" i="19"/>
  <c r="M19" i="19"/>
  <c r="M12" i="19" l="1"/>
  <c r="G20" i="22" l="1"/>
  <c r="I22" i="19"/>
  <c r="M11" i="19"/>
  <c r="M22" i="19" s="1"/>
  <c r="E20" i="22"/>
  <c r="G17" i="26" l="1"/>
  <c r="G25" i="26" s="1"/>
  <c r="G28" i="25" l="1"/>
  <c r="G43" i="25" l="1"/>
  <c r="G57" i="25" s="1"/>
  <c r="G38" i="26" l="1"/>
  <c r="G40" i="26" s="1"/>
  <c r="M44" i="19" l="1"/>
  <c r="M41" i="19" l="1"/>
  <c r="M28" i="19" l="1"/>
  <c r="M29" i="19" l="1"/>
  <c r="M42" i="19" l="1"/>
  <c r="M43" i="19"/>
  <c r="M34" i="19" l="1"/>
  <c r="G28" i="24"/>
  <c r="E28" i="24"/>
  <c r="M27" i="19"/>
  <c r="G30" i="19"/>
  <c r="M33" i="19" l="1"/>
  <c r="M35" i="19"/>
  <c r="M38" i="19" l="1"/>
  <c r="M40" i="19"/>
  <c r="M37" i="19" l="1"/>
  <c r="E43" i="23"/>
  <c r="K45" i="19"/>
  <c r="E43" i="22"/>
  <c r="M39" i="19"/>
  <c r="I45" i="19" l="1"/>
  <c r="G43" i="23"/>
  <c r="G43" i="22"/>
  <c r="G45" i="19"/>
  <c r="G59" i="19" s="1"/>
  <c r="G43" i="24" l="1"/>
  <c r="G57" i="24" s="1"/>
  <c r="I57" i="24" s="1"/>
  <c r="E43" i="24"/>
  <c r="E57" i="24" s="1"/>
  <c r="M36" i="19"/>
  <c r="M45" i="19" s="1"/>
  <c r="I38" i="24" l="1"/>
  <c r="K38" i="24" s="1"/>
  <c r="I40" i="24"/>
  <c r="K40" i="24" s="1"/>
  <c r="I24" i="24"/>
  <c r="K24" i="24" s="1"/>
  <c r="I23" i="24"/>
  <c r="I16" i="24"/>
  <c r="K16" i="24" s="1"/>
  <c r="I36" i="24"/>
  <c r="K36" i="24" s="1"/>
  <c r="I18" i="24"/>
  <c r="K18" i="24" s="1"/>
  <c r="I25" i="24"/>
  <c r="K25" i="24" s="1"/>
  <c r="I13" i="24"/>
  <c r="K13" i="24" s="1"/>
  <c r="I37" i="24"/>
  <c r="K37" i="24" s="1"/>
  <c r="I26" i="24"/>
  <c r="K26" i="24" s="1"/>
  <c r="I17" i="24"/>
  <c r="K17" i="24" s="1"/>
  <c r="I51" i="24"/>
  <c r="K51" i="24" s="1"/>
  <c r="I31" i="24"/>
  <c r="I11" i="24"/>
  <c r="K11" i="24" s="1"/>
  <c r="I34" i="24"/>
  <c r="K34" i="24" s="1"/>
  <c r="I33" i="24"/>
  <c r="K33" i="24" s="1"/>
  <c r="I19" i="24"/>
  <c r="K19" i="24" s="1"/>
  <c r="I27" i="24"/>
  <c r="K27" i="24" s="1"/>
  <c r="I9" i="24"/>
  <c r="I54" i="24"/>
  <c r="K54" i="24" s="1"/>
  <c r="I47" i="24"/>
  <c r="K47" i="24" s="1"/>
  <c r="I14" i="24"/>
  <c r="K14" i="24" s="1"/>
  <c r="I39" i="24"/>
  <c r="K39" i="24" s="1"/>
  <c r="I53" i="24"/>
  <c r="K53" i="24" s="1"/>
  <c r="I10" i="24"/>
  <c r="K10" i="24" s="1"/>
  <c r="I35" i="24"/>
  <c r="K35" i="24" s="1"/>
  <c r="I46" i="24"/>
  <c r="I48" i="24"/>
  <c r="K48" i="24" s="1"/>
  <c r="I32" i="24"/>
  <c r="K32" i="24" s="1"/>
  <c r="I41" i="24"/>
  <c r="K41" i="24" s="1"/>
  <c r="I50" i="24"/>
  <c r="K50" i="24" s="1"/>
  <c r="I15" i="24"/>
  <c r="K15" i="24" s="1"/>
  <c r="I42" i="24"/>
  <c r="K42" i="24" s="1"/>
  <c r="I12" i="24"/>
  <c r="K12" i="24" s="1"/>
  <c r="I52" i="24"/>
  <c r="K52" i="24" s="1"/>
  <c r="I49" i="24"/>
  <c r="K49" i="24" s="1"/>
  <c r="I43" i="24" l="1"/>
  <c r="K31" i="24"/>
  <c r="I28" i="24"/>
  <c r="K23" i="24"/>
  <c r="I55" i="24"/>
  <c r="K46" i="24"/>
  <c r="I20" i="24"/>
  <c r="K9" i="24"/>
  <c r="M28" i="24" l="1"/>
  <c r="K28" i="24"/>
  <c r="M20" i="24"/>
  <c r="K20" i="24"/>
  <c r="M43" i="24"/>
  <c r="K43" i="24"/>
  <c r="M55" i="24"/>
  <c r="K55" i="24"/>
  <c r="Q57" i="19" l="1"/>
  <c r="Q30" i="19" l="1"/>
  <c r="Q22" i="19"/>
  <c r="Q45" i="19"/>
  <c r="Q59" i="19" l="1"/>
  <c r="K30" i="19" l="1"/>
  <c r="K59" i="19" s="1"/>
  <c r="G28" i="23"/>
  <c r="M25" i="19"/>
  <c r="E28" i="23"/>
  <c r="E57" i="23" s="1"/>
  <c r="G28" i="22" l="1"/>
  <c r="E28" i="22"/>
  <c r="E57" i="22" s="1"/>
  <c r="M26" i="19"/>
  <c r="M30" i="19" s="1"/>
  <c r="M59" i="19" s="1"/>
  <c r="I30" i="19"/>
  <c r="I59" i="19" s="1"/>
  <c r="I43" i="25" l="1"/>
  <c r="I20" i="25"/>
  <c r="I55" i="25"/>
  <c r="I28" i="25"/>
  <c r="I57" i="25" l="1"/>
  <c r="K55" i="25" l="1"/>
  <c r="M55" i="25"/>
  <c r="K43" i="25"/>
  <c r="M43" i="25"/>
  <c r="K20" i="26"/>
  <c r="I21" i="26"/>
  <c r="K28" i="25"/>
  <c r="M28" i="25"/>
  <c r="O28" i="29"/>
  <c r="Q17" i="29" s="1"/>
  <c r="K20" i="25"/>
  <c r="M20" i="25"/>
  <c r="K36" i="30"/>
  <c r="M26" i="30" s="1"/>
  <c r="O57" i="19"/>
  <c r="Q26" i="29" l="1"/>
  <c r="Q15" i="29"/>
  <c r="Q16" i="29"/>
  <c r="Q23" i="29"/>
  <c r="Q20" i="29"/>
  <c r="Q22" i="29"/>
  <c r="Q13" i="29"/>
  <c r="Q21" i="29"/>
  <c r="Q25" i="29"/>
  <c r="Q24" i="29"/>
  <c r="M57" i="25"/>
  <c r="Q14" i="29"/>
  <c r="K57" i="25"/>
  <c r="Q19" i="29"/>
  <c r="K37" i="26"/>
  <c r="I38" i="26"/>
  <c r="K21" i="26"/>
  <c r="I23" i="26"/>
  <c r="K23" i="26" s="1"/>
  <c r="S28" i="29" s="1"/>
  <c r="S17" i="29" s="1"/>
  <c r="W17" i="29" s="1"/>
  <c r="M27" i="30"/>
  <c r="O30" i="19"/>
  <c r="O22" i="19"/>
  <c r="O45" i="19"/>
  <c r="M21" i="30"/>
  <c r="M33" i="30"/>
  <c r="M14" i="30"/>
  <c r="M19" i="30"/>
  <c r="M22" i="30"/>
  <c r="M17" i="30"/>
  <c r="M24" i="30"/>
  <c r="M16" i="30"/>
  <c r="M20" i="30"/>
  <c r="M13" i="30"/>
  <c r="M15" i="30"/>
  <c r="M30" i="30"/>
  <c r="M34" i="30"/>
  <c r="M23" i="30"/>
  <c r="M31" i="30"/>
  <c r="M32" i="30"/>
  <c r="M28" i="30"/>
  <c r="S21" i="29" l="1"/>
  <c r="W21" i="29" s="1"/>
  <c r="S22" i="29"/>
  <c r="W22" i="29" s="1"/>
  <c r="S14" i="29"/>
  <c r="W14" i="29" s="1"/>
  <c r="O59" i="19"/>
  <c r="Q28" i="29"/>
  <c r="S13" i="29"/>
  <c r="W13" i="29" s="1"/>
  <c r="S24" i="29"/>
  <c r="S15" i="29"/>
  <c r="W15" i="29" s="1"/>
  <c r="S19" i="29"/>
  <c r="W19" i="29" s="1"/>
  <c r="S23" i="29"/>
  <c r="S16" i="29"/>
  <c r="W16" i="29" s="1"/>
  <c r="S20" i="29"/>
  <c r="W20" i="29" s="1"/>
  <c r="S26" i="29"/>
  <c r="K38" i="26"/>
  <c r="I40" i="26"/>
  <c r="K40" i="26" s="1"/>
  <c r="O36" i="30" s="1"/>
  <c r="S25" i="29"/>
  <c r="M36" i="30"/>
  <c r="O32" i="30" l="1"/>
  <c r="O30" i="30"/>
  <c r="O34" i="30"/>
  <c r="O33" i="30"/>
  <c r="O28" i="30"/>
  <c r="O31" i="30"/>
  <c r="G55" i="22" l="1"/>
  <c r="G57" i="22" s="1"/>
  <c r="I57" i="22" s="1"/>
  <c r="I31" i="22" l="1"/>
  <c r="I32" i="22"/>
  <c r="K32" i="22" s="1"/>
  <c r="I51" i="22"/>
  <c r="K51" i="22" s="1"/>
  <c r="I38" i="22"/>
  <c r="K38" i="22" s="1"/>
  <c r="I9" i="22"/>
  <c r="I14" i="22"/>
  <c r="K14" i="22" s="1"/>
  <c r="I47" i="22"/>
  <c r="K47" i="22" s="1"/>
  <c r="I34" i="22"/>
  <c r="K34" i="22" s="1"/>
  <c r="I26" i="22"/>
  <c r="K26" i="22" s="1"/>
  <c r="I41" i="22"/>
  <c r="K41" i="22" s="1"/>
  <c r="I10" i="22"/>
  <c r="K10" i="22" s="1"/>
  <c r="I50" i="22"/>
  <c r="K50" i="22" s="1"/>
  <c r="I46" i="22"/>
  <c r="I33" i="22"/>
  <c r="K33" i="22" s="1"/>
  <c r="I53" i="22"/>
  <c r="K53" i="22" s="1"/>
  <c r="I52" i="22"/>
  <c r="K52" i="22" s="1"/>
  <c r="I49" i="22"/>
  <c r="K49" i="22" s="1"/>
  <c r="I39" i="22"/>
  <c r="K39" i="22" s="1"/>
  <c r="I16" i="22"/>
  <c r="K16" i="22" s="1"/>
  <c r="I23" i="22"/>
  <c r="I36" i="22"/>
  <c r="K36" i="22" s="1"/>
  <c r="I12" i="22"/>
  <c r="K12" i="22" s="1"/>
  <c r="I24" i="22"/>
  <c r="K24" i="22" s="1"/>
  <c r="I15" i="22"/>
  <c r="K15" i="22" s="1"/>
  <c r="I48" i="22"/>
  <c r="K48" i="22" s="1"/>
  <c r="I19" i="22"/>
  <c r="K19" i="22" s="1"/>
  <c r="I42" i="22"/>
  <c r="K42" i="22" s="1"/>
  <c r="I25" i="22"/>
  <c r="K25" i="22" s="1"/>
  <c r="I18" i="22"/>
  <c r="K18" i="22" s="1"/>
  <c r="I37" i="22"/>
  <c r="K37" i="22" s="1"/>
  <c r="I40" i="22"/>
  <c r="K40" i="22" s="1"/>
  <c r="I54" i="22"/>
  <c r="K54" i="22" s="1"/>
  <c r="I13" i="22"/>
  <c r="K13" i="22" s="1"/>
  <c r="I17" i="22"/>
  <c r="K17" i="22" s="1"/>
  <c r="I11" i="22"/>
  <c r="K11" i="22" s="1"/>
  <c r="I35" i="22"/>
  <c r="K35" i="22" s="1"/>
  <c r="I27" i="22"/>
  <c r="K27" i="22" s="1"/>
  <c r="K46" i="22" l="1"/>
  <c r="I55" i="22"/>
  <c r="K9" i="22"/>
  <c r="I20" i="22"/>
  <c r="I28" i="22"/>
  <c r="K23" i="22"/>
  <c r="I43" i="22"/>
  <c r="K31" i="22"/>
  <c r="G55" i="23"/>
  <c r="G57" i="23" s="1"/>
  <c r="I57" i="23" s="1"/>
  <c r="K43" i="22" l="1"/>
  <c r="M43" i="22"/>
  <c r="K20" i="22"/>
  <c r="M20" i="22"/>
  <c r="K28" i="22"/>
  <c r="M28" i="22"/>
  <c r="I31" i="23"/>
  <c r="I27" i="23"/>
  <c r="K27" i="23" s="1"/>
  <c r="I16" i="23"/>
  <c r="K16" i="23" s="1"/>
  <c r="I40" i="23"/>
  <c r="K40" i="23" s="1"/>
  <c r="I17" i="23"/>
  <c r="K17" i="23" s="1"/>
  <c r="I41" i="23"/>
  <c r="K41" i="23" s="1"/>
  <c r="I54" i="23"/>
  <c r="K54" i="23" s="1"/>
  <c r="I46" i="23"/>
  <c r="I9" i="23"/>
  <c r="I36" i="23"/>
  <c r="K36" i="23" s="1"/>
  <c r="I35" i="23"/>
  <c r="K35" i="23" s="1"/>
  <c r="I12" i="23"/>
  <c r="K12" i="23" s="1"/>
  <c r="I48" i="23"/>
  <c r="K48" i="23" s="1"/>
  <c r="I50" i="23"/>
  <c r="K50" i="23" s="1"/>
  <c r="I23" i="23"/>
  <c r="I47" i="23"/>
  <c r="K47" i="23" s="1"/>
  <c r="I52" i="23"/>
  <c r="K52" i="23" s="1"/>
  <c r="I53" i="23"/>
  <c r="K53" i="23" s="1"/>
  <c r="I19" i="23"/>
  <c r="K19" i="23" s="1"/>
  <c r="I51" i="23"/>
  <c r="K51" i="23" s="1"/>
  <c r="I33" i="23"/>
  <c r="K33" i="23" s="1"/>
  <c r="I11" i="23"/>
  <c r="K11" i="23" s="1"/>
  <c r="I15" i="23"/>
  <c r="K15" i="23" s="1"/>
  <c r="I34" i="23"/>
  <c r="K34" i="23" s="1"/>
  <c r="I10" i="23"/>
  <c r="K10" i="23" s="1"/>
  <c r="I24" i="23"/>
  <c r="K24" i="23" s="1"/>
  <c r="I18" i="23"/>
  <c r="K18" i="23" s="1"/>
  <c r="I39" i="23"/>
  <c r="K39" i="23" s="1"/>
  <c r="I42" i="23"/>
  <c r="K42" i="23" s="1"/>
  <c r="I37" i="23"/>
  <c r="K37" i="23" s="1"/>
  <c r="I14" i="23"/>
  <c r="K14" i="23" s="1"/>
  <c r="I26" i="23"/>
  <c r="K26" i="23" s="1"/>
  <c r="I49" i="23"/>
  <c r="K49" i="23" s="1"/>
  <c r="I32" i="23"/>
  <c r="K32" i="23" s="1"/>
  <c r="I13" i="23"/>
  <c r="K13" i="23" s="1"/>
  <c r="I38" i="23"/>
  <c r="K38" i="23" s="1"/>
  <c r="I25" i="23"/>
  <c r="K25" i="23" s="1"/>
  <c r="M55" i="22"/>
  <c r="K55" i="22"/>
  <c r="K9" i="23" l="1"/>
  <c r="I20" i="23"/>
  <c r="I43" i="23"/>
  <c r="K31" i="23"/>
  <c r="K46" i="23"/>
  <c r="I55" i="23"/>
  <c r="I28" i="23"/>
  <c r="K23" i="23"/>
  <c r="G34" i="26"/>
  <c r="G42" i="26" s="1"/>
  <c r="G44" i="26" s="1"/>
  <c r="M28" i="23" l="1"/>
  <c r="K28" i="23"/>
  <c r="M55" i="23"/>
  <c r="K55" i="23"/>
  <c r="K43" i="23"/>
  <c r="M43" i="23"/>
  <c r="M20" i="23"/>
  <c r="K20" i="23"/>
  <c r="W51" i="19" l="1"/>
  <c r="W54" i="19"/>
  <c r="W53" i="19"/>
  <c r="W55" i="19"/>
  <c r="W56" i="19"/>
  <c r="W52" i="19"/>
  <c r="W49" i="19"/>
  <c r="W50" i="19"/>
  <c r="W29" i="19"/>
  <c r="W28" i="19"/>
  <c r="W38" i="19" l="1"/>
  <c r="W15" i="19"/>
  <c r="W16" i="19"/>
  <c r="W12" i="19"/>
  <c r="W17" i="19"/>
  <c r="W14" i="19"/>
  <c r="W36" i="19"/>
  <c r="W42" i="19"/>
  <c r="W34" i="19"/>
  <c r="W13" i="19"/>
  <c r="W27" i="19"/>
  <c r="W43" i="19"/>
  <c r="W39" i="19"/>
  <c r="W37" i="19"/>
  <c r="W44" i="19"/>
  <c r="W20" i="19"/>
  <c r="W41" i="19"/>
  <c r="W26" i="19"/>
  <c r="W19" i="19"/>
  <c r="W40" i="19"/>
  <c r="W35" i="19"/>
  <c r="W18" i="19"/>
  <c r="E36" i="30" l="1"/>
  <c r="E28" i="29"/>
  <c r="G24" i="29" s="1"/>
  <c r="U57" i="19"/>
  <c r="K16" i="26" l="1"/>
  <c r="I17" i="26"/>
  <c r="G13" i="30"/>
  <c r="G28" i="30"/>
  <c r="G27" i="30"/>
  <c r="G32" i="30"/>
  <c r="G33" i="30"/>
  <c r="G26" i="30"/>
  <c r="G34" i="30"/>
  <c r="G31" i="30"/>
  <c r="G30" i="30"/>
  <c r="G16" i="30"/>
  <c r="G22" i="30"/>
  <c r="G23" i="30"/>
  <c r="G14" i="30"/>
  <c r="G20" i="30"/>
  <c r="G17" i="30"/>
  <c r="G24" i="30"/>
  <c r="G15" i="30"/>
  <c r="G21" i="30"/>
  <c r="U22" i="19"/>
  <c r="U30" i="19"/>
  <c r="W48" i="19"/>
  <c r="W57" i="19" s="1"/>
  <c r="S57" i="19"/>
  <c r="U45" i="19"/>
  <c r="G26" i="29"/>
  <c r="G18" i="29"/>
  <c r="G15" i="29"/>
  <c r="G21" i="29"/>
  <c r="G20" i="29"/>
  <c r="G25" i="29"/>
  <c r="G14" i="29"/>
  <c r="G16" i="29"/>
  <c r="G19" i="29"/>
  <c r="G13" i="29"/>
  <c r="G22" i="29"/>
  <c r="G17" i="29"/>
  <c r="G23" i="29"/>
  <c r="G19" i="30"/>
  <c r="U59" i="19" l="1"/>
  <c r="W33" i="19"/>
  <c r="W45" i="19" s="1"/>
  <c r="S45" i="19"/>
  <c r="S22" i="19"/>
  <c r="W11" i="19"/>
  <c r="W22" i="19" s="1"/>
  <c r="I25" i="26"/>
  <c r="K25" i="26" s="1"/>
  <c r="K17" i="26"/>
  <c r="I28" i="29" s="1"/>
  <c r="I13" i="29" s="1"/>
  <c r="M13" i="29" s="1"/>
  <c r="G28" i="29"/>
  <c r="K33" i="26"/>
  <c r="I34" i="26"/>
  <c r="S30" i="19"/>
  <c r="W25" i="19"/>
  <c r="W30" i="19" s="1"/>
  <c r="G36" i="30"/>
  <c r="S59" i="19" l="1"/>
  <c r="I24" i="29"/>
  <c r="W59" i="19"/>
  <c r="I15" i="29"/>
  <c r="M15" i="29" s="1"/>
  <c r="I22" i="29"/>
  <c r="M22" i="29" s="1"/>
  <c r="I18" i="29"/>
  <c r="I21" i="29"/>
  <c r="M21" i="29" s="1"/>
  <c r="I25" i="29"/>
  <c r="I16" i="29"/>
  <c r="M16" i="29" s="1"/>
  <c r="I26" i="29"/>
  <c r="I42" i="26"/>
  <c r="K34" i="26"/>
  <c r="I36" i="30" s="1"/>
  <c r="I14" i="29"/>
  <c r="M14" i="29" s="1"/>
  <c r="I19" i="29"/>
  <c r="M19" i="29" s="1"/>
  <c r="I17" i="29"/>
  <c r="M17" i="29" s="1"/>
  <c r="I20" i="29"/>
  <c r="M20" i="29" s="1"/>
  <c r="I23" i="29"/>
  <c r="I31" i="30" l="1"/>
  <c r="Q31" i="30" s="1"/>
  <c r="I26" i="30"/>
  <c r="I30" i="30"/>
  <c r="I34" i="30"/>
  <c r="Q34" i="30" s="1"/>
  <c r="I27" i="30"/>
  <c r="I28" i="30"/>
  <c r="I44" i="26"/>
  <c r="K44" i="26" s="1"/>
  <c r="K42" i="26"/>
  <c r="N200" i="7" l="1"/>
  <c r="N56" i="7" l="1"/>
  <c r="F200" i="7" l="1"/>
  <c r="T197" i="7" l="1"/>
  <c r="T199" i="7" l="1"/>
  <c r="T198" i="7"/>
  <c r="P200" i="7" l="1"/>
  <c r="T196" i="7" l="1"/>
  <c r="T195" i="7" l="1"/>
  <c r="R200" i="7"/>
  <c r="P56" i="7"/>
  <c r="T200" i="7" l="1"/>
  <c r="R56" i="7" l="1"/>
  <c r="L53" i="31" l="1"/>
  <c r="L52" i="31"/>
  <c r="L55" i="31"/>
  <c r="L51" i="31" l="1"/>
  <c r="L54" i="31"/>
  <c r="AD200" i="7"/>
  <c r="AD56" i="7" l="1"/>
  <c r="L56" i="31"/>
  <c r="P55" i="31" l="1"/>
  <c r="P53" i="31"/>
  <c r="P52" i="31" l="1"/>
  <c r="AJ199" i="7"/>
  <c r="AL199" i="7" s="1"/>
  <c r="AJ197" i="7"/>
  <c r="AL197" i="7" s="1"/>
  <c r="AJ195" i="7" l="1"/>
  <c r="AJ196" i="7"/>
  <c r="AL196" i="7" s="1"/>
  <c r="P51" i="31"/>
  <c r="N52" i="31"/>
  <c r="N53" i="31"/>
  <c r="N55" i="31"/>
  <c r="N51" i="31" l="1"/>
  <c r="AL195" i="7"/>
  <c r="J612" i="6" l="1"/>
  <c r="T124" i="7" l="1"/>
  <c r="J610" i="6"/>
  <c r="T54" i="7" l="1"/>
  <c r="T123" i="7"/>
  <c r="Z54" i="31" l="1"/>
  <c r="AB54" i="31"/>
  <c r="AD54" i="31"/>
  <c r="T122" i="7"/>
  <c r="T53" i="7" l="1"/>
  <c r="T52" i="7"/>
  <c r="AB53" i="31" l="1"/>
  <c r="Z53" i="31"/>
  <c r="AD53" i="31"/>
  <c r="AH53" i="31"/>
  <c r="AF53" i="31"/>
  <c r="Z52" i="31"/>
  <c r="AB52" i="31"/>
  <c r="AD52" i="31"/>
  <c r="AH52" i="31"/>
  <c r="AF52" i="31"/>
  <c r="T121" i="7" l="1"/>
  <c r="T51" i="7"/>
  <c r="Z51" i="31"/>
  <c r="AB51" i="31"/>
  <c r="AD51" i="31"/>
  <c r="AH51" i="31"/>
  <c r="AF51" i="31"/>
  <c r="T125" i="7" l="1"/>
  <c r="F126" i="7"/>
  <c r="T55" i="7"/>
  <c r="F56" i="7"/>
  <c r="Z55" i="31"/>
  <c r="AB55" i="31"/>
  <c r="AD55" i="31"/>
  <c r="AH55" i="31"/>
  <c r="AF55" i="31"/>
  <c r="F56" i="31"/>
  <c r="AB56" i="31" l="1"/>
  <c r="Z56" i="31"/>
  <c r="AD56" i="31"/>
  <c r="T56" i="7"/>
  <c r="T126" i="7"/>
  <c r="G13" i="21" l="1"/>
  <c r="G26" i="21" s="1"/>
  <c r="I12" i="21"/>
  <c r="I11" i="21" l="1"/>
  <c r="I10" i="21"/>
  <c r="E13" i="21"/>
  <c r="I23" i="21"/>
  <c r="I19" i="21"/>
  <c r="I18" i="21"/>
  <c r="E34" i="21" l="1"/>
  <c r="I34" i="21" s="1"/>
  <c r="I22" i="21"/>
  <c r="I13" i="21"/>
  <c r="I16" i="21" l="1"/>
  <c r="I17" i="21" l="1"/>
  <c r="I21" i="21" l="1"/>
  <c r="I33" i="21" l="1"/>
  <c r="E99" i="10" l="1"/>
  <c r="E179" i="11" l="1"/>
  <c r="E197" i="11"/>
  <c r="E188" i="11"/>
  <c r="E205" i="11" l="1"/>
  <c r="E170" i="11" l="1"/>
  <c r="E161" i="11"/>
  <c r="E142" i="11"/>
  <c r="E99" i="11" l="1"/>
  <c r="E90" i="11" l="1"/>
  <c r="E44" i="11"/>
  <c r="E26" i="11"/>
  <c r="E125" i="11" l="1"/>
  <c r="E108" i="11"/>
  <c r="E117" i="11"/>
  <c r="E68" i="10"/>
  <c r="E89" i="10"/>
  <c r="E133" i="11"/>
  <c r="E121" i="10"/>
  <c r="E109" i="10"/>
  <c r="E62" i="11" l="1"/>
  <c r="E35" i="11"/>
  <c r="E53" i="11"/>
  <c r="E71" i="11"/>
  <c r="E17" i="11"/>
  <c r="E58" i="10" l="1"/>
  <c r="E48" i="10"/>
  <c r="E38" i="10"/>
  <c r="E28" i="10" l="1"/>
  <c r="E18" i="10" l="1"/>
  <c r="J644" i="6" l="1"/>
  <c r="J645" i="6"/>
  <c r="I21" i="8"/>
  <c r="J639" i="6" l="1"/>
  <c r="I15" i="8"/>
  <c r="AF200" i="7" l="1"/>
  <c r="AF56" i="7"/>
  <c r="N54" i="31"/>
  <c r="J640" i="6"/>
  <c r="I14" i="8"/>
  <c r="I20" i="8"/>
  <c r="AF54" i="31" l="1"/>
  <c r="N56" i="31"/>
  <c r="AH200" i="7" l="1"/>
  <c r="AJ198" i="7"/>
  <c r="AF56" i="31"/>
  <c r="P54" i="31" l="1"/>
  <c r="AH56" i="7"/>
  <c r="AL198" i="7"/>
  <c r="AJ200" i="7"/>
  <c r="AL200" i="7" l="1"/>
  <c r="AO200" i="7"/>
  <c r="AH54" i="31"/>
  <c r="P56" i="31"/>
  <c r="AH56" i="31" l="1"/>
  <c r="J508" i="6" l="1"/>
  <c r="P541" i="6"/>
  <c r="J541" i="6"/>
  <c r="J483" i="6" l="1"/>
  <c r="J472" i="6" l="1"/>
  <c r="J497" i="6"/>
  <c r="J535" i="6"/>
  <c r="U47" i="30" l="1"/>
  <c r="U46" i="30"/>
  <c r="U51" i="30" l="1"/>
  <c r="I33" i="30" s="1"/>
  <c r="Q33" i="30" s="1"/>
  <c r="Q32" i="30"/>
  <c r="U32" i="30" s="1"/>
  <c r="I14" i="30"/>
  <c r="I15" i="30"/>
  <c r="I23" i="30"/>
  <c r="I20" i="30"/>
  <c r="I19" i="30"/>
  <c r="I21" i="30"/>
  <c r="I13" i="30"/>
  <c r="I17" i="30"/>
  <c r="I24" i="30"/>
  <c r="I22" i="30"/>
  <c r="I16" i="30"/>
  <c r="J43" i="4" l="1"/>
  <c r="L43" i="4" s="1"/>
  <c r="H234" i="4"/>
  <c r="H238" i="4"/>
  <c r="J44" i="4"/>
  <c r="L44" i="4" s="1"/>
  <c r="J42" i="4"/>
  <c r="L42" i="4" s="1"/>
  <c r="H224" i="4"/>
  <c r="J224" i="4" l="1"/>
  <c r="U26" i="30"/>
  <c r="O26" i="30"/>
  <c r="J234" i="4"/>
  <c r="H239" i="4"/>
  <c r="J238" i="4"/>
  <c r="J239" i="4" s="1"/>
  <c r="U27" i="30"/>
  <c r="O27" i="30"/>
  <c r="H158" i="4" l="1"/>
  <c r="J32" i="4"/>
  <c r="L32" i="4" s="1"/>
  <c r="J17" i="4"/>
  <c r="L17" i="4" s="1"/>
  <c r="H81" i="4"/>
  <c r="H45" i="4"/>
  <c r="H184" i="4"/>
  <c r="J37" i="4"/>
  <c r="L37" i="4" s="1"/>
  <c r="H152" i="4"/>
  <c r="J31" i="4"/>
  <c r="L31" i="4" s="1"/>
  <c r="H149" i="4"/>
  <c r="J30" i="4"/>
  <c r="L30" i="4" s="1"/>
  <c r="H140" i="4"/>
  <c r="H33" i="4"/>
  <c r="J29" i="4"/>
  <c r="L29" i="4" s="1"/>
  <c r="H101" i="4"/>
  <c r="J22" i="4"/>
  <c r="L22" i="4" s="1"/>
  <c r="H194" i="4"/>
  <c r="J38" i="4"/>
  <c r="L38" i="4" s="1"/>
  <c r="J18" i="4"/>
  <c r="L18" i="4" s="1"/>
  <c r="H85" i="4"/>
  <c r="H93" i="4"/>
  <c r="J20" i="4"/>
  <c r="L20" i="4" s="1"/>
  <c r="J19" i="4"/>
  <c r="L19" i="4" s="1"/>
  <c r="H89" i="4"/>
  <c r="H97" i="4"/>
  <c r="J21" i="4"/>
  <c r="L21" i="4" s="1"/>
  <c r="J15" i="4"/>
  <c r="L15" i="4" s="1"/>
  <c r="H73" i="4"/>
  <c r="H25" i="4"/>
  <c r="J24" i="4"/>
  <c r="L24" i="4" s="1"/>
  <c r="H109" i="4"/>
  <c r="H110" i="4" s="1"/>
  <c r="J40" i="4"/>
  <c r="L40" i="4" s="1"/>
  <c r="H210" i="4"/>
  <c r="O15" i="30"/>
  <c r="Q15" i="30" s="1"/>
  <c r="U15" i="30" s="1"/>
  <c r="O19" i="30"/>
  <c r="Q19" i="30" s="1"/>
  <c r="U19" i="30" s="1"/>
  <c r="O23" i="30"/>
  <c r="Q23" i="30" s="1"/>
  <c r="U23" i="30" s="1"/>
  <c r="O22" i="30"/>
  <c r="Q22" i="30" s="1"/>
  <c r="U22" i="30" s="1"/>
  <c r="O17" i="30"/>
  <c r="Q17" i="30" s="1"/>
  <c r="U17" i="30" s="1"/>
  <c r="O21" i="30"/>
  <c r="Q21" i="30" s="1"/>
  <c r="U21" i="30" s="1"/>
  <c r="O14" i="30"/>
  <c r="Q14" i="30" s="1"/>
  <c r="U14" i="30" s="1"/>
  <c r="O16" i="30"/>
  <c r="Q16" i="30" s="1"/>
  <c r="U16" i="30" s="1"/>
  <c r="O24" i="30"/>
  <c r="Q24" i="30" s="1"/>
  <c r="U24" i="30" s="1"/>
  <c r="O20" i="30"/>
  <c r="Q20" i="30" s="1"/>
  <c r="U20" i="30" s="1"/>
  <c r="O13" i="30"/>
  <c r="Q13" i="30" s="1"/>
  <c r="J39" i="4"/>
  <c r="L39" i="4" s="1"/>
  <c r="H202" i="4"/>
  <c r="H77" i="4"/>
  <c r="J16" i="4"/>
  <c r="J23" i="4"/>
  <c r="L23" i="4" s="1"/>
  <c r="H105" i="4"/>
  <c r="H213" i="4"/>
  <c r="J41" i="4"/>
  <c r="L41" i="4" s="1"/>
  <c r="H153" i="4" l="1"/>
  <c r="H160" i="4" s="1"/>
  <c r="J152" i="4"/>
  <c r="J153" i="4" s="1"/>
  <c r="J184" i="4"/>
  <c r="H47" i="4"/>
  <c r="J25" i="4"/>
  <c r="L25" i="4" s="1"/>
  <c r="J93" i="4"/>
  <c r="J94" i="4" s="1"/>
  <c r="H94" i="4"/>
  <c r="J33" i="4"/>
  <c r="L33" i="4" s="1"/>
  <c r="J45" i="4"/>
  <c r="L45" i="4" s="1"/>
  <c r="J73" i="4"/>
  <c r="J74" i="4" s="1"/>
  <c r="H74" i="4"/>
  <c r="H86" i="4"/>
  <c r="J85" i="4"/>
  <c r="J86" i="4" s="1"/>
  <c r="J140" i="4"/>
  <c r="J81" i="4"/>
  <c r="J82" i="4" s="1"/>
  <c r="H82" i="4"/>
  <c r="H78" i="4"/>
  <c r="J77" i="4"/>
  <c r="J78" i="4" s="1"/>
  <c r="J202" i="4"/>
  <c r="Q36" i="30"/>
  <c r="U13" i="30"/>
  <c r="J213" i="4"/>
  <c r="J214" i="4" s="1"/>
  <c r="H214" i="4"/>
  <c r="H241" i="4"/>
  <c r="J149" i="4"/>
  <c r="J89" i="4"/>
  <c r="J90" i="4" s="1"/>
  <c r="H90" i="4"/>
  <c r="H102" i="4"/>
  <c r="J101" i="4"/>
  <c r="J102" i="4" s="1"/>
  <c r="J105" i="4"/>
  <c r="J106" i="4" s="1"/>
  <c r="H106" i="4"/>
  <c r="J210" i="4"/>
  <c r="J97" i="4"/>
  <c r="J98" i="4" s="1"/>
  <c r="H98" i="4"/>
  <c r="J194" i="4"/>
  <c r="J158" i="4"/>
  <c r="J156" i="4"/>
  <c r="J157" i="4"/>
  <c r="J47" i="4" l="1"/>
  <c r="L47" i="4" s="1"/>
  <c r="H112" i="4"/>
  <c r="P14" i="31" l="1"/>
  <c r="H93" i="7" l="1"/>
  <c r="H14" i="31" l="1"/>
  <c r="H17" i="31"/>
  <c r="H19" i="31" l="1"/>
  <c r="J93" i="7" l="1"/>
  <c r="H16" i="31"/>
  <c r="H20" i="31"/>
  <c r="J18" i="31"/>
  <c r="H18" i="31"/>
  <c r="H15" i="31"/>
  <c r="X93" i="7"/>
  <c r="J23" i="7" l="1"/>
  <c r="H13" i="31" l="1"/>
  <c r="H23" i="7" l="1"/>
  <c r="H12" i="31"/>
  <c r="H39" i="31" l="1"/>
  <c r="H42" i="31"/>
  <c r="H29" i="31" l="1"/>
  <c r="T99" i="7" l="1"/>
  <c r="J145" i="4"/>
  <c r="J144" i="4" l="1"/>
  <c r="H49" i="6" l="1"/>
  <c r="H50" i="6" s="1"/>
  <c r="T84" i="7"/>
  <c r="T87" i="7" l="1"/>
  <c r="T83" i="7"/>
  <c r="T91" i="7"/>
  <c r="T88" i="7" l="1"/>
  <c r="T23" i="31"/>
  <c r="T82" i="7"/>
  <c r="T45" i="31" l="1"/>
  <c r="Z18" i="31" l="1"/>
  <c r="AB18" i="31"/>
  <c r="Z19" i="31"/>
  <c r="AJ19" i="31"/>
  <c r="Z20" i="31"/>
  <c r="AJ20" i="31"/>
  <c r="T86" i="7"/>
  <c r="AH14" i="31"/>
  <c r="Z14" i="31"/>
  <c r="T60" i="31"/>
  <c r="T85" i="7" l="1"/>
  <c r="T93" i="7" s="1"/>
  <c r="F93" i="7"/>
  <c r="Z12" i="31"/>
  <c r="Z13" i="31"/>
  <c r="Z15" i="31" l="1"/>
  <c r="Z16" i="31"/>
  <c r="J137" i="4" l="1"/>
  <c r="J148" i="4"/>
  <c r="J136" i="4"/>
  <c r="J135" i="4" l="1"/>
  <c r="J138" i="4"/>
  <c r="J139" i="4"/>
  <c r="J147" i="4"/>
  <c r="AF29" i="31" l="1"/>
  <c r="AB29" i="31"/>
  <c r="AH29" i="31"/>
  <c r="Z29" i="31"/>
  <c r="X101" i="7" l="1"/>
  <c r="AH30" i="31"/>
  <c r="AF30" i="31"/>
  <c r="F187" i="7" l="1"/>
  <c r="F101" i="7" l="1"/>
  <c r="F175" i="7" l="1"/>
  <c r="F31" i="31"/>
  <c r="F31" i="7" l="1"/>
  <c r="J190" i="4" l="1"/>
  <c r="J189" i="4" l="1"/>
  <c r="J188" i="4"/>
  <c r="J183" i="4"/>
  <c r="J180" i="4" l="1"/>
  <c r="J182" i="4"/>
  <c r="J181" i="4"/>
  <c r="J192" i="4" l="1"/>
  <c r="J193" i="4"/>
  <c r="T112" i="7"/>
  <c r="AB40" i="31" l="1"/>
  <c r="Z39" i="31"/>
  <c r="AB42" i="31" l="1"/>
  <c r="Z42" i="31"/>
  <c r="AB41" i="31"/>
  <c r="F113" i="7"/>
  <c r="F115" i="7" s="1"/>
  <c r="F130" i="7" s="1"/>
  <c r="F43" i="31" l="1"/>
  <c r="F43" i="7"/>
  <c r="T159" i="7" l="1"/>
  <c r="T165" i="7" l="1"/>
  <c r="P18" i="31"/>
  <c r="AH18" i="31" s="1"/>
  <c r="T21" i="7"/>
  <c r="R167" i="7"/>
  <c r="T158" i="7"/>
  <c r="N167" i="7" l="1"/>
  <c r="R23" i="7"/>
  <c r="T15" i="7"/>
  <c r="AM2" i="7"/>
  <c r="T14" i="7"/>
  <c r="T13" i="7"/>
  <c r="T163" i="7"/>
  <c r="T162" i="7"/>
  <c r="T12" i="7"/>
  <c r="T164" i="7"/>
  <c r="T157" i="7"/>
  <c r="T160" i="7"/>
  <c r="N23" i="7" l="1"/>
  <c r="T16" i="7"/>
  <c r="T156" i="7"/>
  <c r="P167" i="7"/>
  <c r="P23" i="7"/>
  <c r="T18" i="7" l="1"/>
  <c r="T161" i="7"/>
  <c r="T167" i="7" s="1"/>
  <c r="F167" i="7"/>
  <c r="F189" i="7" s="1"/>
  <c r="F204" i="7" s="1"/>
  <c r="AH17" i="31" l="1"/>
  <c r="AB17" i="31"/>
  <c r="AD17" i="31"/>
  <c r="Z17" i="31"/>
  <c r="F23" i="31"/>
  <c r="T17" i="7"/>
  <c r="F23" i="7"/>
  <c r="F45" i="7" s="1"/>
  <c r="F45" i="31" l="1"/>
  <c r="AJ23" i="31"/>
  <c r="F60" i="7"/>
  <c r="T23" i="7"/>
  <c r="F60" i="31" l="1"/>
  <c r="AJ45" i="31"/>
  <c r="AJ60" i="31" l="1"/>
  <c r="T100" i="7" l="1"/>
  <c r="T109" i="7"/>
  <c r="J101" i="7" l="1"/>
  <c r="T30" i="7"/>
  <c r="J31" i="7" l="1"/>
  <c r="J113" i="7" l="1"/>
  <c r="J115" i="7" s="1"/>
  <c r="J130" i="7" s="1"/>
  <c r="J43" i="7" l="1"/>
  <c r="J45" i="7" s="1"/>
  <c r="J60" i="7" s="1"/>
  <c r="T186" i="7" l="1"/>
  <c r="T42" i="7" l="1"/>
  <c r="T183" i="7" l="1"/>
  <c r="T39" i="7" l="1"/>
  <c r="T173" i="7" l="1"/>
  <c r="T29" i="7" l="1"/>
  <c r="T174" i="7"/>
  <c r="T185" i="7" l="1"/>
  <c r="T184" i="7"/>
  <c r="T172" i="7" l="1"/>
  <c r="N175" i="7"/>
  <c r="T179" i="7"/>
  <c r="N31" i="7"/>
  <c r="T178" i="7" l="1"/>
  <c r="L27" i="31" l="1"/>
  <c r="AD27" i="31" s="1"/>
  <c r="T182" i="7" l="1"/>
  <c r="P187" i="7" l="1"/>
  <c r="R187" i="7"/>
  <c r="P43" i="7"/>
  <c r="R43" i="7"/>
  <c r="T181" i="7"/>
  <c r="T180" i="7" l="1"/>
  <c r="T187" i="7" s="1"/>
  <c r="N187" i="7"/>
  <c r="N189" i="7" s="1"/>
  <c r="N204" i="7" s="1"/>
  <c r="N43" i="7" l="1"/>
  <c r="N45" i="7" s="1"/>
  <c r="N60" i="7" s="1"/>
  <c r="AJ174" i="7" l="1"/>
  <c r="AL174" i="7" s="1"/>
  <c r="AJ173" i="7"/>
  <c r="AL173" i="7" s="1"/>
  <c r="L39" i="31" l="1"/>
  <c r="AD39" i="31" s="1"/>
  <c r="L42" i="31"/>
  <c r="L40" i="31"/>
  <c r="AD40" i="31" s="1"/>
  <c r="L21" i="31"/>
  <c r="AD21" i="31" s="1"/>
  <c r="L14" i="31"/>
  <c r="AD14" i="31" s="1"/>
  <c r="AD42" i="31" l="1"/>
  <c r="L36" i="31"/>
  <c r="AD36" i="31" s="1"/>
  <c r="L29" i="31"/>
  <c r="L20" i="31"/>
  <c r="AD20" i="31" s="1"/>
  <c r="L13" i="31"/>
  <c r="AD13" i="31" s="1"/>
  <c r="L35" i="31"/>
  <c r="AD35" i="31" s="1"/>
  <c r="L15" i="31"/>
  <c r="AD15" i="31" s="1"/>
  <c r="L30" i="31"/>
  <c r="AD30" i="31" s="1"/>
  <c r="L38" i="31"/>
  <c r="AD38" i="31" s="1"/>
  <c r="L28" i="31"/>
  <c r="AD28" i="31" s="1"/>
  <c r="AD175" i="7"/>
  <c r="AD187" i="7" l="1"/>
  <c r="AD29" i="31"/>
  <c r="L41" i="31"/>
  <c r="AD41" i="31" s="1"/>
  <c r="L19" i="31"/>
  <c r="AD19" i="31" s="1"/>
  <c r="L16" i="31"/>
  <c r="AD16" i="31" s="1"/>
  <c r="L37" i="31"/>
  <c r="AD37" i="31" s="1"/>
  <c r="AD167" i="7" l="1"/>
  <c r="AD189" i="7" s="1"/>
  <c r="AD204" i="7" s="1"/>
  <c r="L12" i="31" l="1"/>
  <c r="L34" i="31"/>
  <c r="AD43" i="7"/>
  <c r="AD31" i="7"/>
  <c r="L26" i="31"/>
  <c r="R31" i="7"/>
  <c r="R45" i="7" s="1"/>
  <c r="R60" i="7" s="1"/>
  <c r="R175" i="7"/>
  <c r="R189" i="7" s="1"/>
  <c r="R204" i="7" s="1"/>
  <c r="L43" i="31" l="1"/>
  <c r="AD43" i="31" s="1"/>
  <c r="AD34" i="31"/>
  <c r="AD26" i="31"/>
  <c r="L31" i="31"/>
  <c r="AD31" i="31" s="1"/>
  <c r="T170" i="7"/>
  <c r="AD12" i="31"/>
  <c r="T171" i="7"/>
  <c r="P31" i="7"/>
  <c r="P45" i="7" s="1"/>
  <c r="P60" i="7" s="1"/>
  <c r="T175" i="7" l="1"/>
  <c r="T189" i="7" s="1"/>
  <c r="T204" i="7" s="1"/>
  <c r="P175" i="7"/>
  <c r="P189" i="7" s="1"/>
  <c r="P204" i="7" s="1"/>
  <c r="AB101" i="7" l="1"/>
  <c r="J39" i="31"/>
  <c r="J19" i="31"/>
  <c r="J13" i="31"/>
  <c r="J30" i="31"/>
  <c r="AB30" i="31" s="1"/>
  <c r="AB93" i="7"/>
  <c r="J15" i="31"/>
  <c r="J20" i="31"/>
  <c r="J21" i="31"/>
  <c r="AB21" i="31" s="1"/>
  <c r="J14" i="31"/>
  <c r="AB113" i="7" l="1"/>
  <c r="AB115" i="7" s="1"/>
  <c r="AB130" i="7" s="1"/>
  <c r="L18" i="31"/>
  <c r="AD23" i="7"/>
  <c r="AD45" i="7" s="1"/>
  <c r="AD60" i="7" s="1"/>
  <c r="AB15" i="31"/>
  <c r="AB13" i="31"/>
  <c r="AB39" i="31"/>
  <c r="AB14" i="31"/>
  <c r="AB19" i="31"/>
  <c r="AB20" i="31"/>
  <c r="J16" i="31"/>
  <c r="J35" i="31"/>
  <c r="AB35" i="31" s="1"/>
  <c r="J27" i="31"/>
  <c r="AB27" i="31" s="1"/>
  <c r="J28" i="31"/>
  <c r="AB28" i="31" s="1"/>
  <c r="J38" i="31"/>
  <c r="AB38" i="31" s="1"/>
  <c r="J12" i="31" l="1"/>
  <c r="AB23" i="7"/>
  <c r="AD18" i="31"/>
  <c r="L23" i="31"/>
  <c r="AB16" i="31"/>
  <c r="J34" i="31"/>
  <c r="AB31" i="7"/>
  <c r="J26" i="31"/>
  <c r="J37" i="31"/>
  <c r="AB37" i="31" s="1"/>
  <c r="J36" i="31"/>
  <c r="AB36" i="31" s="1"/>
  <c r="J31" i="31" l="1"/>
  <c r="AB31" i="31" s="1"/>
  <c r="AB26" i="31"/>
  <c r="AB43" i="7"/>
  <c r="AB45" i="7" s="1"/>
  <c r="AB60" i="7" s="1"/>
  <c r="AD23" i="31"/>
  <c r="L45" i="31"/>
  <c r="AB34" i="31"/>
  <c r="J43" i="31"/>
  <c r="AB43" i="31" s="1"/>
  <c r="AB12" i="31"/>
  <c r="J23" i="31"/>
  <c r="L60" i="31" l="1"/>
  <c r="AD60" i="31" s="1"/>
  <c r="AD45" i="31"/>
  <c r="AB23" i="31"/>
  <c r="J45" i="31"/>
  <c r="AB45" i="31" l="1"/>
  <c r="J60" i="31"/>
  <c r="AB60" i="31" s="1"/>
  <c r="AJ186" i="7" l="1"/>
  <c r="AL186" i="7" s="1"/>
  <c r="AJ184" i="7"/>
  <c r="AL184" i="7" s="1"/>
  <c r="AJ171" i="7"/>
  <c r="AL171" i="7" s="1"/>
  <c r="AJ172" i="7"/>
  <c r="AL172" i="7" s="1"/>
  <c r="AJ179" i="7"/>
  <c r="AL179" i="7" s="1"/>
  <c r="AJ162" i="7"/>
  <c r="AL162" i="7" s="1"/>
  <c r="AJ185" i="7" l="1"/>
  <c r="AL185" i="7" s="1"/>
  <c r="P21" i="31"/>
  <c r="AH21" i="31" s="1"/>
  <c r="P39" i="31"/>
  <c r="AH39" i="31" s="1"/>
  <c r="AJ182" i="7"/>
  <c r="AL182" i="7" s="1"/>
  <c r="AJ181" i="7"/>
  <c r="AL181" i="7" s="1"/>
  <c r="AJ183" i="7"/>
  <c r="AL183" i="7" s="1"/>
  <c r="AJ165" i="7"/>
  <c r="AL165" i="7" s="1"/>
  <c r="AJ164" i="7"/>
  <c r="AL164" i="7" s="1"/>
  <c r="AJ180" i="7"/>
  <c r="AL180" i="7" s="1"/>
  <c r="AJ163" i="7"/>
  <c r="AL163" i="7" s="1"/>
  <c r="AJ160" i="7"/>
  <c r="AL160" i="7" s="1"/>
  <c r="AJ161" i="7"/>
  <c r="AL161" i="7" s="1"/>
  <c r="AJ157" i="7"/>
  <c r="AL157" i="7" s="1"/>
  <c r="AJ159" i="7"/>
  <c r="AL159" i="7" s="1"/>
  <c r="AJ158" i="7"/>
  <c r="AL158" i="7" s="1"/>
  <c r="P13" i="31" l="1"/>
  <c r="AH13" i="31" s="1"/>
  <c r="P19" i="31"/>
  <c r="AH19" i="31" s="1"/>
  <c r="P38" i="31"/>
  <c r="AH38" i="31" s="1"/>
  <c r="P36" i="31"/>
  <c r="AH36" i="31" s="1"/>
  <c r="P16" i="31"/>
  <c r="AH16" i="31" s="1"/>
  <c r="P15" i="31"/>
  <c r="AH15" i="31" s="1"/>
  <c r="P20" i="31"/>
  <c r="AH20" i="31" s="1"/>
  <c r="P35" i="31"/>
  <c r="AH35" i="31" s="1"/>
  <c r="N14" i="31"/>
  <c r="N39" i="31"/>
  <c r="N17" i="31"/>
  <c r="N21" i="31"/>
  <c r="AF21" i="31" s="1"/>
  <c r="AH175" i="7"/>
  <c r="AH187" i="7"/>
  <c r="AF39" i="31" l="1"/>
  <c r="AF187" i="7"/>
  <c r="AJ178" i="7"/>
  <c r="AF14" i="31"/>
  <c r="AF175" i="7"/>
  <c r="AJ170" i="7"/>
  <c r="AF17" i="31"/>
  <c r="P37" i="31"/>
  <c r="AH37" i="31" s="1"/>
  <c r="P28" i="31"/>
  <c r="AH28" i="31" s="1"/>
  <c r="P40" i="31"/>
  <c r="AH40" i="31" s="1"/>
  <c r="P27" i="31"/>
  <c r="AH27" i="31" s="1"/>
  <c r="N13" i="31"/>
  <c r="N38" i="31"/>
  <c r="AF38" i="31" s="1"/>
  <c r="N36" i="31"/>
  <c r="AF36" i="31" s="1"/>
  <c r="N15" i="31"/>
  <c r="AH167" i="7"/>
  <c r="AH189" i="7" s="1"/>
  <c r="AH204" i="7" s="1"/>
  <c r="N35" i="31"/>
  <c r="AF35" i="31" s="1"/>
  <c r="N42" i="31"/>
  <c r="N20" i="31"/>
  <c r="P49" i="6" l="1"/>
  <c r="P50" i="6"/>
  <c r="P212" i="6"/>
  <c r="AF42" i="31"/>
  <c r="AF167" i="7"/>
  <c r="AF189" i="7" s="1"/>
  <c r="AF204" i="7" s="1"/>
  <c r="AJ156" i="7"/>
  <c r="AF15" i="31"/>
  <c r="AF20" i="31"/>
  <c r="AF13" i="31"/>
  <c r="AL170" i="7"/>
  <c r="AJ175" i="7"/>
  <c r="AL175" i="7" s="1"/>
  <c r="AL178" i="7"/>
  <c r="AJ187" i="7"/>
  <c r="AL187" i="7" s="1"/>
  <c r="P42" i="31"/>
  <c r="AH42" i="31" s="1"/>
  <c r="P41" i="31"/>
  <c r="AH41" i="31" s="1"/>
  <c r="N27" i="31"/>
  <c r="AF27" i="31" s="1"/>
  <c r="N37" i="31"/>
  <c r="AF37" i="31" s="1"/>
  <c r="N41" i="31"/>
  <c r="AF41" i="31" s="1"/>
  <c r="N19" i="31"/>
  <c r="N16" i="31"/>
  <c r="N28" i="31"/>
  <c r="AF28" i="31" s="1"/>
  <c r="N40" i="31"/>
  <c r="AF40" i="31" s="1"/>
  <c r="N18" i="31"/>
  <c r="AF19" i="31" l="1"/>
  <c r="AJ167" i="7"/>
  <c r="AL156" i="7"/>
  <c r="AF16" i="31"/>
  <c r="AF18" i="31"/>
  <c r="AJ189" i="7" l="1"/>
  <c r="AL167" i="7"/>
  <c r="AH43" i="7"/>
  <c r="P34" i="31"/>
  <c r="P26" i="31"/>
  <c r="AH31" i="7"/>
  <c r="AF23" i="7"/>
  <c r="N12" i="31"/>
  <c r="AF43" i="7"/>
  <c r="N34" i="31"/>
  <c r="P12" i="31"/>
  <c r="AH23" i="7"/>
  <c r="AH45" i="7" l="1"/>
  <c r="AH60" i="7" s="1"/>
  <c r="P23" i="31"/>
  <c r="AH12" i="31"/>
  <c r="AH26" i="31"/>
  <c r="P31" i="31"/>
  <c r="AH31" i="31" s="1"/>
  <c r="N26" i="31"/>
  <c r="AF31" i="7"/>
  <c r="AF45" i="7" s="1"/>
  <c r="AF60" i="7" s="1"/>
  <c r="P43" i="31"/>
  <c r="AH43" i="31" s="1"/>
  <c r="AH34" i="31"/>
  <c r="AF12" i="31"/>
  <c r="N23" i="31"/>
  <c r="N43" i="31"/>
  <c r="AF43" i="31" s="1"/>
  <c r="AF34" i="31"/>
  <c r="AJ204" i="7"/>
  <c r="AL189" i="7"/>
  <c r="N31" i="31" l="1"/>
  <c r="AF31" i="31" s="1"/>
  <c r="AF26" i="31"/>
  <c r="AF23" i="31"/>
  <c r="N45" i="31"/>
  <c r="AL204" i="7"/>
  <c r="AN208" i="7"/>
  <c r="AH23" i="31"/>
  <c r="P45" i="31"/>
  <c r="AO189" i="7" l="1"/>
  <c r="AF45" i="31"/>
  <c r="N60" i="31"/>
  <c r="AF60" i="31" s="1"/>
  <c r="P60" i="31"/>
  <c r="AH60" i="31" s="1"/>
  <c r="AH45" i="31"/>
  <c r="T110" i="7" l="1"/>
  <c r="T111" i="7"/>
  <c r="T40" i="7" l="1"/>
  <c r="T41" i="7"/>
  <c r="J233" i="4" l="1"/>
  <c r="J230" i="4"/>
  <c r="J223" i="4"/>
  <c r="J220" i="4"/>
  <c r="J219" i="4" l="1"/>
  <c r="J229" i="4"/>
  <c r="H41" i="31" l="1"/>
  <c r="Z41" i="31" l="1"/>
  <c r="H40" i="31"/>
  <c r="Z40" i="31" l="1"/>
  <c r="T98" i="7" l="1"/>
  <c r="T28" i="7" l="1"/>
  <c r="T97" i="7"/>
  <c r="T105" i="7"/>
  <c r="T108" i="7"/>
  <c r="T104" i="7" l="1"/>
  <c r="T38" i="7"/>
  <c r="H27" i="31" l="1"/>
  <c r="T27" i="7"/>
  <c r="H34" i="31"/>
  <c r="T34" i="7"/>
  <c r="T35" i="7"/>
  <c r="H35" i="31"/>
  <c r="J206" i="4"/>
  <c r="Z27" i="31" l="1"/>
  <c r="H101" i="7"/>
  <c r="T96" i="7"/>
  <c r="Z34" i="31"/>
  <c r="Z35" i="31"/>
  <c r="J207" i="4"/>
  <c r="J209" i="4"/>
  <c r="H26" i="31" l="1"/>
  <c r="H31" i="7"/>
  <c r="T26" i="7"/>
  <c r="T101" i="7"/>
  <c r="T31" i="7" l="1"/>
  <c r="Z26" i="31"/>
  <c r="H38" i="31" l="1"/>
  <c r="Z38" i="31" l="1"/>
  <c r="T106" i="7" l="1"/>
  <c r="T107" i="7"/>
  <c r="H113" i="7" l="1"/>
  <c r="H115" i="7" s="1"/>
  <c r="H130" i="7" s="1"/>
  <c r="T113" i="7"/>
  <c r="T115" i="7" s="1"/>
  <c r="T130" i="7" s="1"/>
  <c r="T37" i="7"/>
  <c r="J201" i="4" l="1"/>
  <c r="J198" i="4"/>
  <c r="T36" i="7"/>
  <c r="H43" i="7"/>
  <c r="H45" i="7" s="1"/>
  <c r="H60" i="7" s="1"/>
  <c r="T43" i="7" l="1"/>
  <c r="T45" i="7" s="1"/>
  <c r="T60" i="7" s="1"/>
  <c r="J199" i="4"/>
  <c r="I20" i="21" l="1"/>
  <c r="I24" i="21" s="1"/>
  <c r="I26" i="21" s="1"/>
  <c r="E26" i="21"/>
  <c r="I32" i="21" l="1"/>
  <c r="I36" i="21" s="1"/>
  <c r="I38" i="21" s="1"/>
  <c r="E36" i="21"/>
  <c r="E38" i="21" s="1"/>
  <c r="E40" i="21" s="1"/>
  <c r="I36" i="8" l="1"/>
  <c r="L205" i="6"/>
  <c r="I34" i="8"/>
  <c r="L199" i="6"/>
  <c r="I25" i="8"/>
  <c r="I35" i="8"/>
  <c r="I27" i="8"/>
  <c r="L192" i="6"/>
  <c r="I26" i="8"/>
  <c r="L193" i="6"/>
  <c r="I37" i="8" l="1"/>
  <c r="I39" i="8" s="1"/>
  <c r="N205" i="6"/>
  <c r="P205" i="6" s="1"/>
  <c r="J205" i="6"/>
  <c r="N193" i="6"/>
  <c r="P193" i="6" s="1"/>
  <c r="J193" i="6"/>
  <c r="L196" i="6"/>
  <c r="N192" i="6"/>
  <c r="P192" i="6" s="1"/>
  <c r="J192" i="6"/>
  <c r="I29" i="8"/>
  <c r="I31" i="8" s="1"/>
  <c r="N199" i="6"/>
  <c r="P199" i="6" s="1"/>
  <c r="J199" i="6"/>
  <c r="X113" i="7"/>
  <c r="X115" i="7" s="1"/>
  <c r="X130" i="7" s="1"/>
  <c r="H36" i="31"/>
  <c r="H37" i="31"/>
  <c r="N196" i="6" l="1"/>
  <c r="P196" i="6" s="1"/>
  <c r="J196" i="6"/>
  <c r="Z37" i="31"/>
  <c r="X43" i="7"/>
  <c r="Z36" i="31"/>
  <c r="H43" i="31"/>
  <c r="J635" i="6" l="1"/>
  <c r="AJ125" i="7"/>
  <c r="AL125" i="7" s="1"/>
  <c r="J636" i="6"/>
  <c r="AJ123" i="7"/>
  <c r="AL123" i="7" s="1"/>
  <c r="R53" i="31"/>
  <c r="AJ53" i="7"/>
  <c r="AL53" i="7" s="1"/>
  <c r="J666" i="6"/>
  <c r="J667" i="6"/>
  <c r="AJ122" i="7"/>
  <c r="AL122" i="7" s="1"/>
  <c r="AJ119" i="7"/>
  <c r="AL119" i="7" s="1"/>
  <c r="AJ124" i="7"/>
  <c r="AL124" i="7" s="1"/>
  <c r="Z43" i="31"/>
  <c r="AJ118" i="7" l="1"/>
  <c r="R55" i="31"/>
  <c r="AJ55" i="7"/>
  <c r="J611" i="6"/>
  <c r="J708" i="6"/>
  <c r="AO53" i="7"/>
  <c r="J580" i="6"/>
  <c r="J665" i="6"/>
  <c r="J593" i="6"/>
  <c r="I19" i="8"/>
  <c r="I22" i="8" s="1"/>
  <c r="J637" i="6"/>
  <c r="I13" i="8"/>
  <c r="I16" i="8" s="1"/>
  <c r="J706" i="6"/>
  <c r="J662" i="6"/>
  <c r="J707" i="6"/>
  <c r="J633" i="6"/>
  <c r="R54" i="31"/>
  <c r="AJ54" i="7"/>
  <c r="X53" i="31"/>
  <c r="AL53" i="31" s="1"/>
  <c r="V53" i="31"/>
  <c r="R49" i="31"/>
  <c r="AJ49" i="7"/>
  <c r="AL49" i="7" s="1"/>
  <c r="J682" i="6" l="1"/>
  <c r="N682" i="6"/>
  <c r="V55" i="31"/>
  <c r="X55" i="31"/>
  <c r="AL55" i="31" s="1"/>
  <c r="J651" i="6"/>
  <c r="J720" i="6"/>
  <c r="AO54" i="7"/>
  <c r="AL54" i="7"/>
  <c r="AO49" i="7"/>
  <c r="X49" i="31"/>
  <c r="AL49" i="31" s="1"/>
  <c r="V49" i="31"/>
  <c r="L585" i="6"/>
  <c r="J584" i="6"/>
  <c r="J721" i="6"/>
  <c r="AL118" i="7"/>
  <c r="N658" i="6"/>
  <c r="N656" i="6" s="1"/>
  <c r="P656" i="6" s="1"/>
  <c r="J658" i="6"/>
  <c r="N680" i="6"/>
  <c r="J680" i="6"/>
  <c r="N683" i="6"/>
  <c r="J683" i="6"/>
  <c r="X54" i="31"/>
  <c r="AL54" i="31" s="1"/>
  <c r="V54" i="31"/>
  <c r="I47" i="8"/>
  <c r="J581" i="6"/>
  <c r="N681" i="6"/>
  <c r="J681" i="6"/>
  <c r="J656" i="6"/>
  <c r="AO55" i="7"/>
  <c r="AL55" i="7"/>
  <c r="J585" i="6" l="1"/>
  <c r="N585" i="6"/>
  <c r="N679" i="6"/>
  <c r="J679" i="6"/>
  <c r="N659" i="6"/>
  <c r="N657" i="6" s="1"/>
  <c r="P657" i="6" s="1"/>
  <c r="J659" i="6"/>
  <c r="J678" i="6"/>
  <c r="N678" i="6"/>
  <c r="J719" i="6"/>
  <c r="J657" i="6"/>
  <c r="J616" i="6"/>
  <c r="N653" i="6"/>
  <c r="N651" i="6" s="1"/>
  <c r="P651" i="6" s="1"/>
  <c r="J653" i="6"/>
  <c r="AJ128" i="7"/>
  <c r="AJ58" i="7"/>
  <c r="J654" i="6"/>
  <c r="N654" i="6"/>
  <c r="N652" i="6" s="1"/>
  <c r="P652" i="6" s="1"/>
  <c r="J652" i="6"/>
  <c r="AL58" i="7" l="1"/>
  <c r="V58" i="7"/>
  <c r="R58" i="31" s="1"/>
  <c r="AN58" i="7"/>
  <c r="AO58" i="7" s="1"/>
  <c r="AJ52" i="7"/>
  <c r="R52" i="31"/>
  <c r="V128" i="7"/>
  <c r="AL128" i="7"/>
  <c r="R48" i="31"/>
  <c r="AJ48" i="7"/>
  <c r="J615" i="6"/>
  <c r="N615" i="6"/>
  <c r="N616" i="6" s="1"/>
  <c r="AL48" i="7" l="1"/>
  <c r="AO48" i="7"/>
  <c r="AL52" i="7"/>
  <c r="AO52" i="7"/>
  <c r="X48" i="31"/>
  <c r="AL48" i="31" s="1"/>
  <c r="V48" i="31"/>
  <c r="X58" i="31"/>
  <c r="AL58" i="31" s="1"/>
  <c r="V58" i="31"/>
  <c r="V52" i="31"/>
  <c r="X52" i="31"/>
  <c r="AL52" i="31" s="1"/>
  <c r="J392" i="6" l="1"/>
  <c r="H21" i="31"/>
  <c r="X23" i="7"/>
  <c r="J297" i="6"/>
  <c r="H28" i="31"/>
  <c r="AJ91" i="7"/>
  <c r="AL91" i="7" s="1"/>
  <c r="AJ90" i="7"/>
  <c r="AL90" i="7" s="1"/>
  <c r="AJ100" i="7"/>
  <c r="AL100" i="7" s="1"/>
  <c r="AJ87" i="7"/>
  <c r="AL87" i="7" s="1"/>
  <c r="AJ89" i="7"/>
  <c r="AL89" i="7" s="1"/>
  <c r="AJ99" i="7"/>
  <c r="AL99" i="7" s="1"/>
  <c r="AJ86" i="7"/>
  <c r="AL86" i="7" s="1"/>
  <c r="AJ83" i="7"/>
  <c r="AL83" i="7" s="1"/>
  <c r="AJ82" i="7"/>
  <c r="AJ105" i="7"/>
  <c r="AL105" i="7" s="1"/>
  <c r="AJ85" i="7"/>
  <c r="AL85" i="7" s="1"/>
  <c r="AJ109" i="7"/>
  <c r="AL109" i="7" s="1"/>
  <c r="AJ84" i="7"/>
  <c r="AL84" i="7" s="1"/>
  <c r="AJ108" i="7"/>
  <c r="AL108" i="7" s="1"/>
  <c r="H30" i="31"/>
  <c r="Z30" i="31" l="1"/>
  <c r="J336" i="6"/>
  <c r="J334" i="6"/>
  <c r="J333" i="6"/>
  <c r="J337" i="6"/>
  <c r="AL82" i="7"/>
  <c r="X31" i="7"/>
  <c r="X45" i="7" s="1"/>
  <c r="X60" i="7" s="1"/>
  <c r="Z21" i="31"/>
  <c r="H23" i="31"/>
  <c r="AJ104" i="7"/>
  <c r="Z28" i="31"/>
  <c r="H31" i="31"/>
  <c r="AJ112" i="7"/>
  <c r="AL112" i="7" s="1"/>
  <c r="AJ97" i="7"/>
  <c r="AL97" i="7" s="1"/>
  <c r="AJ98" i="7"/>
  <c r="AL98" i="7" s="1"/>
  <c r="AJ106" i="7"/>
  <c r="AL106" i="7" s="1"/>
  <c r="AJ107" i="7"/>
  <c r="AL107" i="7" s="1"/>
  <c r="AJ111" i="7"/>
  <c r="AL111" i="7" s="1"/>
  <c r="AJ110" i="7"/>
  <c r="AL110" i="7" s="1"/>
  <c r="J300" i="6" l="1"/>
  <c r="J700" i="6"/>
  <c r="J301" i="6"/>
  <c r="R13" i="31"/>
  <c r="AJ13" i="7"/>
  <c r="R29" i="31"/>
  <c r="AJ29" i="7"/>
  <c r="R17" i="31"/>
  <c r="AJ17" i="7"/>
  <c r="AL17" i="7" s="1"/>
  <c r="R20" i="31"/>
  <c r="AJ20" i="7"/>
  <c r="AL20" i="7" s="1"/>
  <c r="R21" i="31"/>
  <c r="AJ21" i="7"/>
  <c r="Z31" i="31"/>
  <c r="H45" i="31"/>
  <c r="Z23" i="31"/>
  <c r="J140" i="6"/>
  <c r="R15" i="31"/>
  <c r="AJ15" i="7"/>
  <c r="V93" i="7"/>
  <c r="AJ88" i="7"/>
  <c r="R19" i="31"/>
  <c r="AJ19" i="7"/>
  <c r="AL19" i="7" s="1"/>
  <c r="R38" i="31"/>
  <c r="AJ38" i="7"/>
  <c r="V113" i="7"/>
  <c r="R39" i="31"/>
  <c r="AJ39" i="7"/>
  <c r="AL39" i="7" s="1"/>
  <c r="V101" i="7"/>
  <c r="AJ96" i="7"/>
  <c r="AL104" i="7"/>
  <c r="AJ113" i="7"/>
  <c r="AL113" i="7" s="1"/>
  <c r="R34" i="31"/>
  <c r="AJ34" i="7"/>
  <c r="R30" i="31"/>
  <c r="AJ30" i="7"/>
  <c r="N50" i="6"/>
  <c r="N49" i="6"/>
  <c r="R12" i="31"/>
  <c r="AJ12" i="7"/>
  <c r="R14" i="31"/>
  <c r="AJ14" i="7"/>
  <c r="R37" i="31"/>
  <c r="AJ37" i="7"/>
  <c r="J296" i="6"/>
  <c r="R35" i="31"/>
  <c r="AJ35" i="7"/>
  <c r="AL35" i="7" s="1"/>
  <c r="N212" i="6"/>
  <c r="V43" i="7"/>
  <c r="J705" i="6" l="1"/>
  <c r="J704" i="6"/>
  <c r="J703" i="6"/>
  <c r="J591" i="6"/>
  <c r="J366" i="6"/>
  <c r="J330" i="6"/>
  <c r="J286" i="6"/>
  <c r="J702" i="6"/>
  <c r="J294" i="6"/>
  <c r="J283" i="6"/>
  <c r="J434" i="6"/>
  <c r="J701" i="6"/>
  <c r="J590" i="6"/>
  <c r="J592" i="6"/>
  <c r="J589" i="6"/>
  <c r="L600" i="6"/>
  <c r="V23" i="7"/>
  <c r="R18" i="31"/>
  <c r="AJ18" i="7"/>
  <c r="R26" i="31"/>
  <c r="V31" i="7"/>
  <c r="V45" i="7" s="1"/>
  <c r="AJ26" i="7"/>
  <c r="R41" i="31"/>
  <c r="AJ41" i="7"/>
  <c r="AL41" i="7" s="1"/>
  <c r="J347" i="6"/>
  <c r="AL37" i="7"/>
  <c r="J149" i="6"/>
  <c r="X15" i="31"/>
  <c r="AL15" i="31" s="1"/>
  <c r="V15" i="31"/>
  <c r="J329" i="6"/>
  <c r="R40" i="31"/>
  <c r="AJ40" i="7"/>
  <c r="AL40" i="7" s="1"/>
  <c r="X37" i="31"/>
  <c r="AL37" i="31" s="1"/>
  <c r="V37" i="31"/>
  <c r="X12" i="31"/>
  <c r="AL12" i="31" s="1"/>
  <c r="V12" i="31"/>
  <c r="AL30" i="7"/>
  <c r="J148" i="6"/>
  <c r="AJ101" i="7"/>
  <c r="AL101" i="7" s="1"/>
  <c r="AL96" i="7"/>
  <c r="X19" i="31"/>
  <c r="AL19" i="31" s="1"/>
  <c r="V19" i="31"/>
  <c r="AO21" i="7"/>
  <c r="AL21" i="7"/>
  <c r="X20" i="31"/>
  <c r="AL20" i="31" s="1"/>
  <c r="V20" i="31"/>
  <c r="R36" i="31"/>
  <c r="AJ36" i="7"/>
  <c r="AL36" i="7" s="1"/>
  <c r="AJ42" i="7"/>
  <c r="AL42" i="7" s="1"/>
  <c r="R42" i="31"/>
  <c r="L49" i="6"/>
  <c r="J48" i="6"/>
  <c r="AL14" i="7"/>
  <c r="J86" i="6"/>
  <c r="X30" i="31"/>
  <c r="AL30" i="31" s="1"/>
  <c r="V30" i="31"/>
  <c r="J328" i="6"/>
  <c r="J168" i="6"/>
  <c r="J534" i="6"/>
  <c r="H60" i="31"/>
  <c r="Z45" i="31"/>
  <c r="X21" i="31"/>
  <c r="AL21" i="31" s="1"/>
  <c r="V21" i="31"/>
  <c r="AL13" i="7"/>
  <c r="J424" i="6"/>
  <c r="AO30" i="7"/>
  <c r="J343" i="6"/>
  <c r="X35" i="31"/>
  <c r="AL35" i="31" s="1"/>
  <c r="V35" i="31"/>
  <c r="X14" i="31"/>
  <c r="AL14" i="31" s="1"/>
  <c r="V14" i="31"/>
  <c r="J144" i="6"/>
  <c r="J439" i="6"/>
  <c r="J145" i="6"/>
  <c r="X17" i="31"/>
  <c r="AL17" i="31" s="1"/>
  <c r="V17" i="31"/>
  <c r="X13" i="31"/>
  <c r="AL13" i="31" s="1"/>
  <c r="V13" i="31"/>
  <c r="R16" i="31"/>
  <c r="AJ16" i="7"/>
  <c r="AJ23" i="7" s="1"/>
  <c r="AO17" i="7"/>
  <c r="J479" i="6"/>
  <c r="J344" i="6"/>
  <c r="J147" i="6"/>
  <c r="J151" i="6"/>
  <c r="AO38" i="7"/>
  <c r="AL38" i="7"/>
  <c r="J141" i="6"/>
  <c r="J113" i="6"/>
  <c r="AO14" i="7"/>
  <c r="J114" i="6"/>
  <c r="J293" i="6"/>
  <c r="R28" i="31"/>
  <c r="AJ28" i="7"/>
  <c r="X39" i="31"/>
  <c r="AL39" i="31" s="1"/>
  <c r="V39" i="31"/>
  <c r="X38" i="31"/>
  <c r="AL38" i="31" s="1"/>
  <c r="V38" i="31"/>
  <c r="AL88" i="7"/>
  <c r="AJ93" i="7"/>
  <c r="AO15" i="7"/>
  <c r="AO39" i="7"/>
  <c r="J501" i="6"/>
  <c r="J387" i="6"/>
  <c r="AO13" i="7"/>
  <c r="J504" i="6"/>
  <c r="J539" i="6"/>
  <c r="J115" i="6"/>
  <c r="AL34" i="7"/>
  <c r="V115" i="7"/>
  <c r="AL29" i="7"/>
  <c r="J437" i="6"/>
  <c r="J346" i="6"/>
  <c r="J391" i="6"/>
  <c r="AO29" i="7"/>
  <c r="AO37" i="7"/>
  <c r="AJ27" i="7"/>
  <c r="AL27" i="7" s="1"/>
  <c r="R27" i="31"/>
  <c r="AL12" i="7"/>
  <c r="J471" i="6"/>
  <c r="X34" i="31"/>
  <c r="AL34" i="31" s="1"/>
  <c r="V34" i="31"/>
  <c r="AL15" i="7"/>
  <c r="X29" i="31"/>
  <c r="AL29" i="31" s="1"/>
  <c r="V29" i="31"/>
  <c r="J15" i="6" l="1"/>
  <c r="J443" i="6"/>
  <c r="R43" i="31"/>
  <c r="J717" i="6"/>
  <c r="J442" i="6"/>
  <c r="J433" i="6"/>
  <c r="J718" i="6"/>
  <c r="J715" i="6"/>
  <c r="J271" i="6"/>
  <c r="J714" i="6"/>
  <c r="J600" i="6"/>
  <c r="N600" i="6"/>
  <c r="AJ43" i="7"/>
  <c r="AL43" i="7" s="1"/>
  <c r="X43" i="31"/>
  <c r="AL43" i="31" s="1"/>
  <c r="V43" i="31"/>
  <c r="J65" i="6"/>
  <c r="J303" i="6"/>
  <c r="J502" i="6"/>
  <c r="X28" i="31"/>
  <c r="AL28" i="31" s="1"/>
  <c r="V28" i="31"/>
  <c r="J290" i="6"/>
  <c r="AL16" i="7"/>
  <c r="J175" i="6"/>
  <c r="J164" i="6"/>
  <c r="Z60" i="31"/>
  <c r="J117" i="6"/>
  <c r="J399" i="6"/>
  <c r="J253" i="6"/>
  <c r="J467" i="6"/>
  <c r="J445" i="6"/>
  <c r="J382" i="6"/>
  <c r="J250" i="6"/>
  <c r="J35" i="6"/>
  <c r="X41" i="31"/>
  <c r="AL41" i="31" s="1"/>
  <c r="V41" i="31"/>
  <c r="AO20" i="7"/>
  <c r="AO40" i="7"/>
  <c r="AO18" i="7"/>
  <c r="J492" i="6"/>
  <c r="J428" i="6"/>
  <c r="J371" i="6"/>
  <c r="J53" i="6"/>
  <c r="J402" i="6"/>
  <c r="J265" i="6"/>
  <c r="J272" i="6"/>
  <c r="J104" i="6"/>
  <c r="J94" i="6"/>
  <c r="J69" i="6"/>
  <c r="L195" i="6"/>
  <c r="J101" i="6"/>
  <c r="J419" i="6"/>
  <c r="X16" i="31"/>
  <c r="AL16" i="31" s="1"/>
  <c r="V16" i="31"/>
  <c r="J275" i="6"/>
  <c r="J63" i="6"/>
  <c r="J52" i="6"/>
  <c r="J251" i="6"/>
  <c r="L50" i="6"/>
  <c r="J49" i="6"/>
  <c r="J169" i="6"/>
  <c r="J364" i="6"/>
  <c r="J480" i="6"/>
  <c r="AO16" i="7"/>
  <c r="J274" i="6"/>
  <c r="J277" i="6"/>
  <c r="J161" i="6"/>
  <c r="J42" i="6"/>
  <c r="J263" i="6"/>
  <c r="J489" i="6"/>
  <c r="J143" i="6"/>
  <c r="J367" i="6"/>
  <c r="J388" i="6"/>
  <c r="X40" i="31"/>
  <c r="AL40" i="31" s="1"/>
  <c r="V40" i="31"/>
  <c r="J119" i="6"/>
  <c r="J67" i="6"/>
  <c r="J249" i="6"/>
  <c r="J496" i="6"/>
  <c r="J26" i="6"/>
  <c r="AJ31" i="7"/>
  <c r="AO26" i="7"/>
  <c r="AL26" i="7"/>
  <c r="J397" i="6"/>
  <c r="AO19" i="7"/>
  <c r="J426" i="6"/>
  <c r="P426" i="6"/>
  <c r="J267" i="6"/>
  <c r="J46" i="6"/>
  <c r="J172" i="6"/>
  <c r="X27" i="31"/>
  <c r="AL27" i="31" s="1"/>
  <c r="V27" i="31"/>
  <c r="J320" i="6"/>
  <c r="J256" i="6"/>
  <c r="J158" i="6"/>
  <c r="L212" i="6"/>
  <c r="J212" i="6" s="1"/>
  <c r="J31" i="6"/>
  <c r="J89" i="6"/>
  <c r="J368" i="6"/>
  <c r="J268" i="6"/>
  <c r="J108" i="6"/>
  <c r="J245" i="6"/>
  <c r="J66" i="6"/>
  <c r="J29" i="6"/>
  <c r="X36" i="31"/>
  <c r="AL36" i="31" s="1"/>
  <c r="V36" i="31"/>
  <c r="J24" i="6"/>
  <c r="J36" i="6"/>
  <c r="J171" i="6"/>
  <c r="AL18" i="7"/>
  <c r="AL23" i="7"/>
  <c r="J20" i="6"/>
  <c r="J284" i="6"/>
  <c r="J377" i="6"/>
  <c r="J56" i="6"/>
  <c r="J401" i="6"/>
  <c r="J379" i="6"/>
  <c r="J248" i="6"/>
  <c r="J530" i="6"/>
  <c r="J90" i="6"/>
  <c r="R23" i="31"/>
  <c r="J45" i="6"/>
  <c r="J162" i="6"/>
  <c r="J23" i="6"/>
  <c r="J87" i="6"/>
  <c r="R31" i="31"/>
  <c r="X26" i="31"/>
  <c r="AL26" i="31" s="1"/>
  <c r="V26" i="31"/>
  <c r="X18" i="31"/>
  <c r="AL18" i="31" s="1"/>
  <c r="V18" i="31"/>
  <c r="J420" i="6"/>
  <c r="J482" i="6"/>
  <c r="J281" i="6"/>
  <c r="J374" i="6"/>
  <c r="J173" i="6"/>
  <c r="J54" i="6"/>
  <c r="J157" i="6"/>
  <c r="J19" i="6"/>
  <c r="J40" i="6"/>
  <c r="J247" i="6"/>
  <c r="J423" i="6"/>
  <c r="J92" i="6"/>
  <c r="J291" i="6"/>
  <c r="J278" i="6"/>
  <c r="J17" i="6"/>
  <c r="J160" i="6"/>
  <c r="J96" i="6"/>
  <c r="J22" i="6"/>
  <c r="AO27" i="7"/>
  <c r="AO12" i="7"/>
  <c r="AO35" i="7"/>
  <c r="J381" i="6"/>
  <c r="J33" i="6"/>
  <c r="J464" i="6"/>
  <c r="J32" i="6"/>
  <c r="J109" i="6"/>
  <c r="J266" i="6"/>
  <c r="AL93" i="7"/>
  <c r="AJ115" i="7"/>
  <c r="J93" i="6"/>
  <c r="J60" i="6"/>
  <c r="J100" i="6"/>
  <c r="J527" i="6"/>
  <c r="J38" i="6"/>
  <c r="J398" i="6"/>
  <c r="J254" i="6"/>
  <c r="J287" i="6"/>
  <c r="J476" i="6"/>
  <c r="J121" i="6"/>
  <c r="J154" i="6"/>
  <c r="J107" i="6"/>
  <c r="J540" i="6"/>
  <c r="X42" i="31"/>
  <c r="AL42" i="31" s="1"/>
  <c r="V42" i="31"/>
  <c r="J260" i="6"/>
  <c r="J118" i="6"/>
  <c r="J477" i="6"/>
  <c r="J304" i="6"/>
  <c r="J429" i="6"/>
  <c r="J259" i="6"/>
  <c r="J394" i="6"/>
  <c r="J39" i="6"/>
  <c r="J59" i="6"/>
  <c r="J62" i="6"/>
  <c r="AO28" i="7"/>
  <c r="AL28" i="7"/>
  <c r="J34" i="6"/>
  <c r="J269" i="6"/>
  <c r="J370" i="6"/>
  <c r="J376" i="6"/>
  <c r="J505" i="6"/>
  <c r="J389" i="6"/>
  <c r="J155" i="6"/>
  <c r="J507" i="6"/>
  <c r="J378" i="6"/>
  <c r="J18" i="6"/>
  <c r="J257" i="6"/>
  <c r="J538" i="6"/>
  <c r="AO115" i="7" l="1"/>
  <c r="J607" i="6"/>
  <c r="N607" i="6"/>
  <c r="AJ45" i="7"/>
  <c r="AL45" i="7" s="1"/>
  <c r="J716" i="6"/>
  <c r="AJ121" i="7"/>
  <c r="V126" i="7"/>
  <c r="M97" i="10"/>
  <c r="O97" i="10" s="1"/>
  <c r="Q97" i="10" s="1"/>
  <c r="X23" i="31"/>
  <c r="AL23" i="31" s="1"/>
  <c r="R45" i="31"/>
  <c r="V23" i="31"/>
  <c r="J195" i="6"/>
  <c r="N195" i="6"/>
  <c r="P195" i="6" s="1"/>
  <c r="AO34" i="7"/>
  <c r="J469" i="6"/>
  <c r="AO36" i="7"/>
  <c r="AL115" i="7"/>
  <c r="J491" i="6"/>
  <c r="J468" i="6"/>
  <c r="J531" i="6"/>
  <c r="AL31" i="7"/>
  <c r="J493" i="6"/>
  <c r="J532" i="6"/>
  <c r="J466" i="6"/>
  <c r="AO23" i="7"/>
  <c r="J494" i="6"/>
  <c r="AN31" i="7"/>
  <c r="AO31" i="7" s="1"/>
  <c r="X31" i="31"/>
  <c r="AL31" i="31" s="1"/>
  <c r="V31" i="31"/>
  <c r="J50" i="6"/>
  <c r="J605" i="6" l="1"/>
  <c r="N605" i="6"/>
  <c r="V130" i="7"/>
  <c r="R51" i="31"/>
  <c r="AJ51" i="7"/>
  <c r="V56" i="7"/>
  <c r="V60" i="7" s="1"/>
  <c r="AN56" i="7"/>
  <c r="AL121" i="7"/>
  <c r="AJ126" i="7"/>
  <c r="N604" i="6"/>
  <c r="J604" i="6"/>
  <c r="M119" i="10"/>
  <c r="O119" i="10" s="1"/>
  <c r="Q119" i="10" s="1"/>
  <c r="M107" i="10"/>
  <c r="O107" i="10" s="1"/>
  <c r="Q107" i="10" s="1"/>
  <c r="J321" i="6"/>
  <c r="AN43" i="7"/>
  <c r="AN45" i="7" s="1"/>
  <c r="X45" i="31"/>
  <c r="AL45" i="31" s="1"/>
  <c r="V45" i="31"/>
  <c r="J529" i="6"/>
  <c r="AL126" i="7" l="1"/>
  <c r="AJ130" i="7"/>
  <c r="J606" i="6"/>
  <c r="N606" i="6"/>
  <c r="AL51" i="7"/>
  <c r="AO51" i="7"/>
  <c r="AJ56" i="7"/>
  <c r="V51" i="31"/>
  <c r="X51" i="31"/>
  <c r="AL51" i="31" s="1"/>
  <c r="R56" i="31"/>
  <c r="X56" i="31" l="1"/>
  <c r="AL56" i="31" s="1"/>
  <c r="V56" i="31"/>
  <c r="R60" i="31"/>
  <c r="AL130" i="7"/>
  <c r="AN60" i="7"/>
  <c r="AL56" i="7"/>
  <c r="AJ60" i="7"/>
  <c r="M272" i="9"/>
  <c r="Q272" i="9" s="1"/>
  <c r="M202" i="9"/>
  <c r="O202" i="9" s="1"/>
  <c r="Q202" i="9" s="1"/>
  <c r="M95" i="10"/>
  <c r="AL60" i="7" l="1"/>
  <c r="X60" i="31"/>
  <c r="AL60" i="31" s="1"/>
  <c r="V60" i="31"/>
  <c r="M225" i="9"/>
  <c r="O225" i="9" s="1"/>
  <c r="Q225" i="9" s="1"/>
  <c r="M201" i="9"/>
  <c r="O201" i="9" s="1"/>
  <c r="Q201" i="9" s="1"/>
  <c r="M28" i="9"/>
  <c r="O28" i="9" s="1"/>
  <c r="Q28" i="9" s="1"/>
  <c r="M214" i="9"/>
  <c r="O214" i="9" s="1"/>
  <c r="Q214" i="9" s="1"/>
  <c r="M273" i="9"/>
  <c r="Q273" i="9" s="1"/>
  <c r="M213" i="9"/>
  <c r="O213" i="9" s="1"/>
  <c r="Q213" i="9" s="1"/>
  <c r="M226" i="9"/>
  <c r="O226" i="9" s="1"/>
  <c r="Q226" i="9" s="1"/>
  <c r="M16" i="9"/>
  <c r="O16" i="9" s="1"/>
  <c r="Q16" i="9" s="1"/>
  <c r="M105" i="10"/>
  <c r="O95" i="10"/>
  <c r="Q95" i="10" s="1"/>
  <c r="M101" i="10"/>
  <c r="M204" i="11"/>
  <c r="Q204" i="11" s="1"/>
  <c r="E207" i="11"/>
  <c r="M105" i="11"/>
  <c r="M117" i="10"/>
  <c r="I110" i="11"/>
  <c r="M53" i="9" l="1"/>
  <c r="O53" i="9" s="1"/>
  <c r="Q53" i="9" s="1"/>
  <c r="M261" i="9"/>
  <c r="O261" i="9" s="1"/>
  <c r="Q261" i="9" s="1"/>
  <c r="M171" i="9"/>
  <c r="O171" i="9" s="1"/>
  <c r="Q171" i="9" s="1"/>
  <c r="M147" i="9"/>
  <c r="O147" i="9" s="1"/>
  <c r="Q147" i="9" s="1"/>
  <c r="M182" i="9"/>
  <c r="M29" i="9"/>
  <c r="O29" i="9" s="1"/>
  <c r="Q29" i="9" s="1"/>
  <c r="M76" i="9"/>
  <c r="O76" i="9" s="1"/>
  <c r="Q76" i="9" s="1"/>
  <c r="M158" i="9"/>
  <c r="O158" i="9" s="1"/>
  <c r="Q158" i="9" s="1"/>
  <c r="M52" i="9"/>
  <c r="O52" i="9" s="1"/>
  <c r="Q52" i="9" s="1"/>
  <c r="M64" i="9"/>
  <c r="O64" i="9" s="1"/>
  <c r="Q64" i="9" s="1"/>
  <c r="M17" i="9"/>
  <c r="O17" i="9" s="1"/>
  <c r="Q17" i="9" s="1"/>
  <c r="M135" i="9"/>
  <c r="O135" i="9" s="1"/>
  <c r="Q135" i="9" s="1"/>
  <c r="M250" i="9"/>
  <c r="O250" i="9" s="1"/>
  <c r="Q250" i="9" s="1"/>
  <c r="M122" i="9"/>
  <c r="O122" i="9" s="1"/>
  <c r="Q122" i="9" s="1"/>
  <c r="M159" i="9"/>
  <c r="O159" i="9" s="1"/>
  <c r="Q159" i="9" s="1"/>
  <c r="M110" i="9"/>
  <c r="O110" i="9" s="1"/>
  <c r="Q110" i="9" s="1"/>
  <c r="M237" i="9"/>
  <c r="O237" i="9" s="1"/>
  <c r="Q237" i="9" s="1"/>
  <c r="M262" i="9"/>
  <c r="O262" i="9" s="1"/>
  <c r="Q262" i="9" s="1"/>
  <c r="M238" i="9"/>
  <c r="O238" i="9" s="1"/>
  <c r="Q238" i="9" s="1"/>
  <c r="M146" i="9"/>
  <c r="O146" i="9" s="1"/>
  <c r="Q146" i="9" s="1"/>
  <c r="M40" i="9"/>
  <c r="O40" i="9" s="1"/>
  <c r="Q40" i="9" s="1"/>
  <c r="M88" i="9"/>
  <c r="O88" i="9" s="1"/>
  <c r="Q88" i="9" s="1"/>
  <c r="M111" i="9"/>
  <c r="O111" i="9" s="1"/>
  <c r="Q111" i="9" s="1"/>
  <c r="M77" i="9"/>
  <c r="O77" i="9" s="1"/>
  <c r="Q77" i="9" s="1"/>
  <c r="M271" i="9"/>
  <c r="I274" i="9"/>
  <c r="M134" i="9"/>
  <c r="O134" i="9" s="1"/>
  <c r="Q134" i="9" s="1"/>
  <c r="M249" i="9"/>
  <c r="O249" i="9" s="1"/>
  <c r="Q249" i="9" s="1"/>
  <c r="M89" i="9"/>
  <c r="O89" i="9" s="1"/>
  <c r="Q89" i="9" s="1"/>
  <c r="M41" i="9"/>
  <c r="O41" i="9" s="1"/>
  <c r="Q41" i="9" s="1"/>
  <c r="M65" i="9"/>
  <c r="O65" i="9" s="1"/>
  <c r="Q65" i="9" s="1"/>
  <c r="M170" i="9"/>
  <c r="O170" i="9" s="1"/>
  <c r="Q170" i="9" s="1"/>
  <c r="M123" i="9"/>
  <c r="O123" i="9" s="1"/>
  <c r="Q123" i="9" s="1"/>
  <c r="M54" i="10"/>
  <c r="O105" i="11"/>
  <c r="Q105" i="11" s="1"/>
  <c r="M110" i="11"/>
  <c r="M57" i="10"/>
  <c r="O57" i="10" s="1"/>
  <c r="Q57" i="10" s="1"/>
  <c r="E60" i="10"/>
  <c r="E144" i="11"/>
  <c r="M141" i="11"/>
  <c r="O141" i="11" s="1"/>
  <c r="Q141" i="11" s="1"/>
  <c r="I108" i="11"/>
  <c r="I90" i="11"/>
  <c r="M87" i="11"/>
  <c r="I92" i="11"/>
  <c r="M14" i="11"/>
  <c r="I19" i="11"/>
  <c r="M66" i="10"/>
  <c r="O66" i="10" s="1"/>
  <c r="Q66" i="10" s="1"/>
  <c r="M187" i="11"/>
  <c r="O187" i="11" s="1"/>
  <c r="Q187" i="11" s="1"/>
  <c r="E190" i="11"/>
  <c r="I207" i="11"/>
  <c r="I205" i="11"/>
  <c r="M203" i="11"/>
  <c r="M56" i="10"/>
  <c r="O56" i="10" s="1"/>
  <c r="Q56" i="10" s="1"/>
  <c r="M70" i="11"/>
  <c r="O70" i="11" s="1"/>
  <c r="Q70" i="11" s="1"/>
  <c r="E73" i="11"/>
  <c r="E40" i="10"/>
  <c r="M37" i="10"/>
  <c r="O37" i="10" s="1"/>
  <c r="Q37" i="10" s="1"/>
  <c r="M16" i="10"/>
  <c r="O16" i="10" s="1"/>
  <c r="Q16" i="10" s="1"/>
  <c r="E55" i="11"/>
  <c r="M52" i="11"/>
  <c r="O52" i="11" s="1"/>
  <c r="Q52" i="11" s="1"/>
  <c r="M26" i="10"/>
  <c r="O26" i="10" s="1"/>
  <c r="Q26" i="10" s="1"/>
  <c r="E92" i="11"/>
  <c r="M89" i="11"/>
  <c r="O89" i="11" s="1"/>
  <c r="Q89" i="11" s="1"/>
  <c r="E20" i="10"/>
  <c r="M17" i="10"/>
  <c r="O17" i="10" s="1"/>
  <c r="Q17" i="10" s="1"/>
  <c r="M61" i="11"/>
  <c r="O61" i="11" s="1"/>
  <c r="Q61" i="11" s="1"/>
  <c r="E64" i="11"/>
  <c r="M16" i="11"/>
  <c r="O16" i="11" s="1"/>
  <c r="Q16" i="11" s="1"/>
  <c r="E19" i="11"/>
  <c r="E135" i="11"/>
  <c r="M132" i="11"/>
  <c r="Q132" i="11" s="1"/>
  <c r="M36" i="10"/>
  <c r="O36" i="10" s="1"/>
  <c r="Q36" i="10" s="1"/>
  <c r="M43" i="11"/>
  <c r="O43" i="11" s="1"/>
  <c r="Q43" i="11" s="1"/>
  <c r="E46" i="11"/>
  <c r="M160" i="11"/>
  <c r="O160" i="11" s="1"/>
  <c r="Q160" i="11" s="1"/>
  <c r="E163" i="11"/>
  <c r="E37" i="11"/>
  <c r="M34" i="11"/>
  <c r="O34" i="11" s="1"/>
  <c r="Q34" i="11" s="1"/>
  <c r="M24" i="10"/>
  <c r="M25" i="11"/>
  <c r="O25" i="11" s="1"/>
  <c r="Q25" i="11" s="1"/>
  <c r="E28" i="11"/>
  <c r="I101" i="11"/>
  <c r="I99" i="11"/>
  <c r="M96" i="11"/>
  <c r="I127" i="11"/>
  <c r="M123" i="11"/>
  <c r="I125" i="11"/>
  <c r="M123" i="10"/>
  <c r="O117" i="10"/>
  <c r="Q117" i="10" s="1"/>
  <c r="I20" i="10"/>
  <c r="I18" i="10"/>
  <c r="M14" i="10"/>
  <c r="M68" i="11"/>
  <c r="I73" i="11"/>
  <c r="E181" i="11"/>
  <c r="M178" i="11"/>
  <c r="O178" i="11" s="1"/>
  <c r="Q178" i="11" s="1"/>
  <c r="M116" i="11"/>
  <c r="O116" i="11" s="1"/>
  <c r="Q116" i="11" s="1"/>
  <c r="E119" i="11"/>
  <c r="M176" i="11"/>
  <c r="I181" i="11"/>
  <c r="I179" i="11"/>
  <c r="M27" i="10"/>
  <c r="O27" i="10" s="1"/>
  <c r="Q27" i="10" s="1"/>
  <c r="E30" i="10"/>
  <c r="M44" i="10"/>
  <c r="M46" i="10"/>
  <c r="O46" i="10" s="1"/>
  <c r="Q46" i="10" s="1"/>
  <c r="I117" i="11"/>
  <c r="M114" i="11"/>
  <c r="I119" i="11"/>
  <c r="M107" i="11"/>
  <c r="O107" i="11" s="1"/>
  <c r="Q107" i="11" s="1"/>
  <c r="E110" i="11"/>
  <c r="M169" i="11"/>
  <c r="O169" i="11" s="1"/>
  <c r="Q169" i="11" s="1"/>
  <c r="E172" i="11"/>
  <c r="I64" i="11"/>
  <c r="M59" i="11"/>
  <c r="M47" i="10"/>
  <c r="O47" i="10" s="1"/>
  <c r="Q47" i="10" s="1"/>
  <c r="E50" i="10"/>
  <c r="E127" i="11"/>
  <c r="M124" i="11"/>
  <c r="Q124" i="11" s="1"/>
  <c r="M98" i="11"/>
  <c r="O98" i="11" s="1"/>
  <c r="Q98" i="11" s="1"/>
  <c r="E101" i="11"/>
  <c r="M131" i="11"/>
  <c r="I135" i="11"/>
  <c r="I133" i="11"/>
  <c r="M196" i="11"/>
  <c r="O196" i="11" s="1"/>
  <c r="Q196" i="11" s="1"/>
  <c r="E199" i="11"/>
  <c r="O105" i="10"/>
  <c r="Q105" i="10" s="1"/>
  <c r="M111" i="10"/>
  <c r="I38" i="10"/>
  <c r="M34" i="10"/>
  <c r="I40" i="10"/>
  <c r="I91" i="10" l="1"/>
  <c r="I28" i="10"/>
  <c r="I89" i="10"/>
  <c r="I50" i="10"/>
  <c r="O182" i="9"/>
  <c r="Q182" i="9" s="1"/>
  <c r="I148" i="9"/>
  <c r="M144" i="9"/>
  <c r="M120" i="9"/>
  <c r="I124" i="9"/>
  <c r="M211" i="9"/>
  <c r="I215" i="9"/>
  <c r="I183" i="9"/>
  <c r="M180" i="9"/>
  <c r="M199" i="9"/>
  <c r="I203" i="9"/>
  <c r="I48" i="10"/>
  <c r="I30" i="10"/>
  <c r="M274" i="9"/>
  <c r="Q271" i="9"/>
  <c r="Q274" i="9"/>
  <c r="I227" i="9"/>
  <c r="M223" i="9"/>
  <c r="M101" i="11"/>
  <c r="O96" i="11"/>
  <c r="Q96" i="11" s="1"/>
  <c r="M99" i="11"/>
  <c r="Q123" i="11"/>
  <c r="M127" i="11"/>
  <c r="Q127" i="11" s="1"/>
  <c r="M125" i="11"/>
  <c r="Q125" i="11" s="1"/>
  <c r="M60" i="10"/>
  <c r="O54" i="10"/>
  <c r="Q54" i="10" s="1"/>
  <c r="Q58" i="10"/>
  <c r="M58" i="10"/>
  <c r="O58" i="10" s="1"/>
  <c r="M91" i="10"/>
  <c r="M67" i="10"/>
  <c r="O67" i="10" s="1"/>
  <c r="Q67" i="10" s="1"/>
  <c r="E70" i="10"/>
  <c r="Q48" i="10"/>
  <c r="O44" i="10"/>
  <c r="Q44" i="10" s="1"/>
  <c r="M48" i="10"/>
  <c r="O48" i="10" s="1"/>
  <c r="M50" i="10"/>
  <c r="K125" i="10"/>
  <c r="M98" i="10"/>
  <c r="E101" i="10"/>
  <c r="I99" i="10"/>
  <c r="I101" i="10"/>
  <c r="M88" i="10"/>
  <c r="O88" i="10" s="1"/>
  <c r="Q88" i="10" s="1"/>
  <c r="E91" i="10"/>
  <c r="I188" i="11"/>
  <c r="M185" i="11"/>
  <c r="I190" i="11"/>
  <c r="I60" i="10"/>
  <c r="M167" i="11"/>
  <c r="I170" i="11"/>
  <c r="I172" i="11"/>
  <c r="M20" i="10"/>
  <c r="O14" i="10"/>
  <c r="Q14" i="10" s="1"/>
  <c r="Q18" i="10"/>
  <c r="M18" i="10"/>
  <c r="O18" i="10" s="1"/>
  <c r="I144" i="11"/>
  <c r="I142" i="11"/>
  <c r="M139" i="11"/>
  <c r="O87" i="11"/>
  <c r="Q87" i="11" s="1"/>
  <c r="M90" i="11"/>
  <c r="M92" i="11"/>
  <c r="I28" i="11"/>
  <c r="M23" i="11"/>
  <c r="M119" i="11"/>
  <c r="O114" i="11"/>
  <c r="Q114" i="11" s="1"/>
  <c r="M117" i="11"/>
  <c r="I55" i="11"/>
  <c r="M50" i="11"/>
  <c r="I46" i="11"/>
  <c r="M41" i="11"/>
  <c r="I161" i="11"/>
  <c r="I163" i="11"/>
  <c r="M158" i="11"/>
  <c r="O59" i="11"/>
  <c r="Q59" i="11" s="1"/>
  <c r="M62" i="11"/>
  <c r="M64" i="11"/>
  <c r="O176" i="11"/>
  <c r="Q176" i="11" s="1"/>
  <c r="M181" i="11"/>
  <c r="M179" i="11"/>
  <c r="M71" i="11"/>
  <c r="O68" i="11"/>
  <c r="Q68" i="11" s="1"/>
  <c r="M73" i="11"/>
  <c r="M64" i="10"/>
  <c r="I68" i="10"/>
  <c r="I70" i="10"/>
  <c r="M30" i="10"/>
  <c r="M28" i="10"/>
  <c r="O28" i="10" s="1"/>
  <c r="Q28" i="10"/>
  <c r="O24" i="10"/>
  <c r="Q24" i="10" s="1"/>
  <c r="M32" i="11"/>
  <c r="I37" i="11"/>
  <c r="O14" i="11"/>
  <c r="Q14" i="11" s="1"/>
  <c r="M19" i="11"/>
  <c r="M17" i="11"/>
  <c r="Q38" i="10"/>
  <c r="M40" i="10"/>
  <c r="M38" i="10"/>
  <c r="O38" i="10" s="1"/>
  <c r="O34" i="10"/>
  <c r="Q34" i="10" s="1"/>
  <c r="M133" i="11"/>
  <c r="Q133" i="11" s="1"/>
  <c r="Q131" i="11"/>
  <c r="M135" i="11"/>
  <c r="Q135" i="11" s="1"/>
  <c r="I197" i="11"/>
  <c r="I199" i="11"/>
  <c r="M194" i="11"/>
  <c r="M207" i="11"/>
  <c r="Q207" i="11" s="1"/>
  <c r="M205" i="11"/>
  <c r="Q205" i="11" s="1"/>
  <c r="Q203" i="11"/>
  <c r="O110" i="11"/>
  <c r="Q110" i="11"/>
  <c r="M108" i="11"/>
  <c r="I58" i="10"/>
  <c r="Q89" i="10" l="1"/>
  <c r="O180" i="9"/>
  <c r="Q180" i="9" s="1"/>
  <c r="M183" i="9"/>
  <c r="O183" i="9" s="1"/>
  <c r="Q183" i="9"/>
  <c r="M247" i="9"/>
  <c r="I251" i="9"/>
  <c r="M62" i="9"/>
  <c r="I66" i="9"/>
  <c r="I18" i="9"/>
  <c r="M14" i="9"/>
  <c r="M108" i="9"/>
  <c r="I112" i="9"/>
  <c r="O120" i="9"/>
  <c r="Q120" i="9" s="1"/>
  <c r="M124" i="9"/>
  <c r="O124" i="9" s="1"/>
  <c r="Q124" i="9"/>
  <c r="I78" i="9"/>
  <c r="M74" i="9"/>
  <c r="M168" i="9"/>
  <c r="I172" i="9"/>
  <c r="M215" i="9"/>
  <c r="O215" i="9" s="1"/>
  <c r="O211" i="9"/>
  <c r="Q211" i="9" s="1"/>
  <c r="Q215" i="9"/>
  <c r="I160" i="9"/>
  <c r="M156" i="9"/>
  <c r="M132" i="9"/>
  <c r="I136" i="9"/>
  <c r="M235" i="9"/>
  <c r="I239" i="9"/>
  <c r="Q203" i="9"/>
  <c r="O199" i="9"/>
  <c r="Q199" i="9" s="1"/>
  <c r="M203" i="9"/>
  <c r="O203" i="9" s="1"/>
  <c r="I263" i="9"/>
  <c r="M259" i="9"/>
  <c r="M148" i="9"/>
  <c r="O148" i="9" s="1"/>
  <c r="Q148" i="9"/>
  <c r="O144" i="9"/>
  <c r="Q144" i="9" s="1"/>
  <c r="M38" i="9"/>
  <c r="I42" i="9"/>
  <c r="O223" i="9"/>
  <c r="Q223" i="9" s="1"/>
  <c r="Q227" i="9"/>
  <c r="M227" i="9"/>
  <c r="O227" i="9" s="1"/>
  <c r="M26" i="9"/>
  <c r="I30" i="9"/>
  <c r="M50" i="9"/>
  <c r="I54" i="9"/>
  <c r="I90" i="9"/>
  <c r="M86" i="9"/>
  <c r="Q19" i="11"/>
  <c r="O19" i="11"/>
  <c r="K111" i="10"/>
  <c r="K113" i="10"/>
  <c r="O92" i="11"/>
  <c r="Q92" i="11"/>
  <c r="Q179" i="11"/>
  <c r="O179" i="11"/>
  <c r="M197" i="11"/>
  <c r="O194" i="11"/>
  <c r="Q194" i="11" s="1"/>
  <c r="M199" i="11"/>
  <c r="Q17" i="11"/>
  <c r="O17" i="11"/>
  <c r="Q71" i="11"/>
  <c r="O71" i="11"/>
  <c r="O119" i="11"/>
  <c r="Q119" i="11"/>
  <c r="O90" i="11"/>
  <c r="Q90" i="11"/>
  <c r="O60" i="10"/>
  <c r="Q60" i="10"/>
  <c r="Q99" i="11"/>
  <c r="O99" i="11"/>
  <c r="O108" i="11"/>
  <c r="Q108" i="11"/>
  <c r="Q30" i="10"/>
  <c r="O30" i="10"/>
  <c r="Q181" i="11"/>
  <c r="O181" i="11"/>
  <c r="M142" i="11"/>
  <c r="O139" i="11"/>
  <c r="Q139" i="11" s="1"/>
  <c r="M144" i="11"/>
  <c r="Q101" i="10"/>
  <c r="O101" i="10"/>
  <c r="E113" i="10"/>
  <c r="M108" i="10"/>
  <c r="E111" i="10"/>
  <c r="I113" i="10"/>
  <c r="I109" i="10"/>
  <c r="I111" i="10"/>
  <c r="O101" i="11"/>
  <c r="Q101" i="11"/>
  <c r="M170" i="11"/>
  <c r="O167" i="11"/>
  <c r="Q167" i="11" s="1"/>
  <c r="M172" i="11"/>
  <c r="O98" i="10"/>
  <c r="Q98" i="10" s="1"/>
  <c r="M99" i="10"/>
  <c r="O99" i="10" s="1"/>
  <c r="Q99" i="10"/>
  <c r="O50" i="10"/>
  <c r="Q50" i="10"/>
  <c r="M89" i="10"/>
  <c r="O89" i="10" s="1"/>
  <c r="O64" i="11"/>
  <c r="Q64" i="11"/>
  <c r="O158" i="11"/>
  <c r="Q158" i="11" s="1"/>
  <c r="M161" i="11"/>
  <c r="M163" i="11"/>
  <c r="O50" i="11"/>
  <c r="Q50" i="11" s="1"/>
  <c r="M53" i="11"/>
  <c r="M55" i="11"/>
  <c r="G113" i="10"/>
  <c r="G111" i="10"/>
  <c r="M26" i="11"/>
  <c r="M28" i="11"/>
  <c r="O23" i="11"/>
  <c r="Q23" i="11" s="1"/>
  <c r="O91" i="10"/>
  <c r="Q91" i="10"/>
  <c r="M68" i="10"/>
  <c r="O68" i="10" s="1"/>
  <c r="Q68" i="10"/>
  <c r="O64" i="10"/>
  <c r="Q64" i="10" s="1"/>
  <c r="M70" i="10"/>
  <c r="O62" i="11"/>
  <c r="Q62" i="11"/>
  <c r="E125" i="10"/>
  <c r="E123" i="10"/>
  <c r="M120" i="10"/>
  <c r="I121" i="10"/>
  <c r="I123" i="10"/>
  <c r="I125" i="10"/>
  <c r="O40" i="10"/>
  <c r="Q40" i="10"/>
  <c r="O32" i="11"/>
  <c r="Q32" i="11" s="1"/>
  <c r="M35" i="11"/>
  <c r="M37" i="11"/>
  <c r="Q73" i="11"/>
  <c r="O73" i="11"/>
  <c r="M44" i="11"/>
  <c r="O41" i="11"/>
  <c r="Q41" i="11" s="1"/>
  <c r="M46" i="11"/>
  <c r="Q117" i="11"/>
  <c r="O117" i="11"/>
  <c r="O20" i="10"/>
  <c r="Q20" i="10"/>
  <c r="M188" i="11"/>
  <c r="O185" i="11"/>
  <c r="Q185" i="11" s="1"/>
  <c r="M190" i="11"/>
  <c r="G123" i="10"/>
  <c r="G125" i="10"/>
  <c r="M113" i="10" l="1"/>
  <c r="M30" i="9"/>
  <c r="O30" i="9" s="1"/>
  <c r="O26" i="9"/>
  <c r="Q26" i="9" s="1"/>
  <c r="Q30" i="9"/>
  <c r="O86" i="9"/>
  <c r="Q86" i="9" s="1"/>
  <c r="M90" i="9"/>
  <c r="O90" i="9" s="1"/>
  <c r="Q90" i="9"/>
  <c r="Q66" i="9"/>
  <c r="M66" i="9"/>
  <c r="O66" i="9" s="1"/>
  <c r="O62" i="9"/>
  <c r="Q62" i="9" s="1"/>
  <c r="M239" i="9"/>
  <c r="O239" i="9" s="1"/>
  <c r="Q239" i="9"/>
  <c r="O235" i="9"/>
  <c r="Q235" i="9" s="1"/>
  <c r="O156" i="9"/>
  <c r="Q156" i="9" s="1"/>
  <c r="Q160" i="9"/>
  <c r="M160" i="9"/>
  <c r="O160" i="9" s="1"/>
  <c r="Q251" i="9"/>
  <c r="M251" i="9"/>
  <c r="O251" i="9" s="1"/>
  <c r="O247" i="9"/>
  <c r="Q247" i="9" s="1"/>
  <c r="O38" i="9"/>
  <c r="Q38" i="9" s="1"/>
  <c r="M42" i="9"/>
  <c r="O42" i="9" s="1"/>
  <c r="Q42" i="9"/>
  <c r="M263" i="9"/>
  <c r="O263" i="9" s="1"/>
  <c r="Q263" i="9"/>
  <c r="O259" i="9"/>
  <c r="Q259" i="9" s="1"/>
  <c r="O108" i="9"/>
  <c r="Q108" i="9" s="1"/>
  <c r="M112" i="9"/>
  <c r="O112" i="9" s="1"/>
  <c r="Q112" i="9"/>
  <c r="O50" i="9"/>
  <c r="Q50" i="9" s="1"/>
  <c r="Q54" i="9"/>
  <c r="M54" i="9"/>
  <c r="O54" i="9" s="1"/>
  <c r="M172" i="9"/>
  <c r="O172" i="9" s="1"/>
  <c r="O168" i="9"/>
  <c r="Q168" i="9" s="1"/>
  <c r="Q172" i="9"/>
  <c r="Q18" i="9"/>
  <c r="O14" i="9"/>
  <c r="Q14" i="9" s="1"/>
  <c r="M18" i="9"/>
  <c r="O18" i="9" s="1"/>
  <c r="O132" i="9"/>
  <c r="Q132" i="9" s="1"/>
  <c r="M136" i="9"/>
  <c r="O136" i="9" s="1"/>
  <c r="Q136" i="9"/>
  <c r="O74" i="9"/>
  <c r="Q74" i="9" s="1"/>
  <c r="M78" i="9"/>
  <c r="O78" i="9" s="1"/>
  <c r="Q78" i="9"/>
  <c r="O28" i="11"/>
  <c r="Q28" i="11"/>
  <c r="Q199" i="11"/>
  <c r="O199" i="11"/>
  <c r="Q163" i="11"/>
  <c r="O163" i="11"/>
  <c r="O123" i="10"/>
  <c r="Q123" i="10"/>
  <c r="Q161" i="11"/>
  <c r="O161" i="11"/>
  <c r="O197" i="11"/>
  <c r="Q197" i="11"/>
  <c r="O190" i="11"/>
  <c r="Q190" i="11"/>
  <c r="O113" i="10"/>
  <c r="Q113" i="10"/>
  <c r="O144" i="11"/>
  <c r="Q144" i="11"/>
  <c r="O120" i="10"/>
  <c r="Q120" i="10" s="1"/>
  <c r="M121" i="10"/>
  <c r="O121" i="10" s="1"/>
  <c r="Q121" i="10"/>
  <c r="M125" i="10"/>
  <c r="Q172" i="11"/>
  <c r="O172" i="11"/>
  <c r="O111" i="10"/>
  <c r="Q111" i="10"/>
  <c r="Q46" i="11"/>
  <c r="O46" i="11"/>
  <c r="O26" i="11"/>
  <c r="Q26" i="11"/>
  <c r="Q44" i="11"/>
  <c r="O44" i="11"/>
  <c r="O37" i="11"/>
  <c r="Q37" i="11"/>
  <c r="O108" i="10"/>
  <c r="Q108" i="10" s="1"/>
  <c r="M109" i="10"/>
  <c r="O109" i="10" s="1"/>
  <c r="Q109" i="10"/>
  <c r="Q142" i="11"/>
  <c r="O142" i="11"/>
  <c r="O188" i="11"/>
  <c r="Q188" i="11"/>
  <c r="O55" i="11"/>
  <c r="Q55" i="11"/>
  <c r="Q35" i="11"/>
  <c r="O35" i="11"/>
  <c r="Q70" i="10"/>
  <c r="O70" i="10"/>
  <c r="Q53" i="11"/>
  <c r="O53" i="11"/>
  <c r="Q170" i="11"/>
  <c r="O170" i="11"/>
  <c r="Q125" i="10" l="1"/>
  <c r="O125" i="10"/>
  <c r="A126" i="9"/>
  <c r="A127" i="9" s="1"/>
  <c r="A128" i="9" s="1"/>
  <c r="A129" i="9" s="1"/>
  <c r="A132" i="9" s="1"/>
  <c r="A133" i="9" s="1"/>
  <c r="A134" i="9" s="1"/>
  <c r="A135" i="9" s="1"/>
  <c r="A136" i="9" s="1"/>
  <c r="A138" i="9" s="1"/>
  <c r="A139" i="9" s="1"/>
  <c r="A140" i="9" s="1"/>
  <c r="A141" i="9" s="1"/>
  <c r="A144" i="9" s="1"/>
  <c r="A145" i="9" s="1"/>
  <c r="A146" i="9" s="1"/>
  <c r="A147" i="9" s="1"/>
  <c r="A148" i="9" s="1"/>
  <c r="A150" i="9" s="1"/>
  <c r="A151" i="9" s="1"/>
  <c r="A152" i="9" s="1"/>
  <c r="A153" i="9" s="1"/>
  <c r="A156" i="9" s="1"/>
  <c r="A157" i="9" s="1"/>
  <c r="A158" i="9" s="1"/>
  <c r="A159" i="9" s="1"/>
  <c r="A160" i="9" s="1"/>
  <c r="A162" i="9" s="1"/>
  <c r="A163" i="9" s="1"/>
  <c r="A164" i="9" s="1"/>
  <c r="A165" i="9" s="1"/>
  <c r="A168" i="9" s="1"/>
  <c r="A169" i="9" s="1"/>
  <c r="A170" i="9" s="1"/>
  <c r="A171" i="9" s="1"/>
  <c r="A172" i="9" s="1"/>
  <c r="A174" i="9" s="1"/>
  <c r="A175" i="9" s="1"/>
  <c r="A176" i="9" s="1"/>
  <c r="A177" i="9" s="1"/>
  <c r="A181" i="9" s="1"/>
  <c r="A182" i="9" s="1"/>
  <c r="A183" i="9" s="1"/>
  <c r="A185" i="9" s="1"/>
  <c r="A186" i="9" s="1"/>
  <c r="A199" i="9" s="1"/>
  <c r="A200" i="9" s="1"/>
  <c r="A201" i="9" s="1"/>
  <c r="A202" i="9" s="1"/>
  <c r="A203" i="9" s="1"/>
  <c r="A205" i="9" s="1"/>
  <c r="A206" i="9" s="1"/>
  <c r="A207" i="9" s="1"/>
  <c r="A208" i="9" s="1"/>
  <c r="A211" i="9" s="1"/>
  <c r="A212" i="9" s="1"/>
  <c r="A213" i="9" s="1"/>
  <c r="A214" i="9" s="1"/>
  <c r="A215" i="9" s="1"/>
  <c r="A217" i="9" s="1"/>
  <c r="A218" i="9" s="1"/>
  <c r="A219" i="9" s="1"/>
  <c r="A220" i="9" s="1"/>
  <c r="A223" i="9" s="1"/>
  <c r="A224" i="9" s="1"/>
  <c r="A225" i="9" s="1"/>
  <c r="A226" i="9" s="1"/>
  <c r="A227" i="9" s="1"/>
  <c r="A229" i="9" s="1"/>
  <c r="A230" i="9" s="1"/>
  <c r="A231" i="9" s="1"/>
  <c r="A232" i="9" s="1"/>
  <c r="A235" i="9" s="1"/>
  <c r="A236" i="9" s="1"/>
  <c r="A237" i="9" s="1"/>
  <c r="A238" i="9" s="1"/>
  <c r="A239" i="9" s="1"/>
  <c r="A241" i="9" s="1"/>
  <c r="A242" i="9" s="1"/>
  <c r="A243" i="9" s="1"/>
  <c r="A244" i="9" s="1"/>
  <c r="A247" i="9" s="1"/>
  <c r="A248" i="9" s="1"/>
  <c r="A249" i="9" s="1"/>
  <c r="A250" i="9" s="1"/>
  <c r="A251" i="9" s="1"/>
  <c r="A253" i="9" s="1"/>
  <c r="A254" i="9" s="1"/>
  <c r="A255" i="9" s="1"/>
  <c r="A256" i="9" s="1"/>
  <c r="A259" i="9" s="1"/>
  <c r="A260" i="9" s="1"/>
  <c r="A261" i="9" s="1"/>
  <c r="A262" i="9" s="1"/>
  <c r="A263" i="9" s="1"/>
  <c r="A265" i="9" s="1"/>
  <c r="A266" i="9" s="1"/>
  <c r="A267" i="9" s="1"/>
  <c r="A268" i="9" s="1"/>
  <c r="A271" i="9" s="1"/>
  <c r="A272" i="9" s="1"/>
  <c r="A273" i="9" s="1"/>
  <c r="A274" i="9" s="1"/>
  <c r="A276" i="9" s="1"/>
  <c r="A277" i="9" s="1"/>
  <c r="A278" i="9" s="1"/>
  <c r="A279"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<sst xmlns="http://schemas.openxmlformats.org/spreadsheetml/2006/main" count="10681" uniqueCount="1500">
  <si>
    <t>2024 Adjusted Revenue Requirement and Revenue (Deficiency)/Sufficiency</t>
  </si>
  <si>
    <t>Per Working Papers, Schedule 12</t>
  </si>
  <si>
    <t>Adjustments</t>
  </si>
  <si>
    <t>2024 Adjusted</t>
  </si>
  <si>
    <t>Line
No.</t>
  </si>
  <si>
    <t>Particulars ($ millions)</t>
  </si>
  <si>
    <t>Delivery</t>
  </si>
  <si>
    <t>Gas Costs</t>
  </si>
  <si>
    <t>Total</t>
  </si>
  <si>
    <t>(a)</t>
  </si>
  <si>
    <t>(b)</t>
  </si>
  <si>
    <t>(c) = (a + b)</t>
  </si>
  <si>
    <t>(d)</t>
  </si>
  <si>
    <t>(e)</t>
  </si>
  <si>
    <t>(f) = (d + e)</t>
  </si>
  <si>
    <t>(g) = (a + d)</t>
  </si>
  <si>
    <t>(h) = (b + e)</t>
  </si>
  <si>
    <t>(i) = (g + h)</t>
  </si>
  <si>
    <t>Revenue at Existing Rates</t>
  </si>
  <si>
    <t>Gas Sales and Distribution</t>
  </si>
  <si>
    <t>(2)</t>
  </si>
  <si>
    <t>(3)</t>
  </si>
  <si>
    <t>Transportation</t>
  </si>
  <si>
    <t>(1)(2)</t>
  </si>
  <si>
    <t>Other Income</t>
  </si>
  <si>
    <t>Total Operating Revenue</t>
  </si>
  <si>
    <t>Revenue Requirement</t>
  </si>
  <si>
    <t>Cost of Gas</t>
  </si>
  <si>
    <t>(4)</t>
  </si>
  <si>
    <t>Operation and Maintenance</t>
  </si>
  <si>
    <t>Depreciation and Amortization Expense</t>
  </si>
  <si>
    <t>Fixed Financing Costs</t>
  </si>
  <si>
    <t>Municipal and Other Taxes</t>
  </si>
  <si>
    <t>Total Operating Costs</t>
  </si>
  <si>
    <t>Cost of Capital</t>
  </si>
  <si>
    <t>Income Taxes</t>
  </si>
  <si>
    <t>Taxes on (Deficiency)/Sufficiency</t>
  </si>
  <si>
    <t>Total Revenue Requirement</t>
  </si>
  <si>
    <t>Gross (Deficiency)/Sufficiency</t>
  </si>
  <si>
    <t xml:space="preserve">Notes: </t>
  </si>
  <si>
    <t>(1)</t>
  </si>
  <si>
    <t>Reclassify gas supply optimization revenue.</t>
  </si>
  <si>
    <t>PDCI cost reduction of $0.6 million resulting from update to PDCI unit rate</t>
  </si>
  <si>
    <t>Transportation revenue - deduct gas supply optimization revenue</t>
  </si>
  <si>
    <t>decrease from $0.173/GJ from $0.166/GJ applied to the 2024 forecast</t>
  </si>
  <si>
    <t>Other income - add gas supply optimization revenue</t>
  </si>
  <si>
    <t>PDCI volumes of 79 PJ.</t>
  </si>
  <si>
    <t>Reclassify community expansion SES/TCS and RNG station charge revenue.</t>
  </si>
  <si>
    <t>Gas sales and distribution revenue - deduct SES/TCS</t>
  </si>
  <si>
    <t>Transportation revenue - deduct RNG station charges</t>
  </si>
  <si>
    <t>Other income - add SES/TCS, RNG station charges</t>
  </si>
  <si>
    <t>Reclassify customer supplied fuel (CSF).</t>
  </si>
  <si>
    <t>Gas sales and distribution revenue - add CSF</t>
  </si>
  <si>
    <t>Transportation revenue - add CSF</t>
  </si>
  <si>
    <t>Cost of Gas - add CSF</t>
  </si>
  <si>
    <t>Derivation of 2024 Revenue Deficiency Proportional Impact</t>
  </si>
  <si>
    <t>Line</t>
  </si>
  <si>
    <t>No.</t>
  </si>
  <si>
    <t>(c)</t>
  </si>
  <si>
    <t>Adjusted 2024 Revenue for Proportional Impact</t>
  </si>
  <si>
    <t>Revenue at Existing Rates (1)</t>
  </si>
  <si>
    <t>Other Revenue</t>
  </si>
  <si>
    <t>Total Revenue at Existing Rates</t>
  </si>
  <si>
    <t>Revenue Excluded</t>
  </si>
  <si>
    <t>Other Revenue (2)</t>
  </si>
  <si>
    <t>Rate M13/GPA Station Charges (3)</t>
  </si>
  <si>
    <t>Rate 401 Revenue (3)</t>
  </si>
  <si>
    <t>Ex-Franchise Short-Term Transportation (3)</t>
  </si>
  <si>
    <t>DSM (4)</t>
  </si>
  <si>
    <t>Gas Costs (4)</t>
  </si>
  <si>
    <t>Rate 145 and Rate 170 rate adjustment (5)</t>
  </si>
  <si>
    <t>Non-Utility Cross Charge (6)</t>
  </si>
  <si>
    <t>Total Revenue Excluded</t>
  </si>
  <si>
    <t>Total Adjusted 2024 Revenue for Proportional Impact</t>
  </si>
  <si>
    <t>Revenue Deficiency Proportional Impact</t>
  </si>
  <si>
    <t>2024 Revenue Deficiency (7)</t>
  </si>
  <si>
    <t>Revenue Deficiency Adjustments</t>
  </si>
  <si>
    <t>Total Revenue Deficiency Adjustments</t>
  </si>
  <si>
    <t>Remaining Revenue Deficiency</t>
  </si>
  <si>
    <t>Revenue Deficiency Proportional Impact (line 21 / line 14)</t>
  </si>
  <si>
    <t>Notes:</t>
  </si>
  <si>
    <t>Working Papers, Schedule 16, columns (g-i), lines 1-4.</t>
  </si>
  <si>
    <t>Line 3.</t>
  </si>
  <si>
    <t xml:space="preserve">Working Papers, Schedule 19, column (c), lines 366, 361, 330 and 358. Revenue based on service and/or negotiated charges not subject to proportional revenue deficiency impact. Rate M13/GPA station charges excluded per Settlement Proposal. </t>
  </si>
  <si>
    <t>2023 and 2024 base rate adjustments to remove current approved revenue for DSM and gas costs, as per Working Papers, Schedule 18, p.1, columns (b,c) and p. 4 columns (b,c), line 40.</t>
  </si>
  <si>
    <t>(5)</t>
  </si>
  <si>
    <t xml:space="preserve">Rate adjustment to adjust negative delivery blocked rates resulting from change in DSM costs. </t>
  </si>
  <si>
    <t>(6)</t>
  </si>
  <si>
    <t>Update to non-utility cross charge revenue per Working Papers, Schedule 18, p.1, line 39 and Working Papers, Schedule 25.</t>
  </si>
  <si>
    <t>(7)</t>
  </si>
  <si>
    <t>Working Papers, Schedule 16, columns (g-i), line 15.</t>
  </si>
  <si>
    <t>Summary of Proposed Revenue Change by Rate Class</t>
  </si>
  <si>
    <t>Total Revenue</t>
  </si>
  <si>
    <t>Current</t>
  </si>
  <si>
    <t>Adjustments to 2023 Base Rates</t>
  </si>
  <si>
    <t>Adjustments to 2024 Base Rates</t>
  </si>
  <si>
    <t>Approved</t>
  </si>
  <si>
    <t>Gas In</t>
  </si>
  <si>
    <t>Own Use</t>
  </si>
  <si>
    <t>Compressor</t>
  </si>
  <si>
    <t>Base</t>
  </si>
  <si>
    <t>Revenue</t>
  </si>
  <si>
    <t>Proposed</t>
  </si>
  <si>
    <t xml:space="preserve">Revenue </t>
  </si>
  <si>
    <t>Particulars ($000s)</t>
  </si>
  <si>
    <t>Revenue (1)</t>
  </si>
  <si>
    <t>DSM (2)</t>
  </si>
  <si>
    <t>Storage (3)</t>
  </si>
  <si>
    <t>Gas (3)</t>
  </si>
  <si>
    <t>UFG (3)</t>
  </si>
  <si>
    <t>Fuel (3)</t>
  </si>
  <si>
    <t>Deficiency (4)</t>
  </si>
  <si>
    <t xml:space="preserve"> DSM (5)</t>
  </si>
  <si>
    <t>Revenue (6)</t>
  </si>
  <si>
    <t>Change %</t>
  </si>
  <si>
    <t>(f)</t>
  </si>
  <si>
    <t>(g)=(a)-sum(b:f)</t>
  </si>
  <si>
    <t>(h) = (g) x 2.7%</t>
  </si>
  <si>
    <t>(i)</t>
  </si>
  <si>
    <t>(j)</t>
  </si>
  <si>
    <t>(k)</t>
  </si>
  <si>
    <t>(l)</t>
  </si>
  <si>
    <t>(m)</t>
  </si>
  <si>
    <t>(n)=sum(g:m)</t>
  </si>
  <si>
    <t>(o)=(n)-(a)/(a)</t>
  </si>
  <si>
    <t>EGD Rate Zone</t>
  </si>
  <si>
    <t>check</t>
  </si>
  <si>
    <t>Rate 1</t>
  </si>
  <si>
    <t>Rate 6</t>
  </si>
  <si>
    <t>Rate 100</t>
  </si>
  <si>
    <t>Rate 110</t>
  </si>
  <si>
    <t>Rate 115</t>
  </si>
  <si>
    <t>Rate 125</t>
  </si>
  <si>
    <t>Rate 135</t>
  </si>
  <si>
    <t>Rate 145</t>
  </si>
  <si>
    <t>Rate 170</t>
  </si>
  <si>
    <t>Rate 200</t>
  </si>
  <si>
    <t>Rate 300</t>
  </si>
  <si>
    <t>Total EGD Rate Zone</t>
  </si>
  <si>
    <t>Union North Rate Zone</t>
  </si>
  <si>
    <t>Rate 01</t>
  </si>
  <si>
    <t>Rate 10</t>
  </si>
  <si>
    <t>Rate 20</t>
  </si>
  <si>
    <t>Rate 25</t>
  </si>
  <si>
    <t>Total Union North Rate Zone</t>
  </si>
  <si>
    <t>Union South Rate Zone</t>
  </si>
  <si>
    <t>Rate M1</t>
  </si>
  <si>
    <t>Rate M2</t>
  </si>
  <si>
    <t>Rate M4</t>
  </si>
  <si>
    <t>Rate M5</t>
  </si>
  <si>
    <t>Rate M7</t>
  </si>
  <si>
    <t>Rate M9</t>
  </si>
  <si>
    <t>Rate T1</t>
  </si>
  <si>
    <t>Rate T2</t>
  </si>
  <si>
    <t>Rate T3</t>
  </si>
  <si>
    <t>Total Union South Rate Zone</t>
  </si>
  <si>
    <t>Total In-franchise</t>
  </si>
  <si>
    <t>Ex-franchise</t>
  </si>
  <si>
    <t>Rate 331</t>
  </si>
  <si>
    <t>Rate 332</t>
  </si>
  <si>
    <t>Rate 401</t>
  </si>
  <si>
    <t>Rate M12/C1 Dawn-Parkway</t>
  </si>
  <si>
    <t>Rate C1</t>
  </si>
  <si>
    <t>Rate M13/GPA</t>
  </si>
  <si>
    <t>Rate M16</t>
  </si>
  <si>
    <t>Rate M17</t>
  </si>
  <si>
    <t>Total Ex-franchise</t>
  </si>
  <si>
    <t>Non-Utility Cross Charge</t>
  </si>
  <si>
    <t xml:space="preserve"> </t>
  </si>
  <si>
    <t xml:space="preserve">(1) </t>
  </si>
  <si>
    <t xml:space="preserve">Working Papers, Schedule 19, column (c). </t>
  </si>
  <si>
    <t xml:space="preserve">(2) </t>
  </si>
  <si>
    <t xml:space="preserve">2023 DSM revenue based on 2023 DSM unit rates, as per EB-2022-0133 applied to 2024 billing determinants. </t>
  </si>
  <si>
    <t xml:space="preserve">(3) </t>
  </si>
  <si>
    <t>Working Papers, Schedule 23, p.1, columns (a-d), (f-i).</t>
  </si>
  <si>
    <t xml:space="preserve">(4) </t>
  </si>
  <si>
    <t>Calculated based on revenue deficiency proportional impact of 2.7%, as per Working Papers, Schedule 17, column (a), line 22, applied to base revenue in column (g).</t>
  </si>
  <si>
    <t xml:space="preserve">(5) </t>
  </si>
  <si>
    <t>Working Papers, Schedule 22, p.1, column (b).</t>
  </si>
  <si>
    <t xml:space="preserve">(6) </t>
  </si>
  <si>
    <t>Total proposed revenue per Working Papers, Schedule 16, p.1, column (i), line 14 - line 3.</t>
  </si>
  <si>
    <t xml:space="preserve">Summary of Proposed Revenue Change by Rate Class </t>
  </si>
  <si>
    <t>Total Delivery Revenue</t>
  </si>
  <si>
    <t>Inventory (3)</t>
  </si>
  <si>
    <t>(g)=(a)-(b to f)</t>
  </si>
  <si>
    <t>Total proposed revenue per Working Papers, Schedule 16, p.1, column (g), line 14 - line 3.</t>
  </si>
  <si>
    <t>Total Gas Supply</t>
  </si>
  <si>
    <t>:</t>
  </si>
  <si>
    <t>Total proposed revenue per Working Papers, Schedule 16, p.1, column (h), line 14 - line 3.</t>
  </si>
  <si>
    <t>Summary of Current vs. Proposed Revenue Change by Rate Class</t>
  </si>
  <si>
    <t>Revenue Change ($000s)</t>
  </si>
  <si>
    <t>Revenue Change (%)</t>
  </si>
  <si>
    <t>Base Rate</t>
  </si>
  <si>
    <t>Total Change</t>
  </si>
  <si>
    <t>Particulars</t>
  </si>
  <si>
    <t>(000s)</t>
  </si>
  <si>
    <t>Gas (4)</t>
  </si>
  <si>
    <t>UFG (5)</t>
  </si>
  <si>
    <t>Fuel (6)</t>
  </si>
  <si>
    <t>Deficiency (7)</t>
  </si>
  <si>
    <t>Adjustment (8)</t>
  </si>
  <si>
    <t>In Revenue</t>
  </si>
  <si>
    <t>Deficiency</t>
  </si>
  <si>
    <t xml:space="preserve"> DSM</t>
  </si>
  <si>
    <t xml:space="preserve">Storage </t>
  </si>
  <si>
    <t xml:space="preserve">Gas </t>
  </si>
  <si>
    <t xml:space="preserve">UFG </t>
  </si>
  <si>
    <t xml:space="preserve">Fuel </t>
  </si>
  <si>
    <t>Adjustment</t>
  </si>
  <si>
    <t>(g)</t>
  </si>
  <si>
    <t>(h)</t>
  </si>
  <si>
    <t>(i)=sum(b:h)</t>
  </si>
  <si>
    <t>(j) = (g / a)</t>
  </si>
  <si>
    <t>(k) = (b / a)</t>
  </si>
  <si>
    <t>(l) = (c / a)</t>
  </si>
  <si>
    <t>(m) = (d / a)</t>
  </si>
  <si>
    <t>(n) = (e / a)</t>
  </si>
  <si>
    <t>(o) = (f / a)</t>
  </si>
  <si>
    <t>(p) = (h / a)</t>
  </si>
  <si>
    <t>(q)=sum(j:p)</t>
  </si>
  <si>
    <t>P.1, column (a).</t>
  </si>
  <si>
    <t>P.1, columns (i) less (d).</t>
  </si>
  <si>
    <t>P.1, columns (j) less (c)</t>
  </si>
  <si>
    <t>P.1, columns (k) less (d).</t>
  </si>
  <si>
    <t>P.1, columns (l) less (e).</t>
  </si>
  <si>
    <t>P.1, columns (m) less (f).</t>
  </si>
  <si>
    <t xml:space="preserve">(7) </t>
  </si>
  <si>
    <t>P.1, column (h).</t>
  </si>
  <si>
    <t xml:space="preserve">(8) </t>
  </si>
  <si>
    <t>Working Papers, Schedule 19, pp.21-22, columns (d) less (c), line 90 and line 104.</t>
  </si>
  <si>
    <t>Derivation of Proposed Rates and Revenue by Rate Class</t>
  </si>
  <si>
    <t>Current Approved Revenue</t>
  </si>
  <si>
    <t>2024 Proposed Revenue</t>
  </si>
  <si>
    <t>Billing</t>
  </si>
  <si>
    <t xml:space="preserve">2024 
Forecast </t>
  </si>
  <si>
    <t>Rates (1)</t>
  </si>
  <si>
    <t>Gas in Storage (3)</t>
  </si>
  <si>
    <t>Own Use Gas (3)</t>
  </si>
  <si>
    <t>Compressor Fuel (3)</t>
  </si>
  <si>
    <t>Base Revenue</t>
  </si>
  <si>
    <t>Revenue Deficiency (4)</t>
  </si>
  <si>
    <t>Revenue (8)</t>
  </si>
  <si>
    <t>Rates</t>
  </si>
  <si>
    <t>Revenue (Deficiency) / Sufficiency</t>
  </si>
  <si>
    <t>Rate 
Change</t>
  </si>
  <si>
    <t>Units</t>
  </si>
  <si>
    <t>Usage</t>
  </si>
  <si>
    <r>
      <t>(cents/m</t>
    </r>
    <r>
      <rPr>
        <vertAlign val="superscript"/>
        <sz val="10"/>
        <rFont val="Arial"/>
        <family val="2"/>
      </rPr>
      <t>3</t>
    </r>
    <r>
      <rPr>
        <sz val="10"/>
        <rFont val="Arial"/>
        <family val="2"/>
      </rPr>
      <t>)</t>
    </r>
  </si>
  <si>
    <t>($000s)</t>
  </si>
  <si>
    <t>(%)</t>
  </si>
  <si>
    <t>(i) = (c)-sum(d:h)</t>
  </si>
  <si>
    <t>(j) = (i) x 2.7%</t>
  </si>
  <si>
    <t>(n)</t>
  </si>
  <si>
    <t>(o)</t>
  </si>
  <si>
    <t>(p) =sum(i:o)</t>
  </si>
  <si>
    <t>(q)</t>
  </si>
  <si>
    <t>(r) = (p - c)</t>
  </si>
  <si>
    <t>(s) = (q - b) / (b)</t>
  </si>
  <si>
    <t>Monthly Customer Charge</t>
  </si>
  <si>
    <t>bills</t>
  </si>
  <si>
    <t>Delivery Charge - Commodity</t>
  </si>
  <si>
    <t>First     30 m³</t>
  </si>
  <si>
    <t>10³m³</t>
  </si>
  <si>
    <t>Next     55 m³</t>
  </si>
  <si>
    <t>Next     85 m³</t>
  </si>
  <si>
    <t>Over     170 m³</t>
  </si>
  <si>
    <t>Total Delivery</t>
  </si>
  <si>
    <t>Gas Supply Load Balancing</t>
  </si>
  <si>
    <t>Gas Supply Transportation Charge</t>
  </si>
  <si>
    <t>Gas Supply Transportation Dawn Charge</t>
  </si>
  <si>
    <t>Gas Supply Commodity Charge</t>
  </si>
  <si>
    <t>Total Rate 1</t>
  </si>
  <si>
    <t>First     500 m³</t>
  </si>
  <si>
    <t>Next     1,050 m³</t>
  </si>
  <si>
    <t>Next     4,500 m³</t>
  </si>
  <si>
    <t>Next     7,000 m³</t>
  </si>
  <si>
    <t>Next     15,250 m³</t>
  </si>
  <si>
    <t>Over     28,300 m³</t>
  </si>
  <si>
    <t>Total Rate 6</t>
  </si>
  <si>
    <t>Derivation of Proposed Rates and Revenue by Rate Class (Continued)</t>
  </si>
  <si>
    <t>Delivery Charge - Contract Demand</t>
  </si>
  <si>
    <t>10³m³/d</t>
  </si>
  <si>
    <t>Total Rate 100</t>
  </si>
  <si>
    <t>First           1,000,000 m³</t>
  </si>
  <si>
    <t>For all over  1,000,000 m³</t>
  </si>
  <si>
    <t>Total Rate 110</t>
  </si>
  <si>
    <t>Total Rate 115</t>
  </si>
  <si>
    <t>Customer Supplied Fuel (UFG)</t>
  </si>
  <si>
    <t>Total Rate 125</t>
  </si>
  <si>
    <t>Winter</t>
  </si>
  <si>
    <t xml:space="preserve">   First              14,000 m³</t>
  </si>
  <si>
    <t xml:space="preserve">   Next              28,000 m³</t>
  </si>
  <si>
    <t xml:space="preserve">   For all over     42,000 m³</t>
  </si>
  <si>
    <t>Summer</t>
  </si>
  <si>
    <t>Seasonal Credits</t>
  </si>
  <si>
    <t>Total Rate 135</t>
  </si>
  <si>
    <t>Seasonal Credits - 16 Hours</t>
  </si>
  <si>
    <t>Seasonal Credits - 72 Hours</t>
  </si>
  <si>
    <t>Total Rate 145</t>
  </si>
  <si>
    <t>Total Rate 170</t>
  </si>
  <si>
    <t>Total Rate 200</t>
  </si>
  <si>
    <t>First     100 m³</t>
  </si>
  <si>
    <t>Next     200 m³</t>
  </si>
  <si>
    <t xml:space="preserve">Next     200 m³ </t>
  </si>
  <si>
    <t>Next     500 m³</t>
  </si>
  <si>
    <t xml:space="preserve">Over     1,000 m³ </t>
  </si>
  <si>
    <t>North West</t>
  </si>
  <si>
    <t>North East</t>
  </si>
  <si>
    <t>Gas Supply Storage Charge</t>
  </si>
  <si>
    <t>Storage Commodity Charge</t>
  </si>
  <si>
    <t>Total Rate 01</t>
  </si>
  <si>
    <t>First     1,000 m³</t>
  </si>
  <si>
    <t>Next     9,000 m³</t>
  </si>
  <si>
    <t>Next     20,000 m³</t>
  </si>
  <si>
    <t>Next     70,000 m³</t>
  </si>
  <si>
    <t>Over     100,000 m³</t>
  </si>
  <si>
    <t>Total Rate 10</t>
  </si>
  <si>
    <t>First        70,000 m³</t>
  </si>
  <si>
    <t>All over    70,000 m³</t>
  </si>
  <si>
    <t>First       852,000 m³</t>
  </si>
  <si>
    <t>All over   852,000 m³</t>
  </si>
  <si>
    <t>MAV Charge</t>
  </si>
  <si>
    <t>Transportation Account Charge</t>
  </si>
  <si>
    <t xml:space="preserve">Gas Supply Demand Charge </t>
  </si>
  <si>
    <t xml:space="preserve">Commodity Transportation Charge 1 </t>
  </si>
  <si>
    <t xml:space="preserve">Commodity Transportation Charge 2  </t>
  </si>
  <si>
    <t>Gas Supply Transportation Charges</t>
  </si>
  <si>
    <t>Bundled (T-Service) Storage Service Charges</t>
  </si>
  <si>
    <t>Storage Demand ($/GJ)</t>
  </si>
  <si>
    <t>GJ/d</t>
  </si>
  <si>
    <t>Storage Commodity ($/GJ)</t>
  </si>
  <si>
    <t>GJ</t>
  </si>
  <si>
    <t>Total Rate 20</t>
  </si>
  <si>
    <t>Delivery Charge - Commodity (average)</t>
  </si>
  <si>
    <t>MAV (average)</t>
  </si>
  <si>
    <t>Total Rate 25</t>
  </si>
  <si>
    <t>First          100 m³</t>
  </si>
  <si>
    <t>Next          150 m³</t>
  </si>
  <si>
    <t>All over      250 m³</t>
  </si>
  <si>
    <t>Storage Charge</t>
  </si>
  <si>
    <t>Total Rate M1</t>
  </si>
  <si>
    <t>First         1,000 m³</t>
  </si>
  <si>
    <t>Next         6,000 m³</t>
  </si>
  <si>
    <t>Next         13,000 m³</t>
  </si>
  <si>
    <t>All over     20,000 m³</t>
  </si>
  <si>
    <t>Total Rate M2</t>
  </si>
  <si>
    <t>First         8,450 m³</t>
  </si>
  <si>
    <t>Next         19,700 m³</t>
  </si>
  <si>
    <t>All over     28,150 m³</t>
  </si>
  <si>
    <t>First Block</t>
  </si>
  <si>
    <t>All remaining use</t>
  </si>
  <si>
    <t>Firm MAV</t>
  </si>
  <si>
    <t>Unauthorized Overrun</t>
  </si>
  <si>
    <t>Total Delivery - Firm</t>
  </si>
  <si>
    <t>Interruptible Contracts</t>
  </si>
  <si>
    <t>Interruptible MAV</t>
  </si>
  <si>
    <t>Total Delivery - Interruptible</t>
  </si>
  <si>
    <t>Gas Supply MAV</t>
  </si>
  <si>
    <t>Total Rate M4</t>
  </si>
  <si>
    <t>Days Use Discount - 75 days</t>
  </si>
  <si>
    <t>Days Use Discount - up to 275 days</t>
  </si>
  <si>
    <t>Firm Contracts</t>
  </si>
  <si>
    <t>Total Rate M5</t>
  </si>
  <si>
    <t>Interruptible MAV (average)</t>
  </si>
  <si>
    <t>Total Rate M7</t>
  </si>
  <si>
    <t>Total Rate M9</t>
  </si>
  <si>
    <t>Meter/mth</t>
  </si>
  <si>
    <r>
      <t>Transportation Service Charge (cents/m</t>
    </r>
    <r>
      <rPr>
        <vertAlign val="superscript"/>
        <sz val="10"/>
        <rFont val="Arial"/>
        <family val="2"/>
      </rPr>
      <t>3</t>
    </r>
    <r>
      <rPr>
        <sz val="10"/>
        <rFont val="Arial"/>
        <family val="2"/>
      </rPr>
      <t>)</t>
    </r>
  </si>
  <si>
    <t>Transportation Contract Demand</t>
  </si>
  <si>
    <t>First     28,150 m³</t>
  </si>
  <si>
    <t>10³m³/d/mth</t>
  </si>
  <si>
    <t>Next     112,720 m³</t>
  </si>
  <si>
    <t>Transportation Commodity</t>
  </si>
  <si>
    <t>Firm Volumes</t>
  </si>
  <si>
    <t>Interruptible Volumes (average)</t>
  </si>
  <si>
    <t>MAV - Firm</t>
  </si>
  <si>
    <t>MAV - Interruptible (average)</t>
  </si>
  <si>
    <t>Customer Supplied Fuel - Transportation</t>
  </si>
  <si>
    <t>Total Transportation</t>
  </si>
  <si>
    <t>Storage Service Charges ($/GJ's)</t>
  </si>
  <si>
    <t>Monthly Demand Charges:</t>
  </si>
  <si>
    <t>Firm Space</t>
  </si>
  <si>
    <t>GJ/d/mth</t>
  </si>
  <si>
    <t>Firm Injection/Withdrawal Right</t>
  </si>
  <si>
    <t>Union provides deliverability inventory</t>
  </si>
  <si>
    <t>Customer provides deliverability inventory</t>
  </si>
  <si>
    <t>Firm incremental injection</t>
  </si>
  <si>
    <t xml:space="preserve">Interruptible withdrawal </t>
  </si>
  <si>
    <t>Commodity:</t>
  </si>
  <si>
    <t>Commodity</t>
  </si>
  <si>
    <t>Customer Supplied Fuel - Storage</t>
  </si>
  <si>
    <t>Total Storage</t>
  </si>
  <si>
    <t>Total Rate T1</t>
  </si>
  <si>
    <t>First         140,870 m³</t>
  </si>
  <si>
    <t>All Over    140,870 m³</t>
  </si>
  <si>
    <t>Total Rate T2</t>
  </si>
  <si>
    <t>Total Rate T3</t>
  </si>
  <si>
    <t>($/GJ)</t>
  </si>
  <si>
    <t>Tecumseh Transportation Service</t>
  </si>
  <si>
    <t>Firm Demand Charge</t>
  </si>
  <si>
    <t>Interruptible Charge</t>
  </si>
  <si>
    <t>Total Rate 331</t>
  </si>
  <si>
    <t xml:space="preserve">Firm Demand Charge </t>
  </si>
  <si>
    <t>Total Rate 332</t>
  </si>
  <si>
    <t>Rate 401 (5)</t>
  </si>
  <si>
    <t>Service Fee</t>
  </si>
  <si>
    <t>Rate M12/C1 Dawn to Parkway</t>
  </si>
  <si>
    <t>Rate M12 Demand Charges</t>
  </si>
  <si>
    <t>Dawn to Parkway</t>
  </si>
  <si>
    <t>- F24-T</t>
  </si>
  <si>
    <t>Dawn to Kirkwall</t>
  </si>
  <si>
    <t>Kirkwall to Parkway</t>
  </si>
  <si>
    <t xml:space="preserve">M12-X </t>
  </si>
  <si>
    <t>- Between Dawn, Kirkwall and Parkway</t>
  </si>
  <si>
    <t>Rate C1 Dawn Parkway Demand Charges</t>
  </si>
  <si>
    <t xml:space="preserve">Dawn to Parkway </t>
  </si>
  <si>
    <t xml:space="preserve">Parkway to Dawn/Kirkwall </t>
  </si>
  <si>
    <t>Kirkwall to Dawn</t>
  </si>
  <si>
    <t>Rate M12 Commodity Charges</t>
  </si>
  <si>
    <t>Easterly</t>
  </si>
  <si>
    <t>Westerly</t>
  </si>
  <si>
    <t>Rate C1 Dawn Parkway Commodity Charges</t>
  </si>
  <si>
    <t>Total Rate M12/C1 Dawn Parkway</t>
  </si>
  <si>
    <t>Firm Demand Charges</t>
  </si>
  <si>
    <t>Between St.Clair &amp; Dawn, Ojibway &amp; Dawn, and Bluewater &amp; Dawn</t>
  </si>
  <si>
    <t>GJ/mth</t>
  </si>
  <si>
    <t>Dawn to Dawn-Vector</t>
  </si>
  <si>
    <t>Dawn to Dawn-TCPL</t>
  </si>
  <si>
    <t>Commodity Charges</t>
  </si>
  <si>
    <t>Dawn to Dawn TCPL</t>
  </si>
  <si>
    <t>Dawn to Dawn Vector</t>
  </si>
  <si>
    <t xml:space="preserve">Ojibway to Dawn </t>
  </si>
  <si>
    <t xml:space="preserve">Bluewater to Dawn </t>
  </si>
  <si>
    <t xml:space="preserve">   Westerly</t>
  </si>
  <si>
    <t>Parkway to Kirkwall</t>
  </si>
  <si>
    <t>Short-term Transportation</t>
  </si>
  <si>
    <t>Short-term Transportation - Utility Providing Fuel</t>
  </si>
  <si>
    <t>Rate M13</t>
  </si>
  <si>
    <t>Monthly Fixed Charge</t>
  </si>
  <si>
    <t>Transmission Commodity Charge</t>
  </si>
  <si>
    <t>Commodity - Utility Providing Fuel</t>
  </si>
  <si>
    <t>Commodity - Providing Own Fuel</t>
  </si>
  <si>
    <t>Monthly Fixed Charge - Ontario Producers (5)</t>
  </si>
  <si>
    <t>Charges West of Dawn</t>
  </si>
  <si>
    <t xml:space="preserve">  Firm Demand Charge</t>
  </si>
  <si>
    <t xml:space="preserve">  Utility Providing Fuel to Dawn</t>
  </si>
  <si>
    <t xml:space="preserve">  Utility Providing Fuel to Pool</t>
  </si>
  <si>
    <t xml:space="preserve">  Providing Own Fuel to Dawn</t>
  </si>
  <si>
    <t xml:space="preserve">  Providing Own Fuel to Pool</t>
  </si>
  <si>
    <t>Charges East of Dawn</t>
  </si>
  <si>
    <t>Rate M17 Wholesale Transportation Service</t>
  </si>
  <si>
    <t>Dawn to Delivery Area</t>
  </si>
  <si>
    <t>Kirkwall to Delivery Area or Dawn</t>
  </si>
  <si>
    <t>Parkway (TCPL) to Delivery Area or Dawn</t>
  </si>
  <si>
    <t>Total Rate M17</t>
  </si>
  <si>
    <t>Non-Utility Cross Charge (5) (6)</t>
  </si>
  <si>
    <t/>
  </si>
  <si>
    <t>Total  (7)</t>
  </si>
  <si>
    <t>Notes</t>
  </si>
  <si>
    <t xml:space="preserve">(1)  </t>
  </si>
  <si>
    <t>EB-2022-0133, Exhibit D, Tab 1, Appendix A for the EGD rate zone; and Exhibit D, Tab 2, Appendix A for the Union rate zone.</t>
  </si>
  <si>
    <t xml:space="preserve">(2)  </t>
  </si>
  <si>
    <t xml:space="preserve">(3)  </t>
  </si>
  <si>
    <t xml:space="preserve">(4)  </t>
  </si>
  <si>
    <t>Calculated based on revenue deficiency proportional impact of 2.7%, as per Working Papers, Schedule 17, column (a), line 22, applied to base revenue in column (i).</t>
  </si>
  <si>
    <t xml:space="preserve">(5)  </t>
  </si>
  <si>
    <t>Not subject to escalation.</t>
  </si>
  <si>
    <t xml:space="preserve">(6)  </t>
  </si>
  <si>
    <t>Working Papers, Schedule 25, column (c), line 26.</t>
  </si>
  <si>
    <t>2024 total deficency as per Working Papers, Schedule 16, column (i), line 15.</t>
  </si>
  <si>
    <t>Total proposed revenue per Working Papers, Schedule 16, p.1, column (i), line 14.</t>
  </si>
  <si>
    <t>Delivery Revenue</t>
  </si>
  <si>
    <t>2024 Proposed  Revenue</t>
  </si>
  <si>
    <t>(f) = (c)-sum(d:e)</t>
  </si>
  <si>
    <t>(g) = (f) x 2.7%</t>
  </si>
  <si>
    <t>(j) = sum(f:i)</t>
  </si>
  <si>
    <t>(l) = (j - c)</t>
  </si>
  <si>
    <t>(m) = (k-b)/(b)</t>
  </si>
  <si>
    <t xml:space="preserve">Delivery Revenue </t>
  </si>
  <si>
    <t>Load Balancing</t>
  </si>
  <si>
    <t>MAV  (average)</t>
  </si>
  <si>
    <t xml:space="preserve">Total Delivery </t>
  </si>
  <si>
    <t>-</t>
  </si>
  <si>
    <t>Total (7)</t>
  </si>
  <si>
    <t>Working Papers, Schedule 23, p.1, columns (a) and (f).</t>
  </si>
  <si>
    <t>Calculated based on revenue deficiency proportional impact of 2.7%, as per Working Papers, Schedule 17, column (a), line 22, applied to base revenue in column (f).</t>
  </si>
  <si>
    <t xml:space="preserve">(7)  </t>
  </si>
  <si>
    <t>2024 total delivery deficiency can be found at Schedule 16, column (g), line 15.</t>
  </si>
  <si>
    <t xml:space="preserve">(8)  </t>
  </si>
  <si>
    <t>Total proposed revenue per Working Papers, Schedule 16, p.1, column (g), line 14.</t>
  </si>
  <si>
    <t>Gas Supply Revenue</t>
  </si>
  <si>
    <t>Own Use Gas (2)</t>
  </si>
  <si>
    <t>UFG (2)</t>
  </si>
  <si>
    <t>Compressor Fuel (2)</t>
  </si>
  <si>
    <t xml:space="preserve">Base Revenue </t>
  </si>
  <si>
    <t>(g)=(c)-sum(d:f)</t>
  </si>
  <si>
    <t>(k) = sum(g:j)</t>
  </si>
  <si>
    <t>(m) = (k - c)</t>
  </si>
  <si>
    <t>(n) = (l - b) / (b)</t>
  </si>
  <si>
    <t xml:space="preserve">Gas Supply Revenue </t>
  </si>
  <si>
    <t>Delivery Contract Demand Charge</t>
  </si>
  <si>
    <t>Delivery Commodity Charge</t>
  </si>
  <si>
    <t>First            1,000,000 m³</t>
  </si>
  <si>
    <t>For all over 1,000,000 m³</t>
  </si>
  <si>
    <t>System Commodity</t>
  </si>
  <si>
    <t>Rate 401 (3)</t>
  </si>
  <si>
    <t>Monthly Fixed Charge - Ontario Producers (3)</t>
  </si>
  <si>
    <t>Non-Utility Cross Charge (3) (4)</t>
  </si>
  <si>
    <t>Total (5)</t>
  </si>
  <si>
    <t>EB-2022-0133 Application, June 30, 2022, Exhibit D, Tab 1, Appendix A for the EGD rate zone; and Exhibit D, Tab 2, Appendix A for the Union rate zone.</t>
  </si>
  <si>
    <t>Working Papers, Schedule 23, pg.1, columns (b), (c), (d), (g), (h), and (i).</t>
  </si>
  <si>
    <t>2024 gas cost deficiency can be found at Schedule 16, column (h), line 15.</t>
  </si>
  <si>
    <t>Total proposed revenue per Working Papers, Schedule 16,  p.1, column (h), line 14.</t>
  </si>
  <si>
    <t>Summary of Proposed Rate Change by Rate Class - Phase 1 Decision</t>
  </si>
  <si>
    <t>Proposed Unit Rate Components</t>
  </si>
  <si>
    <t>Phase 1 Decision</t>
  </si>
  <si>
    <t>Rate</t>
  </si>
  <si>
    <t>Change (2)</t>
  </si>
  <si>
    <t>Rates (3)</t>
  </si>
  <si>
    <t>Gas Cost</t>
  </si>
  <si>
    <t xml:space="preserve">(a) </t>
  </si>
  <si>
    <t xml:space="preserve">(b) = (c - a) </t>
  </si>
  <si>
    <t xml:space="preserve">(c) </t>
  </si>
  <si>
    <t>$</t>
  </si>
  <si>
    <r>
      <t xml:space="preserve">   First      30 m</t>
    </r>
    <r>
      <rPr>
        <vertAlign val="superscript"/>
        <sz val="10"/>
        <rFont val="Arial"/>
        <family val="2"/>
      </rPr>
      <t>3</t>
    </r>
  </si>
  <si>
    <t>cents/m³</t>
  </si>
  <si>
    <r>
      <t xml:space="preserve">   Next      55 m</t>
    </r>
    <r>
      <rPr>
        <vertAlign val="superscript"/>
        <sz val="10"/>
        <rFont val="Arial"/>
        <family val="2"/>
      </rPr>
      <t>3</t>
    </r>
  </si>
  <si>
    <r>
      <t xml:space="preserve">   Next      85 m</t>
    </r>
    <r>
      <rPr>
        <vertAlign val="superscript"/>
        <sz val="10"/>
        <rFont val="Arial"/>
        <family val="2"/>
      </rPr>
      <t>3</t>
    </r>
  </si>
  <si>
    <r>
      <t xml:space="preserve">   Over      170 m</t>
    </r>
    <r>
      <rPr>
        <vertAlign val="superscript"/>
        <sz val="10"/>
        <rFont val="Arial"/>
        <family val="2"/>
      </rPr>
      <t>3</t>
    </r>
  </si>
  <si>
    <t>Gas Supply Load Balancing Charge</t>
  </si>
  <si>
    <r>
      <t xml:space="preserve">   First     500 m</t>
    </r>
    <r>
      <rPr>
        <vertAlign val="superscript"/>
        <sz val="10"/>
        <rFont val="Arial"/>
        <family val="2"/>
      </rPr>
      <t>3</t>
    </r>
  </si>
  <si>
    <r>
      <t xml:space="preserve">   Next     1,050 m</t>
    </r>
    <r>
      <rPr>
        <vertAlign val="superscript"/>
        <sz val="10"/>
        <rFont val="Arial"/>
        <family val="2"/>
      </rPr>
      <t>3</t>
    </r>
  </si>
  <si>
    <r>
      <t xml:space="preserve">   Next     4,500 m</t>
    </r>
    <r>
      <rPr>
        <vertAlign val="superscript"/>
        <sz val="10"/>
        <rFont val="Arial"/>
        <family val="2"/>
      </rPr>
      <t>3</t>
    </r>
  </si>
  <si>
    <r>
      <t xml:space="preserve">   Next     7,000 m</t>
    </r>
    <r>
      <rPr>
        <vertAlign val="superscript"/>
        <sz val="10"/>
        <rFont val="Arial"/>
        <family val="2"/>
      </rPr>
      <t>3</t>
    </r>
  </si>
  <si>
    <r>
      <t xml:space="preserve">   Next     15,250 m</t>
    </r>
    <r>
      <rPr>
        <vertAlign val="superscript"/>
        <sz val="10"/>
        <rFont val="Arial"/>
        <family val="2"/>
      </rPr>
      <t>3</t>
    </r>
  </si>
  <si>
    <r>
      <t xml:space="preserve">   Over     28,300 m</t>
    </r>
    <r>
      <rPr>
        <vertAlign val="superscript"/>
        <sz val="10"/>
        <rFont val="Arial"/>
        <family val="2"/>
      </rPr>
      <t>3</t>
    </r>
  </si>
  <si>
    <t>Monthy Customer Charge</t>
  </si>
  <si>
    <r>
      <t xml:space="preserve">   First     14,000 m</t>
    </r>
    <r>
      <rPr>
        <vertAlign val="superscript"/>
        <sz val="10"/>
        <color theme="1"/>
        <rFont val="Arial"/>
        <family val="2"/>
      </rPr>
      <t>3</t>
    </r>
  </si>
  <si>
    <r>
      <t xml:space="preserve">   Next     28,000 m</t>
    </r>
    <r>
      <rPr>
        <vertAlign val="superscript"/>
        <sz val="10"/>
        <rFont val="Arial"/>
        <family val="2"/>
      </rPr>
      <t>3</t>
    </r>
  </si>
  <si>
    <r>
      <t xml:space="preserve">   Over     42,000 m</t>
    </r>
    <r>
      <rPr>
        <vertAlign val="superscript"/>
        <sz val="10"/>
        <rFont val="Arial"/>
        <family val="2"/>
      </rPr>
      <t>3</t>
    </r>
  </si>
  <si>
    <t>cents/m³/d</t>
  </si>
  <si>
    <r>
      <t xml:space="preserve">   First     1,000,000 m</t>
    </r>
    <r>
      <rPr>
        <vertAlign val="superscript"/>
        <sz val="10"/>
        <color theme="1"/>
        <rFont val="Arial"/>
        <family val="2"/>
      </rPr>
      <t>3</t>
    </r>
  </si>
  <si>
    <r>
      <t xml:space="preserve">   Over     1,000,000 m</t>
    </r>
    <r>
      <rPr>
        <vertAlign val="superscript"/>
        <sz val="10"/>
        <rFont val="Arial"/>
        <family val="2"/>
      </rPr>
      <t>3</t>
    </r>
  </si>
  <si>
    <t>Summary of Proposed Rate Change by Rate Class - Phase 1 Decision (Continued)</t>
  </si>
  <si>
    <r>
      <t xml:space="preserve">   Over    1,000,000 m</t>
    </r>
    <r>
      <rPr>
        <vertAlign val="superscript"/>
        <sz val="10"/>
        <rFont val="Arial"/>
        <family val="2"/>
      </rPr>
      <t>3</t>
    </r>
  </si>
  <si>
    <r>
      <t xml:space="preserve">   First     14,000  m</t>
    </r>
    <r>
      <rPr>
        <vertAlign val="superscript"/>
        <sz val="10"/>
        <color theme="1"/>
        <rFont val="Arial"/>
        <family val="2"/>
      </rPr>
      <t xml:space="preserve">3 </t>
    </r>
    <r>
      <rPr>
        <sz val="10"/>
        <color theme="1"/>
        <rFont val="Arial"/>
        <family val="2"/>
      </rPr>
      <t xml:space="preserve">             </t>
    </r>
  </si>
  <si>
    <r>
      <t xml:space="preserve">   First   1,000,000 m</t>
    </r>
    <r>
      <rPr>
        <vertAlign val="superscript"/>
        <sz val="10"/>
        <color theme="1"/>
        <rFont val="Arial"/>
        <family val="2"/>
      </rPr>
      <t>3</t>
    </r>
  </si>
  <si>
    <r>
      <t xml:space="preserve">   Over   1,000,000 m</t>
    </r>
    <r>
      <rPr>
        <vertAlign val="superscript"/>
        <sz val="10"/>
        <rFont val="Arial"/>
        <family val="2"/>
      </rPr>
      <t>3</t>
    </r>
  </si>
  <si>
    <t>Interruptible Service</t>
  </si>
  <si>
    <t>Minimum Delivery Charge</t>
  </si>
  <si>
    <t>cents/m³/mth</t>
  </si>
  <si>
    <t>Maximum Delivery Charge</t>
  </si>
  <si>
    <t>Rate 315</t>
  </si>
  <si>
    <t>Space Demand Charge</t>
  </si>
  <si>
    <t>Deliverability Demand Charge</t>
  </si>
  <si>
    <t>Injection &amp; Withdrawal Charge</t>
  </si>
  <si>
    <t>Rate 316</t>
  </si>
  <si>
    <t>Rate 320</t>
  </si>
  <si>
    <t>Backstop</t>
  </si>
  <si>
    <t xml:space="preserve">   All Gas Sold  </t>
  </si>
  <si>
    <r>
      <t xml:space="preserve">   First      100 m</t>
    </r>
    <r>
      <rPr>
        <vertAlign val="superscript"/>
        <sz val="10"/>
        <color theme="1"/>
        <rFont val="Arial"/>
        <family val="2"/>
      </rPr>
      <t>3</t>
    </r>
  </si>
  <si>
    <r>
      <t xml:space="preserve">   Next      200 m</t>
    </r>
    <r>
      <rPr>
        <vertAlign val="superscript"/>
        <sz val="10"/>
        <rFont val="Arial"/>
        <family val="2"/>
      </rPr>
      <t>3</t>
    </r>
  </si>
  <si>
    <r>
      <t xml:space="preserve">   Next      500 m</t>
    </r>
    <r>
      <rPr>
        <vertAlign val="superscript"/>
        <sz val="10"/>
        <rFont val="Arial"/>
        <family val="2"/>
      </rPr>
      <t>3</t>
    </r>
  </si>
  <si>
    <r>
      <t xml:space="preserve">   Over      1,000 m</t>
    </r>
    <r>
      <rPr>
        <vertAlign val="superscript"/>
        <sz val="10"/>
        <rFont val="Arial"/>
        <family val="2"/>
      </rPr>
      <t>3</t>
    </r>
  </si>
  <si>
    <t>Gas Supply Transportation Charge - North West</t>
  </si>
  <si>
    <t>Gas Supply Transportation Charge - North East</t>
  </si>
  <si>
    <t>Gas Supply Storage Charge - North West</t>
  </si>
  <si>
    <t>Gas Supply Storage Charge - North East</t>
  </si>
  <si>
    <t>Gas Supply Commodity Charge - North West</t>
  </si>
  <si>
    <t>Gas Supply Commodity Charge - North East</t>
  </si>
  <si>
    <r>
      <t xml:space="preserve">   First      1,000 m</t>
    </r>
    <r>
      <rPr>
        <vertAlign val="superscript"/>
        <sz val="10"/>
        <color theme="1"/>
        <rFont val="Arial"/>
        <family val="2"/>
      </rPr>
      <t>3</t>
    </r>
  </si>
  <si>
    <r>
      <t xml:space="preserve">   Next      9,000 m</t>
    </r>
    <r>
      <rPr>
        <vertAlign val="superscript"/>
        <sz val="10"/>
        <rFont val="Arial"/>
        <family val="2"/>
      </rPr>
      <t>3</t>
    </r>
  </si>
  <si>
    <r>
      <t xml:space="preserve">   Next      20,000 m</t>
    </r>
    <r>
      <rPr>
        <vertAlign val="superscript"/>
        <sz val="10"/>
        <rFont val="Arial"/>
        <family val="2"/>
      </rPr>
      <t>3</t>
    </r>
  </si>
  <si>
    <r>
      <t xml:space="preserve">   Next      70,000 m</t>
    </r>
    <r>
      <rPr>
        <vertAlign val="superscript"/>
        <sz val="10"/>
        <rFont val="Arial"/>
        <family val="2"/>
      </rPr>
      <t>3</t>
    </r>
  </si>
  <si>
    <r>
      <t xml:space="preserve">   Over      100,000 m</t>
    </r>
    <r>
      <rPr>
        <vertAlign val="superscript"/>
        <sz val="10"/>
        <rFont val="Arial"/>
        <family val="2"/>
      </rPr>
      <t>3</t>
    </r>
  </si>
  <si>
    <r>
      <t xml:space="preserve">   First       70,000 m</t>
    </r>
    <r>
      <rPr>
        <vertAlign val="superscript"/>
        <sz val="10"/>
        <color theme="1"/>
        <rFont val="Arial"/>
        <family val="2"/>
      </rPr>
      <t>3</t>
    </r>
    <r>
      <rPr>
        <sz val="10"/>
        <color theme="1"/>
        <rFont val="Arial"/>
        <family val="2"/>
      </rPr>
      <t xml:space="preserve">     </t>
    </r>
  </si>
  <si>
    <r>
      <t xml:space="preserve">   All over   70,000 m</t>
    </r>
    <r>
      <rPr>
        <vertAlign val="superscript"/>
        <sz val="10"/>
        <rFont val="Arial"/>
        <family val="2"/>
      </rPr>
      <t>3</t>
    </r>
  </si>
  <si>
    <r>
      <t xml:space="preserve">   First       852,000 m</t>
    </r>
    <r>
      <rPr>
        <vertAlign val="superscript"/>
        <sz val="10"/>
        <color theme="1"/>
        <rFont val="Arial"/>
        <family val="2"/>
      </rPr>
      <t>3</t>
    </r>
  </si>
  <si>
    <r>
      <t xml:space="preserve">   All over   852,000 m</t>
    </r>
    <r>
      <rPr>
        <vertAlign val="superscript"/>
        <sz val="10"/>
        <rFont val="Arial"/>
        <family val="2"/>
      </rPr>
      <t>3</t>
    </r>
  </si>
  <si>
    <t xml:space="preserve">Commodity Transportation 1 </t>
  </si>
  <si>
    <t xml:space="preserve">Commodity Transportation 2  </t>
  </si>
  <si>
    <t>Storage Demand</t>
  </si>
  <si>
    <t>$/GJ/d</t>
  </si>
  <si>
    <t>Storage Commodity</t>
  </si>
  <si>
    <t>$/GJ</t>
  </si>
  <si>
    <t>Delivery Charge - Commodity (maximum)</t>
  </si>
  <si>
    <t>Gas Supply Charge - All Union North Rate Zones</t>
  </si>
  <si>
    <t xml:space="preserve">       Minimum</t>
  </si>
  <si>
    <t xml:space="preserve">       Maximum</t>
  </si>
  <si>
    <t xml:space="preserve">Commodity Transportation 1  </t>
  </si>
  <si>
    <t xml:space="preserve">Commodity Transportation 2   </t>
  </si>
  <si>
    <t>Bundled (T-Service) Storage Service</t>
  </si>
  <si>
    <r>
      <t xml:space="preserve">   First        100 m</t>
    </r>
    <r>
      <rPr>
        <vertAlign val="superscript"/>
        <sz val="10"/>
        <color theme="1"/>
        <rFont val="Arial"/>
        <family val="2"/>
      </rPr>
      <t>3</t>
    </r>
  </si>
  <si>
    <r>
      <t xml:space="preserve">   Next        150 m</t>
    </r>
    <r>
      <rPr>
        <vertAlign val="superscript"/>
        <sz val="10"/>
        <rFont val="Arial"/>
        <family val="2"/>
      </rPr>
      <t>3</t>
    </r>
  </si>
  <si>
    <r>
      <t xml:space="preserve">   All over    250 m</t>
    </r>
    <r>
      <rPr>
        <vertAlign val="superscript"/>
        <sz val="10"/>
        <rFont val="Arial"/>
        <family val="2"/>
      </rPr>
      <t>3</t>
    </r>
  </si>
  <si>
    <r>
      <t xml:space="preserve">   First         1,000 m</t>
    </r>
    <r>
      <rPr>
        <vertAlign val="superscript"/>
        <sz val="10"/>
        <color theme="1"/>
        <rFont val="Arial"/>
        <family val="2"/>
      </rPr>
      <t>3</t>
    </r>
  </si>
  <si>
    <r>
      <t xml:space="preserve">   Next         6,000 m</t>
    </r>
    <r>
      <rPr>
        <vertAlign val="superscript"/>
        <sz val="10"/>
        <rFont val="Arial"/>
        <family val="2"/>
      </rPr>
      <t>3</t>
    </r>
  </si>
  <si>
    <r>
      <t xml:space="preserve">   Next         13,000 m</t>
    </r>
    <r>
      <rPr>
        <vertAlign val="superscript"/>
        <sz val="10"/>
        <rFont val="Arial"/>
        <family val="2"/>
      </rPr>
      <t>3</t>
    </r>
  </si>
  <si>
    <r>
      <t xml:space="preserve">   All over     20,000 m</t>
    </r>
    <r>
      <rPr>
        <vertAlign val="superscript"/>
        <sz val="10"/>
        <rFont val="Arial"/>
        <family val="2"/>
      </rPr>
      <t>3</t>
    </r>
  </si>
  <si>
    <r>
      <t xml:space="preserve">   First          8,450 m</t>
    </r>
    <r>
      <rPr>
        <vertAlign val="superscript"/>
        <sz val="10"/>
        <rFont val="Arial"/>
        <family val="2"/>
      </rPr>
      <t>3</t>
    </r>
  </si>
  <si>
    <r>
      <t xml:space="preserve">   Next         19,700 m</t>
    </r>
    <r>
      <rPr>
        <vertAlign val="superscript"/>
        <sz val="10"/>
        <rFont val="Arial"/>
        <family val="2"/>
      </rPr>
      <t>3</t>
    </r>
  </si>
  <si>
    <r>
      <t xml:space="preserve">   All over     28,150 m</t>
    </r>
    <r>
      <rPr>
        <vertAlign val="superscript"/>
        <sz val="10"/>
        <rFont val="Arial"/>
        <family val="2"/>
      </rPr>
      <t>3</t>
    </r>
  </si>
  <si>
    <t xml:space="preserve">   First Block</t>
  </si>
  <si>
    <t xml:space="preserve">   All remaining use</t>
  </si>
  <si>
    <t xml:space="preserve">Monthly Customer Charge </t>
  </si>
  <si>
    <t>Delivery Commodity Charge (Avg Price)</t>
  </si>
  <si>
    <t xml:space="preserve">MAV Gas Supply </t>
  </si>
  <si>
    <t xml:space="preserve"> Firm Contracts</t>
  </si>
  <si>
    <t>Interruptible / Seasonal Contracts</t>
  </si>
  <si>
    <t>Storage</t>
  </si>
  <si>
    <t>Storage Fuel Ratio - CSF</t>
  </si>
  <si>
    <t>%</t>
  </si>
  <si>
    <t xml:space="preserve">Transportation </t>
  </si>
  <si>
    <t>Demand</t>
  </si>
  <si>
    <t>First          28,150 m³</t>
  </si>
  <si>
    <t>Next         112,720 m³</t>
  </si>
  <si>
    <t>Firm Volumes - Customer Provides</t>
  </si>
  <si>
    <t>Interruptible Volumes - Customer Provides</t>
  </si>
  <si>
    <t>Monthly Charges</t>
  </si>
  <si>
    <t>Transportation Fuel Ratio - CSF</t>
  </si>
  <si>
    <t xml:space="preserve"> Storage</t>
  </si>
  <si>
    <t>First           140,870 m³</t>
  </si>
  <si>
    <t>All Over      140,870 m³</t>
  </si>
  <si>
    <t>Commodity - Customer Provides</t>
  </si>
  <si>
    <t>Ex-Franchise</t>
  </si>
  <si>
    <t>Monthly Demand Charge - Firm</t>
  </si>
  <si>
    <t>Commodity Charge - Interruptible</t>
  </si>
  <si>
    <t>Monthly Demand Charge</t>
  </si>
  <si>
    <t>Authorized Overrun</t>
  </si>
  <si>
    <t>Rate M12</t>
  </si>
  <si>
    <t>Monthly Demand Charges</t>
  </si>
  <si>
    <t xml:space="preserve">Dawn to Parkway  </t>
  </si>
  <si>
    <t>M12-X - Dawn, Kirkwall and Parkway</t>
  </si>
  <si>
    <t>F24-T</t>
  </si>
  <si>
    <t>Commodity Charges:</t>
  </si>
  <si>
    <t xml:space="preserve">   Easterly</t>
  </si>
  <si>
    <t>Note</t>
  </si>
  <si>
    <t xml:space="preserve"> Note</t>
  </si>
  <si>
    <t xml:space="preserve">Note </t>
  </si>
  <si>
    <t xml:space="preserve"> Limited Firm/Interruptible</t>
  </si>
  <si>
    <t xml:space="preserve"> Monthly Demand Charges - Maximum</t>
  </si>
  <si>
    <t xml:space="preserve"> Authorized Overrun - Shipper Supplied Fuel</t>
  </si>
  <si>
    <t>Transportation Commodity Charges</t>
  </si>
  <si>
    <t>Monthly Fixed Charge per Customer Station</t>
  </si>
  <si>
    <t>Transmission Commodity Charge to Dawn</t>
  </si>
  <si>
    <t>Commodity Charge - Utility Supplied Fuel</t>
  </si>
  <si>
    <t>Commodity Charge - Shipper Supplied Fuel</t>
  </si>
  <si>
    <t>Authorized Overrun - Utility Supplied Fuel</t>
  </si>
  <si>
    <t>Authorized Overrun - Shipper supplied fuel</t>
  </si>
  <si>
    <t>East of Dawn</t>
  </si>
  <si>
    <t>West of Dawn</t>
  </si>
  <si>
    <t>Transportation Fuel Charges to Dawn:</t>
  </si>
  <si>
    <t>East of Dawn - Utility Supplied Fuel</t>
  </si>
  <si>
    <t>West of Dawn - Utility Supplied Fuel</t>
  </si>
  <si>
    <t>East of Dawn - Shipper supplied fuel</t>
  </si>
  <si>
    <t>West of Dawn - Shipper supplied fuel</t>
  </si>
  <si>
    <t>Transportation Fuel Charges to Pools:</t>
  </si>
  <si>
    <t>Firm Transportation</t>
  </si>
  <si>
    <t xml:space="preserve">    Dawn to Delivery Area (Nov. 1 - Mar. 31)</t>
  </si>
  <si>
    <t xml:space="preserve">    Dawn to Delivery Area (Apr. 1 - Oct. 31)</t>
  </si>
  <si>
    <t xml:space="preserve">    Kirkwall to Delivery Area or Dawn (Nov. 1 - Mar. 31)</t>
  </si>
  <si>
    <t xml:space="preserve">    Kirkwall to Delivery Area or Dawn (Apr. 1 - Oct. 31)</t>
  </si>
  <si>
    <t xml:space="preserve">    Parkway (TCPL) to Delivery Area or Dawn (Nov. 1 - Mar. 31)</t>
  </si>
  <si>
    <t xml:space="preserve">    Parkway (TCPL) to Delivery Area or Dawn (Apr. 1 - Oct. 31)</t>
  </si>
  <si>
    <t>Transmission Commodity Charges</t>
  </si>
  <si>
    <t>Dawn to Delivery Area (Nov. 1 - Mar. 31)</t>
  </si>
  <si>
    <t>Dawn to Delivery Area (Apr. 1 - Oct. 31)</t>
  </si>
  <si>
    <t>Kirkwall to Delivery Area or Dawn (Nov. 1 - Mar. 31)</t>
  </si>
  <si>
    <t>Kirkwall to Delivery Area or Dawn (Apr. 1 - Oct. 31)</t>
  </si>
  <si>
    <t>Parkway (TCPL) to Delivery Area or Dawn (Nov. 1 - Mar. 31)</t>
  </si>
  <si>
    <t>Parkway (TCPL) to Delivery Area or Dawn (Apr. 1 - Oct. 31)</t>
  </si>
  <si>
    <t>Parkway to Dawn</t>
  </si>
  <si>
    <t>Between St. Clair / Bluewater / Ojibway &amp; Dawn</t>
  </si>
  <si>
    <t xml:space="preserve">Dawn to Kirkwall </t>
  </si>
  <si>
    <t xml:space="preserve">Kirkwall to Dawn </t>
  </si>
  <si>
    <t>Parkway to Kirkwall / Dawn</t>
  </si>
  <si>
    <t>Proposed rate change for Phase 1 Decision, as per Appendix A, column (b).</t>
  </si>
  <si>
    <t>Proposed rates based on April 2022 QRAM prior to January 2024 QRAM Update. Total 2024 proposed rates are provided at Appendix A, column (e).</t>
  </si>
  <si>
    <t>Monthly fuel rates and fuel and comodity ratios per Rate M12 Schedule B.</t>
  </si>
  <si>
    <t>Plus shipper supplied fuel per rate schedule.</t>
  </si>
  <si>
    <t>Calculation of Supplemental Service Charges</t>
  </si>
  <si>
    <t>Gas Supply Administration Charge</t>
  </si>
  <si>
    <t>Union Rate Zone</t>
  </si>
  <si>
    <t>EB-2022-0133 Gas Supply Admin Charge (1)</t>
  </si>
  <si>
    <r>
      <t>Forecast Sales Volumes (10</t>
    </r>
    <r>
      <rPr>
        <vertAlign val="superscript"/>
        <sz val="10"/>
        <rFont val="Arial"/>
        <family val="2"/>
      </rPr>
      <t>3</t>
    </r>
    <r>
      <rPr>
        <sz val="10"/>
        <rFont val="Arial"/>
        <family val="2"/>
      </rPr>
      <t>m</t>
    </r>
    <r>
      <rPr>
        <vertAlign val="superscript"/>
        <sz val="10"/>
        <rFont val="Arial"/>
        <family val="2"/>
      </rPr>
      <t>3</t>
    </r>
    <r>
      <rPr>
        <sz val="10"/>
        <rFont val="Arial"/>
        <family val="2"/>
      </rPr>
      <t>) (2)</t>
    </r>
  </si>
  <si>
    <t>EB-2022-0133 Gas Supply Administration Costs at 2024 Forecast</t>
  </si>
  <si>
    <t>Deficiency Escalation (%) (3)</t>
  </si>
  <si>
    <t>2024 Gas Supply Admin Costs</t>
  </si>
  <si>
    <t>Semi-Unbundled Transportation Fuel Ratios</t>
  </si>
  <si>
    <t>Rate 125 Transportation Fuel Ratio</t>
  </si>
  <si>
    <t>EB-2022-0133 Transportation Fuel Ratio</t>
  </si>
  <si>
    <t>2024 UFG Change (4)</t>
  </si>
  <si>
    <t xml:space="preserve">                                                                                                                                                                                                                                                                                                                                                                                                                                                                                                                                                                                                                                                                                                                                                                                                                                                                                                                                                                                                                                                                                                                                                                                                                                                                                                                                                                                                                                                                                                                                                                                                                                                                                                                                                                                                                                                                                                                                                                                                                                                                                                                                                                                                                                                                                                                                                                                                                                                                                                                                                                                                                                                                                                                                                                                                                                                                                                                                                                                                                                                                                                                                                                                                                                                                                                                                                                                                                                                                                                                                                                                                                                                                                                                                                                                                                                                                                                                                                                                                                                                                                                                                                                                                                                                                                                                                                                                                                                                                                                                                                                                                                                                                                                                       </t>
  </si>
  <si>
    <t>Rate T1 Transportation Fuel Ratio</t>
  </si>
  <si>
    <t>2024 CSF and Own Use Change (5)</t>
  </si>
  <si>
    <t>Rate T2 Transportation Fuel Ratio</t>
  </si>
  <si>
    <t>Rate T3 Transportation Fuel Ratio</t>
  </si>
  <si>
    <t>Rate 315 and Rate 316 Storage Fuel Ratio</t>
  </si>
  <si>
    <t>EB-2022-0133 Fuel Ratio</t>
  </si>
  <si>
    <t>2024 CSF Change (5)</t>
  </si>
  <si>
    <t>T1, T2 and T3 Storage Fuel Ratio</t>
  </si>
  <si>
    <t>Calculation of Supplemental Service Charges (Continued)</t>
  </si>
  <si>
    <t>Minimum Bill Charges</t>
  </si>
  <si>
    <t>Variable Rate for EGD Minimum Bill Charges</t>
  </si>
  <si>
    <t xml:space="preserve"> UFG Volume 103m3</t>
  </si>
  <si>
    <r>
      <t>January 1, 2024 Weighted Average Reference Price ($/10</t>
    </r>
    <r>
      <rPr>
        <vertAlign val="superscript"/>
        <sz val="10"/>
        <rFont val="Arial"/>
        <family val="2"/>
      </rPr>
      <t>3</t>
    </r>
    <r>
      <rPr>
        <sz val="10"/>
        <rFont val="Arial"/>
        <family val="2"/>
      </rPr>
      <t>m</t>
    </r>
    <r>
      <rPr>
        <vertAlign val="superscript"/>
        <sz val="10"/>
        <rFont val="Arial"/>
        <family val="2"/>
      </rPr>
      <t>3</t>
    </r>
    <r>
      <rPr>
        <sz val="10"/>
        <rFont val="Arial"/>
        <family val="2"/>
      </rPr>
      <t>)</t>
    </r>
  </si>
  <si>
    <t xml:space="preserve">       2024 UFG Costs ($000s)</t>
  </si>
  <si>
    <r>
      <t xml:space="preserve">       2024 Delivery Volumes 10</t>
    </r>
    <r>
      <rPr>
        <vertAlign val="superscript"/>
        <sz val="10"/>
        <rFont val="Arial"/>
        <family val="2"/>
      </rPr>
      <t>3</t>
    </r>
    <r>
      <rPr>
        <sz val="10"/>
        <rFont val="Arial"/>
        <family val="2"/>
      </rPr>
      <t>m</t>
    </r>
    <r>
      <rPr>
        <vertAlign val="superscript"/>
        <sz val="10"/>
        <rFont val="Arial"/>
        <family val="2"/>
      </rPr>
      <t>3</t>
    </r>
  </si>
  <si>
    <t xml:space="preserve">Distribution Loss Unit Rate cents/m³ (line 31 / line 32 x 100) </t>
  </si>
  <si>
    <t>Rate 110 Minimum Bill Charge</t>
  </si>
  <si>
    <t>Delivery Commodity Charge (Tier 1)</t>
  </si>
  <si>
    <t>Gas Supply Transportation Charge + Gas Supply Load Balancing Charge</t>
  </si>
  <si>
    <t>Less: Distribution Loss Unit Rate (line 33)</t>
  </si>
  <si>
    <t>Rate 115 Minimum Bill Charge</t>
  </si>
  <si>
    <t>Rate 135 Minimum Bill Charge</t>
  </si>
  <si>
    <t>Delivery Commodity Charge (Average Tier 1)</t>
  </si>
  <si>
    <t>Rate 145 Minimum Bill Charge</t>
  </si>
  <si>
    <t>Rate 170 Minimum Bill Charge</t>
  </si>
  <si>
    <t>Rate 200 Minimum Bill Charge</t>
  </si>
  <si>
    <t>Minimum Bill Charges (Continued)</t>
  </si>
  <si>
    <t>Rate M4 Firm Minimum Annual Delivery Commodity Charge</t>
  </si>
  <si>
    <t>Gas Supply Admin Charge (line 6)</t>
  </si>
  <si>
    <t>Minimum Annual Delivery Commodity Charge</t>
  </si>
  <si>
    <t>M4/M5 Interruptible Minimum Annual Delivery Commodity Charge</t>
  </si>
  <si>
    <t>Rate M5 Interruptible Delivery Commodity Charge (Average)</t>
  </si>
  <si>
    <t>Maximum Charges</t>
  </si>
  <si>
    <t>Rate 25 Interruptible</t>
  </si>
  <si>
    <t>Average Rate 10 Delivery Charge</t>
  </si>
  <si>
    <t>Percent of Average Rate 10 Delivery Charge</t>
  </si>
  <si>
    <t>Rate 25 Maximum Interruptible Delivery Commodity Charge (line 64 x line 65)</t>
  </si>
  <si>
    <t>Rate M7 Interruptible</t>
  </si>
  <si>
    <t>Firm Demand Commoditized at 22.86%</t>
  </si>
  <si>
    <t>Firm Delivery Commodity Charge</t>
  </si>
  <si>
    <t>Rate M7 Maximum Interruptible Charge</t>
  </si>
  <si>
    <t>Rate M7 Seasonal</t>
  </si>
  <si>
    <t>Current Approved Maximum</t>
  </si>
  <si>
    <t>Rate M7 Interruptible/Seasonal Average Rate Change</t>
  </si>
  <si>
    <t>Rate M7 Maximum Seasonal Charge</t>
  </si>
  <si>
    <t>Rate T1 Interruptible</t>
  </si>
  <si>
    <t>Equal to Rate M7 Maximum Interruptible Charge (line 69)</t>
  </si>
  <si>
    <t>Rate T1 Maximum Interruptible Charge</t>
  </si>
  <si>
    <t>Rate T2 Interruptible</t>
  </si>
  <si>
    <t>Rate T2 Maximum Interruptible Charge</t>
  </si>
  <si>
    <t>Authorized Overrun Charges</t>
  </si>
  <si>
    <t>Rate 125 Authorized Overrun Charge</t>
  </si>
  <si>
    <t>Delivery Demand Charge - Commoditized at 100% Load Factor (7)</t>
  </si>
  <si>
    <t>Rate 135 - Seasonal Overrun Charges</t>
  </si>
  <si>
    <t>December and March</t>
  </si>
  <si>
    <t xml:space="preserve">Winter Delivery Commodity Charge (Tier 1) + </t>
  </si>
  <si>
    <t>Gas Supply Western Transportation Charge x 2</t>
  </si>
  <si>
    <t>January and February</t>
  </si>
  <si>
    <t>Gas Supply Western Transportation Charge x 5</t>
  </si>
  <si>
    <t>R20/100 Authorized Storage Overrun</t>
  </si>
  <si>
    <t>Storage Demand Charge - Commoditized at 100% Load Factor (7)</t>
  </si>
  <si>
    <t>R20/100 Authorized Storage Overrun Charge ($/GJ)</t>
  </si>
  <si>
    <t>Rate M4 Firm Authorized Overrun Charge</t>
  </si>
  <si>
    <t>Firm Demand Charge (Tier 1) - Commoditized at 100% Load Factor (7)</t>
  </si>
  <si>
    <t>Firm Delivery Commodity Charge (Tier 1)</t>
  </si>
  <si>
    <t>Rate M4 Authorized Overrun Charge</t>
  </si>
  <si>
    <t>Rate M9 Authorized Overrun Charge</t>
  </si>
  <si>
    <t>Rate T1/T2/T3 Authorized Injection/Withdrawal Storage Overrun Charge</t>
  </si>
  <si>
    <t>Injection/Withdrawal Demand Charge, Commoditized at 100% Load Factor (7)</t>
  </si>
  <si>
    <t>Rate T1/T2/T3 Authorized Injection/Withdrawal Overrun Charge ($/GJ)</t>
  </si>
  <si>
    <t>Rate T1 Firm Authorized Transportation Overrun Charge</t>
  </si>
  <si>
    <t>Transportation Demand Charge (Tier 1) - Commoditized at 100% Load Factor (7)</t>
  </si>
  <si>
    <t>Transportation Commodity Charge</t>
  </si>
  <si>
    <t>Rate T2 Firm Authorized Transportation Overrun Charge</t>
  </si>
  <si>
    <t>Rate T3 Firm Authorized Transportation Overrun Charge</t>
  </si>
  <si>
    <t>Transportation Demand Charge - Commoditized at 100% Load Factor (7)</t>
  </si>
  <si>
    <t>Unauthorized Overrun Charges</t>
  </si>
  <si>
    <t>Rates M4, M5, M7 Unauthorized Delivery Overrun</t>
  </si>
  <si>
    <t xml:space="preserve">Rate M1 Delivery Charge (Tier 1) + Storage Charge </t>
  </si>
  <si>
    <t>Rates T1, T2 Unauthorized Injections/Withdrawals</t>
  </si>
  <si>
    <t>Heat Value Conversion (GJ/10³m³)</t>
  </si>
  <si>
    <t>Rate T3 Unauthorized Injections/Withdrawals</t>
  </si>
  <si>
    <r>
      <t>Historical Rate (cents/m</t>
    </r>
    <r>
      <rPr>
        <vertAlign val="superscript"/>
        <sz val="10"/>
        <rFont val="Arial"/>
        <family val="2"/>
      </rPr>
      <t>3</t>
    </r>
    <r>
      <rPr>
        <sz val="10"/>
        <rFont val="Arial"/>
        <family val="2"/>
      </rPr>
      <t>)</t>
    </r>
  </si>
  <si>
    <t>Unauthorized Overrun Non-Compliance</t>
  </si>
  <si>
    <t>Historical Rate ($/GJ)</t>
  </si>
  <si>
    <t xml:space="preserve">Rate T1, Rate T2 &amp; Rate T3 Annual Firm Injection/Withdrawal Right </t>
  </si>
  <si>
    <t>Customer provides deliverability Inventory Rate</t>
  </si>
  <si>
    <t>Inventory Carrying Costs</t>
  </si>
  <si>
    <t>Space</t>
  </si>
  <si>
    <t>Inventory Percentage</t>
  </si>
  <si>
    <t>Dawn Price as per EB-2023-0330 at the Harmonized Reference Price</t>
  </si>
  <si>
    <t>ICC %</t>
  </si>
  <si>
    <t>Deliverability Demand Allocation Units</t>
  </si>
  <si>
    <t>Utility provides deliverability Inventory as per EB-2023-0330 (line 113 + line 121)</t>
  </si>
  <si>
    <r>
      <t>cents/m</t>
    </r>
    <r>
      <rPr>
        <vertAlign val="superscript"/>
        <sz val="10"/>
        <rFont val="Arial"/>
        <family val="2"/>
      </rPr>
      <t>3</t>
    </r>
  </si>
  <si>
    <t>Commissioning and Decommissioning Charges</t>
  </si>
  <si>
    <t>Union</t>
  </si>
  <si>
    <t>Rate 20 - at 50% Load Factor</t>
  </si>
  <si>
    <t>Delivery Commissioning and Decommissioning Charge</t>
  </si>
  <si>
    <t>Delivery Demand Charge (Tier 1) - Commoditized at 50% Load Factor</t>
  </si>
  <si>
    <t>Gas Supply Commissioning and Decommissioning Charge</t>
  </si>
  <si>
    <t>Gas Supply Demand Charge - Commoditized at 50% Load Factor</t>
  </si>
  <si>
    <t>Gas Supply Transportation - Gas Cost Adjustment</t>
  </si>
  <si>
    <t>Rate 100 - at 70% Load Factor</t>
  </si>
  <si>
    <t>Delivery Demand Charge - Commoditized at 70% Load Factor</t>
  </si>
  <si>
    <t>Gas Supply Demand Charge - Commoditized at 70% Load Factor</t>
  </si>
  <si>
    <t>Line 135 + Line 136 x (3/7)</t>
  </si>
  <si>
    <t>Gas Supply Commissioning and Decommissioning Charge (line 135 + line 137)</t>
  </si>
  <si>
    <t>Total Rate 100 Commissioning and Decommissioning Charge (Line 134 + Line 138)</t>
  </si>
  <si>
    <t>Rate M7 - at 32.66% Load Factor</t>
  </si>
  <si>
    <t>Delivery Demand Charge - Commoditized at 32.66% Load Factor</t>
  </si>
  <si>
    <t>Rate M7 Delivery Commissioning and Decommissioning Charge</t>
  </si>
  <si>
    <t>Union Rate Zones IFT and EFT Charges ($/GJ)</t>
  </si>
  <si>
    <t>From: South BT  To: South BT / T1 / T2 / T3; or</t>
  </si>
  <si>
    <t>From: North West BT  To: North West BT; or</t>
  </si>
  <si>
    <t>From: North East BT  To: South BT / T1 / T2 / T3 / North East BT / North West BT; or</t>
  </si>
  <si>
    <t>From: South BT  To: North East BT or North West BT; or</t>
  </si>
  <si>
    <t>From: South BT To: Ex-Franchise; or</t>
  </si>
  <si>
    <t>From: North East BT To: Ex-Franchise</t>
  </si>
  <si>
    <t>Rate T1/T2/T3 Storage Withdrawal Fuel Ratio</t>
  </si>
  <si>
    <t>Weighted Average Reference Price ($/GJ) (6)</t>
  </si>
  <si>
    <t>From: North West BT  To: South BT / T1 / T2 / T3 / North East BT</t>
  </si>
  <si>
    <t>Empress-Union Parkway Belt 100% LF Toll</t>
  </si>
  <si>
    <t>From: North West BT To: Ex-Franchise</t>
  </si>
  <si>
    <t>Storage Withdrawal Charge (line 151 x line 152)</t>
  </si>
  <si>
    <t>Rate M12 Parkway to Dawn Fuel Ratio (7)</t>
  </si>
  <si>
    <t>Parkway to Dawn Commodity (line 154 x line 155)</t>
  </si>
  <si>
    <t>Empress to Union Parkway Belt - Commoditized at 100% Load Factor (7)</t>
  </si>
  <si>
    <t>Total (line 153 + line 156 + line 157)</t>
  </si>
  <si>
    <t>Failure to Deliver</t>
  </si>
  <si>
    <t>Rate M1 Delivery Commodity Charge (Tier 1) and Storage Rate</t>
  </si>
  <si>
    <t>Rate M1 Facility Carbon Charge</t>
  </si>
  <si>
    <t>Failure to Deliver Adjustment</t>
  </si>
  <si>
    <r>
      <t>Failure to Deliver Charge (cents/m</t>
    </r>
    <r>
      <rPr>
        <vertAlign val="superscript"/>
        <sz val="10"/>
        <rFont val="Arial"/>
        <family val="2"/>
      </rPr>
      <t>3</t>
    </r>
    <r>
      <rPr>
        <sz val="10"/>
        <rFont val="Arial"/>
        <family val="2"/>
      </rPr>
      <t>)</t>
    </r>
  </si>
  <si>
    <t>Parkway Delivery Commitment Incentive ("PDCI") (12)</t>
  </si>
  <si>
    <t>Rate M12 Dawn to Parkway Demand Charge - Commoditized at 100% Load Factor (7)</t>
  </si>
  <si>
    <t xml:space="preserve">Rate M12 Average Dawn to Parkway (TCPL / EGT) Fuel Rate </t>
  </si>
  <si>
    <t xml:space="preserve">Rate M12 Dawn to Parkway Facility Carbon Charge </t>
  </si>
  <si>
    <t>EB-2022-0133, Exhibit D, Tab 2, Schedule 8, p.2,  line 6.</t>
  </si>
  <si>
    <t>Total Union rate zone sales service volumes as provided at Working Papers, Schedule 19, column (a).</t>
  </si>
  <si>
    <t>Working Papers, Schedule 17, line 22.</t>
  </si>
  <si>
    <t>UFG increase of 22% as per Working Papers, Schedule 23, p.4.</t>
  </si>
  <si>
    <t>Compressor fuel decrease of (1%) as per Working Papers, Schedule 23, p.5, plus inclusion of own use gas as per Working Papers, Schedule 23, p.3. for Rate T1, T2 and Rate T3 transportation fuel ratios.</t>
  </si>
  <si>
    <t>Weighted average reference price of $5.309/GJ based on April 2022 QRAM as per Exhibit 4, Tab 2, Schedule 2, Attachment 3.</t>
  </si>
  <si>
    <t>Commoditized demand rate at 100% load factor is equal to the respective demand rate multiplied by 12 and divided by 365.</t>
  </si>
  <si>
    <t>(8)</t>
  </si>
  <si>
    <t>Annual average of Parkway-Dawn M12-X Westerly Fuel Rate.</t>
  </si>
  <si>
    <t>(9)</t>
  </si>
  <si>
    <t>EB-2022-0133, Exhibit D, Tab 2, Rate Order, Appendix B, Rate M12 Rate Schedule C, p.1, average of Dawn to Parkway (TCPL / EGT) monthly fuel ratio at Oct. 1, 2023 QRAM Dawn Reference WACOG.</t>
  </si>
  <si>
    <t>DSM Budget Allocation by Rate Class</t>
  </si>
  <si>
    <t>DSM Budget (1)</t>
  </si>
  <si>
    <t>DSM Budget (2)</t>
  </si>
  <si>
    <t>Change</t>
  </si>
  <si>
    <t>(c) = (b - a)</t>
  </si>
  <si>
    <t>(d) = (c / a)</t>
  </si>
  <si>
    <t xml:space="preserve">Rate M4 </t>
  </si>
  <si>
    <t>Note:</t>
  </si>
  <si>
    <t>The 2023 DSM Budget included in 2023 Rates (EB-2022-0133).</t>
  </si>
  <si>
    <t>Exhibit 7, Tab 2, Schedule 1, Attachment 12, pp.11-13, lines 21 and 23, updated March 8, 2023. This budget has since been updated for the OEB-approved annual budget escalation methodology whereby the full 2023 budget approved as part of the DSM Framework proceeding (EB-2021-0002) is increased annually by inflation plus an additional 3% for all program related costs.</t>
  </si>
  <si>
    <t>Derivation of 2024 DSM Unit Rates</t>
  </si>
  <si>
    <t>2024 Forecast</t>
  </si>
  <si>
    <t>2024 DSM</t>
  </si>
  <si>
    <t>Usage (1)</t>
  </si>
  <si>
    <t>Budget (2)</t>
  </si>
  <si>
    <t xml:space="preserve"> Rate</t>
  </si>
  <si>
    <t>(10³m³)</t>
  </si>
  <si>
    <t>(cents/m³)</t>
  </si>
  <si>
    <t>Derivation of 2024 DSM Unit Rates (Continued)</t>
  </si>
  <si>
    <t>First      1,000 m³</t>
  </si>
  <si>
    <t>Next      9,000 m³</t>
  </si>
  <si>
    <t>Next      20,000 m³</t>
  </si>
  <si>
    <t>Next      70,000 m³</t>
  </si>
  <si>
    <t>First         70,000 m³</t>
  </si>
  <si>
    <t>All over     70,000 m³</t>
  </si>
  <si>
    <t>First              1,000 m³</t>
  </si>
  <si>
    <t>Next              6,000 m³</t>
  </si>
  <si>
    <t>Next              13,000 m³</t>
  </si>
  <si>
    <t>All over          20,000 m³</t>
  </si>
  <si>
    <t>First           8,450 m³</t>
  </si>
  <si>
    <t>Next          19,700 m³</t>
  </si>
  <si>
    <t>All over      28,150 m³</t>
  </si>
  <si>
    <t>First       28,150 m³</t>
  </si>
  <si>
    <t>Next       112,720 m³</t>
  </si>
  <si>
    <t>Working Papers, Schedule 19, column (b).</t>
  </si>
  <si>
    <t>P.1, column (b).</t>
  </si>
  <si>
    <t>Revenue Proof of 2024 DSM Uniform Residential Unit Rates</t>
  </si>
  <si>
    <t>2024 Forecast Usage</t>
  </si>
  <si>
    <t>Residential</t>
  </si>
  <si>
    <t>Non-Residential</t>
  </si>
  <si>
    <t>Proposed Unit</t>
  </si>
  <si>
    <t>DSM</t>
  </si>
  <si>
    <t>Non-</t>
  </si>
  <si>
    <t>Budget</t>
  </si>
  <si>
    <t xml:space="preserve">Budget </t>
  </si>
  <si>
    <t>Total (1)</t>
  </si>
  <si>
    <t>(f) = (b*d)/100</t>
  </si>
  <si>
    <t>(h) = (c*d)/100</t>
  </si>
  <si>
    <t>(j) = (f+h)</t>
  </si>
  <si>
    <t>Rate 1 - EGD Rate Zone</t>
  </si>
  <si>
    <t>Over    170 m³</t>
  </si>
  <si>
    <t>Rate 01 - Union North Rate Zone</t>
  </si>
  <si>
    <t>Over    1,000 m³</t>
  </si>
  <si>
    <t>Rate M1 - Union South Rate Zone</t>
  </si>
  <si>
    <t>First        100 m³</t>
  </si>
  <si>
    <t>Next        150 m³</t>
  </si>
  <si>
    <t>All over    250 m³</t>
  </si>
  <si>
    <t>Working Papers, Schedule 19, column (a).</t>
  </si>
  <si>
    <t xml:space="preserve"> P.1, column (b).</t>
  </si>
  <si>
    <t>Summary of Current Approved and 2024 Forecast Cost of Gas Revenue by Rate Class</t>
  </si>
  <si>
    <t>Based on Weighted Average Reference Price at April 1, 2022</t>
  </si>
  <si>
    <t>Current Approved Revenue (1)</t>
  </si>
  <si>
    <t>2024 Forecast Revenue (2)</t>
  </si>
  <si>
    <t>Rate Class ($000s)</t>
  </si>
  <si>
    <t>Gas in Storage</t>
  </si>
  <si>
    <t>Own Use Gas</t>
  </si>
  <si>
    <t>UFG</t>
  </si>
  <si>
    <t>Compressor Fuel</t>
  </si>
  <si>
    <t xml:space="preserve">   Rate 1</t>
  </si>
  <si>
    <t xml:space="preserve">   Rate 6</t>
  </si>
  <si>
    <t xml:space="preserve">   Rate 100</t>
  </si>
  <si>
    <t xml:space="preserve">   Rate 110</t>
  </si>
  <si>
    <t xml:space="preserve">   Rate 115</t>
  </si>
  <si>
    <t xml:space="preserve">   Rate 125</t>
  </si>
  <si>
    <t xml:space="preserve">   Rate 135</t>
  </si>
  <si>
    <t xml:space="preserve">   Rate 145</t>
  </si>
  <si>
    <t xml:space="preserve">   Rate 170</t>
  </si>
  <si>
    <t xml:space="preserve">   Rate 200</t>
  </si>
  <si>
    <t xml:space="preserve">   Rate 300</t>
  </si>
  <si>
    <t xml:space="preserve">   Rate 01</t>
  </si>
  <si>
    <t xml:space="preserve">   Rate 10</t>
  </si>
  <si>
    <t xml:space="preserve">   Rate 20</t>
  </si>
  <si>
    <t xml:space="preserve">   Rate 25</t>
  </si>
  <si>
    <t xml:space="preserve">   Rate M1</t>
  </si>
  <si>
    <t xml:space="preserve">   Rate M2</t>
  </si>
  <si>
    <t xml:space="preserve">   Rate M4 (F)</t>
  </si>
  <si>
    <t xml:space="preserve">   Rate M4 (I)</t>
  </si>
  <si>
    <t xml:space="preserve">   Rate M5 (F)</t>
  </si>
  <si>
    <t xml:space="preserve">   Rate M5 (I)</t>
  </si>
  <si>
    <t xml:space="preserve">   Rate M7 (F)</t>
  </si>
  <si>
    <t xml:space="preserve">   Rate M7 (I)</t>
  </si>
  <si>
    <t xml:space="preserve">   Rate M9</t>
  </si>
  <si>
    <t xml:space="preserve">   Rate T1</t>
  </si>
  <si>
    <t xml:space="preserve">   Rate T2 </t>
  </si>
  <si>
    <t xml:space="preserve">   Rate T3</t>
  </si>
  <si>
    <t xml:space="preserve">   Rate 331</t>
  </si>
  <si>
    <t xml:space="preserve">   Rate 332</t>
  </si>
  <si>
    <t xml:space="preserve">   Rate 401</t>
  </si>
  <si>
    <t xml:space="preserve">   Rate C1 (F)</t>
  </si>
  <si>
    <t xml:space="preserve">   Rate C1 (I)</t>
  </si>
  <si>
    <t xml:space="preserve">   Rate M12</t>
  </si>
  <si>
    <t xml:space="preserve">   Rate M13</t>
  </si>
  <si>
    <t xml:space="preserve">   Rate M16</t>
  </si>
  <si>
    <t xml:space="preserve">   Rate M17</t>
  </si>
  <si>
    <t>Total Ex-Franchise</t>
  </si>
  <si>
    <t>Pp.2-5, column (a).</t>
  </si>
  <si>
    <t>Pp.2-5, column (e).</t>
  </si>
  <si>
    <t>Derivation of 2024 Gas in Storage Revenue by Rate Class</t>
  </si>
  <si>
    <t>Current Approved (1)</t>
  </si>
  <si>
    <t>Proportional</t>
  </si>
  <si>
    <t>Volumes</t>
  </si>
  <si>
    <t>Volumes (3)</t>
  </si>
  <si>
    <t>Revenue (4)</t>
  </si>
  <si>
    <t>Rate Class</t>
  </si>
  <si>
    <r>
      <t>10</t>
    </r>
    <r>
      <rPr>
        <vertAlign val="superscript"/>
        <sz val="10"/>
        <color theme="1"/>
        <rFont val="Arial"/>
        <family val="2"/>
      </rPr>
      <t>3</t>
    </r>
    <r>
      <rPr>
        <sz val="10"/>
        <color theme="1"/>
        <rFont val="Arial"/>
        <family val="2"/>
      </rPr>
      <t>m</t>
    </r>
    <r>
      <rPr>
        <vertAlign val="superscript"/>
        <sz val="10"/>
        <color theme="1"/>
        <rFont val="Arial"/>
        <family val="2"/>
      </rPr>
      <t>3</t>
    </r>
  </si>
  <si>
    <t>(b) = (a) / Ref Price / RoR x 1000</t>
  </si>
  <si>
    <t>(c) = (b) x 12%</t>
  </si>
  <si>
    <t>(d) = (a) + (b)</t>
  </si>
  <si>
    <t>(e) = (d) x 207.493 x 7.34% / 1000</t>
  </si>
  <si>
    <r>
      <t>Return on gas in storage working capital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as per EB-2022-0089, Exhibit E, Tab 2, Schedule 1, column (c), line 1 and 2013 approved gross rate of return of 8.48% for the Union rate zones and April 2022 QRAM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as per EB-2022-0089, Exhibit C, Tab 1, Schedule 1, column 3, line 13 and 2018 approved gross rate of return of 7.38% for the EGD rate zones.</t>
    </r>
  </si>
  <si>
    <t>Proportional gas in storage volume increase by 12% based on gas in storage volume recovered in current approved rates (column (b), line 42) and the 2024 forecast gas in storage volume (column (d), line 42).</t>
  </si>
  <si>
    <t>Total 2024 forecast volumes per Working Papers, Schedule 4, column (a), line 14.</t>
  </si>
  <si>
    <r>
      <t>2024 forecast return on gas in storage working capital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 and 2024 gross rate of return of 7.34%.</t>
    </r>
  </si>
  <si>
    <t>Derivation of 2024 Own Use Gas Revenue by Rate Class</t>
  </si>
  <si>
    <t>2024 Forecast (3)</t>
  </si>
  <si>
    <t>(b) = (a) / Ref Price x 1000</t>
  </si>
  <si>
    <t>(c) = (b) x -7%</t>
  </si>
  <si>
    <t>(e) = (d) x 207.493 / 1000</t>
  </si>
  <si>
    <t xml:space="preserve">   Rate T2</t>
  </si>
  <si>
    <r>
      <t>Own use gas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t>
    </r>
  </si>
  <si>
    <t>Proportional own use gas volume decrease by 7% based on own use volume recovered in current approved rates (column (b), line 42) and the 2024 forecast own use volume (column (d), line 42).</t>
  </si>
  <si>
    <r>
      <t>2024 forecast own use gas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</si>
  <si>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Derivation of 2024 UFG Revenue by Rate Class</t>
  </si>
  <si>
    <t>(c) = (b) x 22%</t>
  </si>
  <si>
    <r>
      <t>UFG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 Customer supplied fuel volumes included based on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at on April 2022 QRAM as per Exhibit 4, Tab 2, Schedule 2, Attachment 3.</t>
    </r>
  </si>
  <si>
    <t>Proportional UFG volume increase by 22% based on UFG volumes recovered in current approved rates (column (b), line 42) and the 2024 forecast UFG volumes (column (d), line 42).</t>
  </si>
  <si>
    <r>
      <t>2024 forecast UFG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</si>
  <si>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Derivation of 2024 Compressor Fuel Revenue by Rate Class</t>
  </si>
  <si>
    <t>(c) = (b) x -1%</t>
  </si>
  <si>
    <r>
      <t>Compressor fuel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 Customer supplied fuel volumes included based on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at April 2022 QRAM as per Exhibit 4, Tab 2, Schedule 2, Attachment 3.</t>
    </r>
  </si>
  <si>
    <t>Proportional compressor fuel volume decrease by 1% based on compressor fuel volumes recovered in current approved rates (column (b), line 42)  and the 2024 forecast compressor fuel volumes (column (d), line 42).</t>
  </si>
  <si>
    <r>
      <t>2024 forecast compressor fuel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</si>
  <si>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 xml:space="preserve">Calculation of 2024 Sales Service and Direct Purchase Bill Impacts for Typical Customers </t>
  </si>
  <si>
    <t>EB-2023-0330 - Current Approved  (2)</t>
  </si>
  <si>
    <t>EB-2022-0200 - 2024 Proposed</t>
  </si>
  <si>
    <t>Bill Impact</t>
  </si>
  <si>
    <t>Total Bill</t>
  </si>
  <si>
    <t>Including Federal</t>
  </si>
  <si>
    <t xml:space="preserve">Excluding Federal </t>
  </si>
  <si>
    <t>Unit Rate</t>
  </si>
  <si>
    <t>Carbon Charge</t>
  </si>
  <si>
    <t>($)</t>
  </si>
  <si>
    <t>(e) = (c - a)</t>
  </si>
  <si>
    <t>(f) = (e / a)</t>
  </si>
  <si>
    <t>Rate 1 - Small Customer</t>
  </si>
  <si>
    <r>
      <t>Annual Volume 2,400 m</t>
    </r>
    <r>
      <rPr>
        <vertAlign val="superscript"/>
        <sz val="10"/>
        <rFont val="Arial"/>
        <family val="2"/>
      </rPr>
      <t xml:space="preserve">3 </t>
    </r>
  </si>
  <si>
    <t>Delivery Charges</t>
  </si>
  <si>
    <t>Federal Carbon Charge</t>
  </si>
  <si>
    <t>Gas Supply Transportation</t>
  </si>
  <si>
    <t>Gas Supply Commodity</t>
  </si>
  <si>
    <t>Total Bill - Sales Service</t>
  </si>
  <si>
    <t>Total Bill - Bundled Direct Purchase WTS</t>
  </si>
  <si>
    <t xml:space="preserve">   Bundled Direct Purchase Impact WTS</t>
  </si>
  <si>
    <t>Total Bill - Bundled Direct Purchase DTS</t>
  </si>
  <si>
    <t xml:space="preserve">   Bundled Direct Purchase Impact DTS</t>
  </si>
  <si>
    <t>Rate 1 - Large Customer</t>
  </si>
  <si>
    <r>
      <t>Annual Volume 5,048 m</t>
    </r>
    <r>
      <rPr>
        <vertAlign val="superscript"/>
        <sz val="10"/>
        <rFont val="Arial"/>
        <family val="2"/>
      </rPr>
      <t xml:space="preserve">3 </t>
    </r>
  </si>
  <si>
    <t>Rate 6 - Small Customer</t>
  </si>
  <si>
    <t>Rate 6 - Average Customer</t>
  </si>
  <si>
    <r>
      <t>Annual Volume 22,606 m</t>
    </r>
    <r>
      <rPr>
        <vertAlign val="superscript"/>
        <sz val="10"/>
        <rFont val="Arial"/>
        <family val="2"/>
      </rPr>
      <t xml:space="preserve">3 </t>
    </r>
  </si>
  <si>
    <t>Rate 6 - Large Customer</t>
  </si>
  <si>
    <r>
      <t>Annual Volume 339,124 m</t>
    </r>
    <r>
      <rPr>
        <vertAlign val="superscript"/>
        <sz val="10"/>
        <rFont val="Arial"/>
        <family val="2"/>
      </rPr>
      <t xml:space="preserve">3 </t>
    </r>
  </si>
  <si>
    <t>Rate 100 - Small Customer</t>
  </si>
  <si>
    <r>
      <t>Contract Demand 2,993 m</t>
    </r>
    <r>
      <rPr>
        <vertAlign val="superscript"/>
        <sz val="10"/>
        <rFont val="Arial"/>
        <family val="2"/>
      </rPr>
      <t>3</t>
    </r>
    <r>
      <rPr>
        <sz val="10"/>
        <rFont val="Arial"/>
        <family val="2"/>
      </rPr>
      <t xml:space="preserve"> Annual Volume 339,188 m</t>
    </r>
    <r>
      <rPr>
        <vertAlign val="superscript"/>
        <sz val="10"/>
        <rFont val="Arial"/>
        <family val="2"/>
      </rPr>
      <t xml:space="preserve">3 </t>
    </r>
  </si>
  <si>
    <t>Rate 100 - Average Customer</t>
  </si>
  <si>
    <r>
      <t>Contract Demand 15,000 m</t>
    </r>
    <r>
      <rPr>
        <vertAlign val="superscript"/>
        <sz val="10"/>
        <rFont val="Arial"/>
        <family val="2"/>
      </rPr>
      <t>3</t>
    </r>
    <r>
      <rPr>
        <sz val="10"/>
        <rFont val="Arial"/>
        <family val="2"/>
      </rPr>
      <t xml:space="preserve"> Annual Volume 598,567 m</t>
    </r>
    <r>
      <rPr>
        <vertAlign val="superscript"/>
        <sz val="10"/>
        <rFont val="Arial"/>
        <family val="2"/>
      </rPr>
      <t xml:space="preserve">3 </t>
    </r>
  </si>
  <si>
    <t>Calculation of 2024 Sales Service and Direct Purchase Bill Impacts for Typical Customers (Continued)</t>
  </si>
  <si>
    <t>Rate 100 - Large Customer</t>
  </si>
  <si>
    <r>
      <t>Contract Demand 30,000 m</t>
    </r>
    <r>
      <rPr>
        <vertAlign val="superscript"/>
        <sz val="10"/>
        <rFont val="Arial"/>
        <family val="2"/>
      </rPr>
      <t>3</t>
    </r>
    <r>
      <rPr>
        <sz val="10"/>
        <rFont val="Arial"/>
        <family val="2"/>
      </rPr>
      <t xml:space="preserve"> Annual Volume 1,500,000 m</t>
    </r>
    <r>
      <rPr>
        <vertAlign val="superscript"/>
        <sz val="10"/>
        <rFont val="Arial"/>
        <family val="2"/>
      </rPr>
      <t xml:space="preserve">3 </t>
    </r>
  </si>
  <si>
    <t>Rate 110 - Small Customer</t>
  </si>
  <si>
    <r>
      <t>Contract Demand 3,292 m</t>
    </r>
    <r>
      <rPr>
        <vertAlign val="superscript"/>
        <sz val="10"/>
        <rFont val="Arial"/>
        <family val="2"/>
      </rPr>
      <t>3</t>
    </r>
    <r>
      <rPr>
        <sz val="10"/>
        <rFont val="Arial"/>
        <family val="2"/>
      </rPr>
      <t xml:space="preserve"> Annual Volume 598,568 m</t>
    </r>
    <r>
      <rPr>
        <vertAlign val="superscript"/>
        <sz val="10"/>
        <rFont val="Arial"/>
        <family val="2"/>
      </rPr>
      <t xml:space="preserve">3 </t>
    </r>
  </si>
  <si>
    <t>Rate 110 - Average Customer</t>
  </si>
  <si>
    <r>
      <t>Contract Demand 36,413 m</t>
    </r>
    <r>
      <rPr>
        <vertAlign val="superscript"/>
        <sz val="10"/>
        <rFont val="Arial"/>
        <family val="2"/>
      </rPr>
      <t>3</t>
    </r>
    <r>
      <rPr>
        <sz val="10"/>
        <rFont val="Arial"/>
        <family val="2"/>
      </rPr>
      <t xml:space="preserve"> Annual Volume 9,976,120 m</t>
    </r>
    <r>
      <rPr>
        <vertAlign val="superscript"/>
        <sz val="10"/>
        <rFont val="Arial"/>
        <family val="2"/>
      </rPr>
      <t xml:space="preserve">3 </t>
    </r>
  </si>
  <si>
    <t>Rate 110 - Large Customer</t>
  </si>
  <si>
    <r>
      <t>Contract Demand 53,871 m</t>
    </r>
    <r>
      <rPr>
        <vertAlign val="superscript"/>
        <sz val="10"/>
        <rFont val="Arial"/>
        <family val="2"/>
      </rPr>
      <t>3</t>
    </r>
    <r>
      <rPr>
        <sz val="10"/>
        <rFont val="Arial"/>
        <family val="2"/>
      </rPr>
      <t xml:space="preserve"> Annual Volume 9,976,121 m</t>
    </r>
    <r>
      <rPr>
        <vertAlign val="superscript"/>
        <sz val="10"/>
        <rFont val="Arial"/>
        <family val="2"/>
      </rPr>
      <t xml:space="preserve">3 </t>
    </r>
  </si>
  <si>
    <t>Rate 115 - Small Customer</t>
  </si>
  <si>
    <r>
      <t>Contract Demand 15,300 m</t>
    </r>
    <r>
      <rPr>
        <vertAlign val="superscript"/>
        <sz val="10"/>
        <rFont val="Arial"/>
        <family val="2"/>
      </rPr>
      <t>3</t>
    </r>
    <r>
      <rPr>
        <sz val="10"/>
        <rFont val="Arial"/>
        <family val="2"/>
      </rPr>
      <t xml:space="preserve"> Annual Volume 4,471,609 m</t>
    </r>
    <r>
      <rPr>
        <vertAlign val="superscript"/>
        <sz val="10"/>
        <rFont val="Arial"/>
        <family val="2"/>
      </rPr>
      <t xml:space="preserve">3 </t>
    </r>
  </si>
  <si>
    <t>Rate 115 - Large Customer</t>
  </si>
  <si>
    <r>
      <t>Contract Demand 238,928 m</t>
    </r>
    <r>
      <rPr>
        <vertAlign val="superscript"/>
        <sz val="10"/>
        <rFont val="Arial"/>
        <family val="2"/>
      </rPr>
      <t>3</t>
    </r>
    <r>
      <rPr>
        <sz val="10"/>
        <rFont val="Arial"/>
        <family val="2"/>
      </rPr>
      <t xml:space="preserve"> Annual Volume 69,832,850 m</t>
    </r>
    <r>
      <rPr>
        <vertAlign val="superscript"/>
        <sz val="10"/>
        <rFont val="Arial"/>
        <family val="2"/>
      </rPr>
      <t xml:space="preserve">3 </t>
    </r>
  </si>
  <si>
    <t>Rate 125 - Average Customer</t>
  </si>
  <si>
    <r>
      <t>Contract Demand 2,315,000 m</t>
    </r>
    <r>
      <rPr>
        <vertAlign val="superscript"/>
        <sz val="10"/>
        <rFont val="Arial"/>
        <family val="2"/>
      </rPr>
      <t>3</t>
    </r>
    <r>
      <rPr>
        <sz val="10"/>
        <rFont val="Arial"/>
        <family val="2"/>
      </rPr>
      <t xml:space="preserve"> Annual Volume 206,000,000 m</t>
    </r>
    <r>
      <rPr>
        <vertAlign val="superscript"/>
        <sz val="10"/>
        <rFont val="Arial"/>
        <family val="2"/>
      </rPr>
      <t xml:space="preserve">3 </t>
    </r>
  </si>
  <si>
    <t>Total Bill - Bundled Direct Purchase</t>
  </si>
  <si>
    <t xml:space="preserve">   Bundled Direct Purchase Impact</t>
  </si>
  <si>
    <t>Rate 135 - Average Customer</t>
  </si>
  <si>
    <r>
      <t>Annual Volume 598,567 m</t>
    </r>
    <r>
      <rPr>
        <vertAlign val="superscript"/>
        <sz val="10"/>
        <rFont val="Arial"/>
        <family val="2"/>
      </rPr>
      <t xml:space="preserve">3 </t>
    </r>
  </si>
  <si>
    <t>Rate 145 - Small Customer</t>
  </si>
  <si>
    <t>Rate 145 - Large Customer</t>
  </si>
  <si>
    <r>
      <t>Contract Demand 4,489 m</t>
    </r>
    <r>
      <rPr>
        <vertAlign val="superscript"/>
        <sz val="10"/>
        <rFont val="Arial"/>
        <family val="2"/>
      </rPr>
      <t>3</t>
    </r>
    <r>
      <rPr>
        <sz val="10"/>
        <rFont val="Arial"/>
        <family val="2"/>
      </rPr>
      <t xml:space="preserve"> Annual Volume 598,567 m</t>
    </r>
    <r>
      <rPr>
        <vertAlign val="superscript"/>
        <sz val="10"/>
        <rFont val="Arial"/>
        <family val="2"/>
      </rPr>
      <t xml:space="preserve">3 </t>
    </r>
  </si>
  <si>
    <t>Rate 170 - Small Customer</t>
  </si>
  <si>
    <t>Rate 170 - Average Customer</t>
  </si>
  <si>
    <t>Rate 170 - Large Customer</t>
  </si>
  <si>
    <r>
      <t>Contract Demand 255,089 m</t>
    </r>
    <r>
      <rPr>
        <vertAlign val="superscript"/>
        <sz val="10"/>
        <rFont val="Arial"/>
        <family val="2"/>
      </rPr>
      <t>3</t>
    </r>
    <r>
      <rPr>
        <sz val="10"/>
        <rFont val="Arial"/>
        <family val="2"/>
      </rPr>
      <t xml:space="preserve"> Annual Volume 69,832,850 m</t>
    </r>
    <r>
      <rPr>
        <vertAlign val="superscript"/>
        <sz val="10"/>
        <rFont val="Arial"/>
        <family val="2"/>
      </rPr>
      <t xml:space="preserve">3 </t>
    </r>
  </si>
  <si>
    <r>
      <t>Rate 200 - Average Customer</t>
    </r>
    <r>
      <rPr>
        <sz val="10"/>
        <rFont val="Arial"/>
        <family val="2"/>
      </rPr>
      <t xml:space="preserve">  (1)</t>
    </r>
  </si>
  <si>
    <r>
      <t>Contract Demand 1,252,000 m</t>
    </r>
    <r>
      <rPr>
        <vertAlign val="superscript"/>
        <sz val="10"/>
        <rFont val="Arial"/>
        <family val="2"/>
      </rPr>
      <t>3</t>
    </r>
    <r>
      <rPr>
        <sz val="10"/>
        <rFont val="Arial"/>
        <family val="2"/>
      </rPr>
      <t xml:space="preserve"> Annual Volume 140,305,600 m</t>
    </r>
    <r>
      <rPr>
        <vertAlign val="superscript"/>
        <sz val="10"/>
        <rFont val="Arial"/>
        <family val="2"/>
      </rPr>
      <t xml:space="preserve">3 </t>
    </r>
  </si>
  <si>
    <t>Rate 200 customers are not charged the Federal Carbon Charge.</t>
  </si>
  <si>
    <t>EB-2023-0330, Application and Evidence, filed December 8, 2023, Exhibit D, Tab 1, Appendix A.</t>
  </si>
  <si>
    <t>Calculation of 2024 Sales Service and Direct Purchase Bill Impacts for Typical Customers</t>
  </si>
  <si>
    <t>Union North Rate Zone (1)</t>
  </si>
  <si>
    <t>Rate 01 - Small Customer</t>
  </si>
  <si>
    <r>
      <t>Annual Volume 2,200 m</t>
    </r>
    <r>
      <rPr>
        <vertAlign val="superscript"/>
        <sz val="10"/>
        <rFont val="Arial"/>
        <family val="2"/>
      </rPr>
      <t xml:space="preserve">3 </t>
    </r>
  </si>
  <si>
    <t>Rate 01 - Large Customer</t>
  </si>
  <si>
    <r>
      <t>Annual Volume 40,000 m</t>
    </r>
    <r>
      <rPr>
        <vertAlign val="superscript"/>
        <sz val="10"/>
        <rFont val="Arial"/>
        <family val="2"/>
      </rPr>
      <t xml:space="preserve">3 </t>
    </r>
  </si>
  <si>
    <t>Rate 10 - Small Customer</t>
  </si>
  <si>
    <r>
      <t>Annual Volume 60,000 m</t>
    </r>
    <r>
      <rPr>
        <vertAlign val="superscript"/>
        <sz val="10"/>
        <rFont val="Arial"/>
        <family val="2"/>
      </rPr>
      <t xml:space="preserve">3 </t>
    </r>
  </si>
  <si>
    <t>Rate 10 - Average Customer</t>
  </si>
  <si>
    <r>
      <t>Annual Volume 93,000 m</t>
    </r>
    <r>
      <rPr>
        <vertAlign val="superscript"/>
        <sz val="10"/>
        <rFont val="Arial"/>
        <family val="2"/>
      </rPr>
      <t xml:space="preserve">3 </t>
    </r>
  </si>
  <si>
    <t>Rate 10 - Large Customer</t>
  </si>
  <si>
    <r>
      <t>Annual Volume 250,000 m</t>
    </r>
    <r>
      <rPr>
        <vertAlign val="superscript"/>
        <sz val="10"/>
        <rFont val="Arial"/>
        <family val="2"/>
      </rPr>
      <t xml:space="preserve">3 </t>
    </r>
  </si>
  <si>
    <t>Rate 20 - Small Customer</t>
  </si>
  <si>
    <r>
      <t>Contract Demand 14,000m</t>
    </r>
    <r>
      <rPr>
        <vertAlign val="superscript"/>
        <sz val="10"/>
        <rFont val="Arial"/>
        <family val="2"/>
      </rPr>
      <t>3</t>
    </r>
    <r>
      <rPr>
        <sz val="10"/>
        <rFont val="Arial"/>
        <family val="2"/>
      </rPr>
      <t xml:space="preserve">  Annual Volume 3,000,000 m</t>
    </r>
    <r>
      <rPr>
        <vertAlign val="superscript"/>
        <sz val="10"/>
        <rFont val="Arial"/>
        <family val="2"/>
      </rPr>
      <t xml:space="preserve">3 </t>
    </r>
  </si>
  <si>
    <t>Rate 20 - Large Customer</t>
  </si>
  <si>
    <r>
      <t>Contract Demand 60,000 m</t>
    </r>
    <r>
      <rPr>
        <vertAlign val="superscript"/>
        <sz val="10"/>
        <rFont val="Arial"/>
        <family val="2"/>
      </rPr>
      <t>3</t>
    </r>
    <r>
      <rPr>
        <sz val="10"/>
        <rFont val="Arial"/>
        <family val="2"/>
      </rPr>
      <t xml:space="preserve"> Annual Volume 15,000,000 m</t>
    </r>
    <r>
      <rPr>
        <vertAlign val="superscript"/>
        <sz val="10"/>
        <rFont val="Arial"/>
        <family val="2"/>
      </rPr>
      <t xml:space="preserve">3 </t>
    </r>
  </si>
  <si>
    <t>Rate 25 - Average Customer</t>
  </si>
  <si>
    <r>
      <t>Annual Volume 2,275,000 m</t>
    </r>
    <r>
      <rPr>
        <vertAlign val="superscript"/>
        <sz val="10"/>
        <rFont val="Arial"/>
        <family val="2"/>
      </rPr>
      <t xml:space="preserve">3 </t>
    </r>
  </si>
  <si>
    <r>
      <t>Contract Demand 100,000 m</t>
    </r>
    <r>
      <rPr>
        <vertAlign val="superscript"/>
        <sz val="10"/>
        <rFont val="Arial"/>
        <family val="2"/>
      </rPr>
      <t>3</t>
    </r>
    <r>
      <rPr>
        <sz val="10"/>
        <rFont val="Arial"/>
        <family val="2"/>
      </rPr>
      <t xml:space="preserve"> Annual Volume 27,000,000 m</t>
    </r>
    <r>
      <rPr>
        <vertAlign val="superscript"/>
        <sz val="10"/>
        <rFont val="Arial"/>
        <family val="2"/>
      </rPr>
      <t xml:space="preserve">3 </t>
    </r>
  </si>
  <si>
    <t>Total Bill - Unbundled Direct Purchase</t>
  </si>
  <si>
    <t xml:space="preserve">   Unbundled Direct Purchase Impact</t>
  </si>
  <si>
    <r>
      <t>Contract Demand 850,000 m</t>
    </r>
    <r>
      <rPr>
        <vertAlign val="superscript"/>
        <sz val="10"/>
        <rFont val="Arial"/>
        <family val="2"/>
      </rPr>
      <t>3</t>
    </r>
    <r>
      <rPr>
        <sz val="10"/>
        <rFont val="Arial"/>
        <family val="2"/>
      </rPr>
      <t xml:space="preserve"> Annual Volume 240,000,000 m</t>
    </r>
    <r>
      <rPr>
        <vertAlign val="superscript"/>
        <sz val="10"/>
        <rFont val="Arial"/>
        <family val="2"/>
      </rPr>
      <t xml:space="preserve">3 </t>
    </r>
  </si>
  <si>
    <t>Gas Supply charges based on Union North East Zone.</t>
  </si>
  <si>
    <t>EB-2023-0330, Application and Evidence, filed December 8, 2023, Exhibit D, Tab 2, Appendix A.</t>
  </si>
  <si>
    <t>Rate M1 - Small Customer</t>
  </si>
  <si>
    <t>Rate M1 - Large Customer</t>
  </si>
  <si>
    <t>Rate M2 - Small Customer</t>
  </si>
  <si>
    <t>Rate M2 - Average Customer</t>
  </si>
  <si>
    <r>
      <t>Annual Volume 73,000 m</t>
    </r>
    <r>
      <rPr>
        <vertAlign val="superscript"/>
        <sz val="10"/>
        <rFont val="Arial"/>
        <family val="2"/>
      </rPr>
      <t xml:space="preserve">3 </t>
    </r>
  </si>
  <si>
    <t>Rate M2 - Large Customer</t>
  </si>
  <si>
    <t>Rate M4 - Small Customer</t>
  </si>
  <si>
    <r>
      <t>Contract Demand 4,800 m</t>
    </r>
    <r>
      <rPr>
        <vertAlign val="superscript"/>
        <sz val="10"/>
        <rFont val="Arial"/>
        <family val="2"/>
      </rPr>
      <t>3</t>
    </r>
    <r>
      <rPr>
        <sz val="10"/>
        <rFont val="Arial"/>
        <family val="2"/>
      </rPr>
      <t xml:space="preserve"> Annual Volume 875,000 m</t>
    </r>
    <r>
      <rPr>
        <vertAlign val="superscript"/>
        <sz val="10"/>
        <rFont val="Arial"/>
        <family val="2"/>
      </rPr>
      <t xml:space="preserve">3 </t>
    </r>
  </si>
  <si>
    <t>Rate M4 - Large Customer</t>
  </si>
  <si>
    <r>
      <t>Contract Demand 50,000 m</t>
    </r>
    <r>
      <rPr>
        <vertAlign val="superscript"/>
        <sz val="10"/>
        <rFont val="Arial"/>
        <family val="2"/>
      </rPr>
      <t>3</t>
    </r>
    <r>
      <rPr>
        <sz val="10"/>
        <rFont val="Arial"/>
        <family val="2"/>
      </rPr>
      <t xml:space="preserve"> Annual Volume 12,000,000 m</t>
    </r>
    <r>
      <rPr>
        <vertAlign val="superscript"/>
        <sz val="10"/>
        <rFont val="Arial"/>
        <family val="2"/>
      </rPr>
      <t xml:space="preserve">3 </t>
    </r>
  </si>
  <si>
    <t>Rate M5 - Small Customer</t>
  </si>
  <si>
    <r>
      <t>Contract Demand 7,500m</t>
    </r>
    <r>
      <rPr>
        <vertAlign val="superscript"/>
        <sz val="10"/>
        <rFont val="Arial"/>
        <family val="2"/>
      </rPr>
      <t>3</t>
    </r>
    <r>
      <rPr>
        <sz val="10"/>
        <rFont val="Arial"/>
        <family val="2"/>
      </rPr>
      <t xml:space="preserve"> Annual Volume 825,000 m</t>
    </r>
    <r>
      <rPr>
        <vertAlign val="superscript"/>
        <sz val="10"/>
        <rFont val="Arial"/>
        <family val="2"/>
      </rPr>
      <t xml:space="preserve">3 </t>
    </r>
  </si>
  <si>
    <t>Rate M5 - Large Customer</t>
  </si>
  <si>
    <r>
      <t>Contract Demand 70,000m</t>
    </r>
    <r>
      <rPr>
        <vertAlign val="superscript"/>
        <sz val="10"/>
        <rFont val="Arial"/>
        <family val="2"/>
      </rPr>
      <t>3</t>
    </r>
    <r>
      <rPr>
        <sz val="10"/>
        <rFont val="Arial"/>
        <family val="2"/>
      </rPr>
      <t xml:space="preserve"> Annual Volume 6,500,000 m</t>
    </r>
    <r>
      <rPr>
        <vertAlign val="superscript"/>
        <sz val="10"/>
        <rFont val="Arial"/>
        <family val="2"/>
      </rPr>
      <t xml:space="preserve">3 </t>
    </r>
  </si>
  <si>
    <t>Rate M7 - Small Customer</t>
  </si>
  <si>
    <r>
      <t>Contract Demand 165,000m</t>
    </r>
    <r>
      <rPr>
        <vertAlign val="superscript"/>
        <sz val="10"/>
        <rFont val="Arial"/>
        <family val="2"/>
      </rPr>
      <t>3</t>
    </r>
    <r>
      <rPr>
        <sz val="10"/>
        <rFont val="Arial"/>
        <family val="2"/>
      </rPr>
      <t xml:space="preserve"> Annual Volume 36,000,000 m</t>
    </r>
    <r>
      <rPr>
        <vertAlign val="superscript"/>
        <sz val="10"/>
        <rFont val="Arial"/>
        <family val="2"/>
      </rPr>
      <t xml:space="preserve">3 </t>
    </r>
  </si>
  <si>
    <t>Rate M7 - Large Customer</t>
  </si>
  <si>
    <r>
      <t>Contract Demand 720,000m</t>
    </r>
    <r>
      <rPr>
        <vertAlign val="superscript"/>
        <sz val="10"/>
        <rFont val="Arial"/>
        <family val="2"/>
      </rPr>
      <t>3</t>
    </r>
    <r>
      <rPr>
        <sz val="10"/>
        <rFont val="Arial"/>
        <family val="2"/>
      </rPr>
      <t xml:space="preserve"> Annual Volume 52,000,000 m</t>
    </r>
    <r>
      <rPr>
        <vertAlign val="superscript"/>
        <sz val="10"/>
        <rFont val="Arial"/>
        <family val="2"/>
      </rPr>
      <t xml:space="preserve">3 </t>
    </r>
  </si>
  <si>
    <r>
      <t>Rate M9 - Small Customer</t>
    </r>
    <r>
      <rPr>
        <sz val="10"/>
        <rFont val="Arial"/>
        <family val="2"/>
      </rPr>
      <t xml:space="preserve">  (1)</t>
    </r>
  </si>
  <si>
    <r>
      <t>Contract Demand 56,439m</t>
    </r>
    <r>
      <rPr>
        <vertAlign val="superscript"/>
        <sz val="10"/>
        <rFont val="Arial"/>
        <family val="2"/>
      </rPr>
      <t>3</t>
    </r>
    <r>
      <rPr>
        <sz val="10"/>
        <rFont val="Arial"/>
        <family val="2"/>
      </rPr>
      <t xml:space="preserve"> Annual Volume 6,950,000 m</t>
    </r>
    <r>
      <rPr>
        <vertAlign val="superscript"/>
        <sz val="10"/>
        <rFont val="Arial"/>
        <family val="2"/>
      </rPr>
      <t xml:space="preserve">3 </t>
    </r>
  </si>
  <si>
    <r>
      <t>Rate M9 - Large Customer</t>
    </r>
    <r>
      <rPr>
        <sz val="10"/>
        <rFont val="Arial"/>
        <family val="2"/>
      </rPr>
      <t xml:space="preserve">  (1)</t>
    </r>
  </si>
  <si>
    <r>
      <t>Contract Demand 168,100m</t>
    </r>
    <r>
      <rPr>
        <vertAlign val="superscript"/>
        <sz val="10"/>
        <rFont val="Arial"/>
        <family val="2"/>
      </rPr>
      <t>3</t>
    </r>
    <r>
      <rPr>
        <sz val="10"/>
        <rFont val="Arial"/>
        <family val="2"/>
      </rPr>
      <t xml:space="preserve"> Annual Volume 20,178,000 m</t>
    </r>
    <r>
      <rPr>
        <vertAlign val="superscript"/>
        <sz val="10"/>
        <rFont val="Arial"/>
        <family val="2"/>
      </rPr>
      <t xml:space="preserve">3 </t>
    </r>
  </si>
  <si>
    <t>Rate T1 - Small Customer</t>
  </si>
  <si>
    <r>
      <t>Contract Demand 25,750m</t>
    </r>
    <r>
      <rPr>
        <vertAlign val="superscript"/>
        <sz val="10"/>
        <rFont val="Arial"/>
        <family val="2"/>
      </rPr>
      <t>3</t>
    </r>
    <r>
      <rPr>
        <sz val="10"/>
        <rFont val="Arial"/>
        <family val="2"/>
      </rPr>
      <t xml:space="preserve"> Annual Volume 7,537,000 m</t>
    </r>
    <r>
      <rPr>
        <vertAlign val="superscript"/>
        <sz val="10"/>
        <rFont val="Arial"/>
        <family val="2"/>
      </rPr>
      <t xml:space="preserve">3 </t>
    </r>
  </si>
  <si>
    <t>Rate T1 - Average Customer</t>
  </si>
  <si>
    <r>
      <t>Contract Demand 48,750m</t>
    </r>
    <r>
      <rPr>
        <vertAlign val="superscript"/>
        <sz val="10"/>
        <rFont val="Arial"/>
        <family val="2"/>
      </rPr>
      <t>3</t>
    </r>
    <r>
      <rPr>
        <sz val="10"/>
        <rFont val="Arial"/>
        <family val="2"/>
      </rPr>
      <t xml:space="preserve"> Annual Volume 11,565,938 m</t>
    </r>
    <r>
      <rPr>
        <vertAlign val="superscript"/>
        <sz val="10"/>
        <rFont val="Arial"/>
        <family val="2"/>
      </rPr>
      <t xml:space="preserve">3 </t>
    </r>
  </si>
  <si>
    <t>Rate T1 - Large Customer</t>
  </si>
  <si>
    <r>
      <t>Contract Demand 133,000m</t>
    </r>
    <r>
      <rPr>
        <vertAlign val="superscript"/>
        <sz val="10"/>
        <rFont val="Arial"/>
        <family val="2"/>
      </rPr>
      <t>3</t>
    </r>
    <r>
      <rPr>
        <sz val="10"/>
        <rFont val="Arial"/>
        <family val="2"/>
      </rPr>
      <t xml:space="preserve"> Annual Volume 25,624,080 m</t>
    </r>
    <r>
      <rPr>
        <vertAlign val="superscript"/>
        <sz val="10"/>
        <rFont val="Arial"/>
        <family val="2"/>
      </rPr>
      <t xml:space="preserve">3 </t>
    </r>
  </si>
  <si>
    <t>Rate T2 - Small Customer</t>
  </si>
  <si>
    <r>
      <t>Contract Demand 190,000m</t>
    </r>
    <r>
      <rPr>
        <vertAlign val="superscript"/>
        <sz val="10"/>
        <rFont val="Arial"/>
        <family val="2"/>
      </rPr>
      <t>3</t>
    </r>
    <r>
      <rPr>
        <sz val="10"/>
        <rFont val="Arial"/>
        <family val="2"/>
      </rPr>
      <t xml:space="preserve"> Annual Volume 59,256,000 m</t>
    </r>
    <r>
      <rPr>
        <vertAlign val="superscript"/>
        <sz val="10"/>
        <rFont val="Arial"/>
        <family val="2"/>
      </rPr>
      <t xml:space="preserve">3 </t>
    </r>
  </si>
  <si>
    <t>Rate T2 - Average Customer</t>
  </si>
  <si>
    <r>
      <t>Contract Demand 669,000m</t>
    </r>
    <r>
      <rPr>
        <vertAlign val="superscript"/>
        <sz val="10"/>
        <rFont val="Arial"/>
        <family val="2"/>
      </rPr>
      <t>3</t>
    </r>
    <r>
      <rPr>
        <sz val="10"/>
        <rFont val="Arial"/>
        <family val="2"/>
      </rPr>
      <t xml:space="preserve"> Annual Volume 197,789,850 m</t>
    </r>
    <r>
      <rPr>
        <vertAlign val="superscript"/>
        <sz val="10"/>
        <rFont val="Arial"/>
        <family val="2"/>
      </rPr>
      <t xml:space="preserve">3 </t>
    </r>
  </si>
  <si>
    <t>Rate T2 - Large Customer</t>
  </si>
  <si>
    <r>
      <t>Contract Demand 1,200,000m</t>
    </r>
    <r>
      <rPr>
        <vertAlign val="superscript"/>
        <sz val="10"/>
        <rFont val="Arial"/>
        <family val="2"/>
      </rPr>
      <t>3</t>
    </r>
    <r>
      <rPr>
        <sz val="10"/>
        <rFont val="Arial"/>
        <family val="2"/>
      </rPr>
      <t xml:space="preserve"> Annual Volume 370,089,000 m</t>
    </r>
    <r>
      <rPr>
        <vertAlign val="superscript"/>
        <sz val="10"/>
        <rFont val="Arial"/>
        <family val="2"/>
      </rPr>
      <t xml:space="preserve">3 </t>
    </r>
  </si>
  <si>
    <r>
      <t>Rate T3 - Large Customer</t>
    </r>
    <r>
      <rPr>
        <sz val="10"/>
        <rFont val="Arial"/>
        <family val="2"/>
      </rPr>
      <t xml:space="preserve">  (1)</t>
    </r>
  </si>
  <si>
    <r>
      <t>Contract Demand 2,350,000m</t>
    </r>
    <r>
      <rPr>
        <vertAlign val="superscript"/>
        <sz val="10"/>
        <rFont val="Arial"/>
        <family val="2"/>
      </rPr>
      <t>3</t>
    </r>
    <r>
      <rPr>
        <sz val="10"/>
        <rFont val="Arial"/>
        <family val="2"/>
      </rPr>
      <t xml:space="preserve"> Annual Volume 272,712,000 m</t>
    </r>
    <r>
      <rPr>
        <vertAlign val="superscript"/>
        <sz val="10"/>
        <rFont val="Arial"/>
        <family val="2"/>
      </rPr>
      <t xml:space="preserve">3 </t>
    </r>
  </si>
  <si>
    <t>Rate M9 and Rate T3 customers are not charged the Federal Carbon Charge.</t>
  </si>
  <si>
    <t>Calculation of Non-Utility Cross Charge Revenue</t>
  </si>
  <si>
    <t>2024 Rates</t>
  </si>
  <si>
    <t>Forecast</t>
  </si>
  <si>
    <t>Unit Rate (1)</t>
  </si>
  <si>
    <t>Heritage Pool Transportation Charges (GJ; $/GJ)</t>
  </si>
  <si>
    <t>Transmission commodity charge to Dawn</t>
  </si>
  <si>
    <t>Fuel &amp; UFG to Dawn</t>
  </si>
  <si>
    <t>Fuel &amp; UFG to Pool</t>
  </si>
  <si>
    <t>Total Heritage Pool</t>
  </si>
  <si>
    <t>Tipperary Pool Transportation Charges (GJ; $/GJ)</t>
  </si>
  <si>
    <t>Total Tipperary Pool</t>
  </si>
  <si>
    <t>Dow Moore Pool Storage Charges (10³m³; $/10³m³)</t>
  </si>
  <si>
    <t>Annual turnover volume</t>
  </si>
  <si>
    <t>Maximum daily withdrawal volume</t>
  </si>
  <si>
    <t>Commodity charge</t>
  </si>
  <si>
    <t>Operating charges (mo; $/mo) (2)</t>
  </si>
  <si>
    <t xml:space="preserve">Total </t>
  </si>
  <si>
    <t>Unregulated allocation</t>
  </si>
  <si>
    <t>Total Dow Moore Pool</t>
  </si>
  <si>
    <t>Black Creek Pool Storage Charges (10³m³; $/10³m³)</t>
  </si>
  <si>
    <t>Total Black Creek Pool</t>
  </si>
  <si>
    <t>Storage System Integrity (3)</t>
  </si>
  <si>
    <t>OBA/LBA</t>
  </si>
  <si>
    <t>Hysteresis</t>
  </si>
  <si>
    <t>Total Long-Term Storage System Integrity</t>
  </si>
  <si>
    <t>Total Non-Utility Cross Charge Revenue</t>
  </si>
  <si>
    <t>2024 proposed rates as per Working Papers, Schedule 20, p.12. Unit rates for Heritage and Tipperary Pool transportation using Rate M16 unit rates and unit rates for Dow Moore and Black Creek pool storage using 2023 Rate 325 unit rates, escalated based on the 2024 revenue deficiency.</t>
  </si>
  <si>
    <t>Monthly operating charge per agreement between EGD and Union.</t>
  </si>
  <si>
    <t>Storage System Integrity relates to the long-term storage allocation of storage system integrity per Union's 2013 Cost Allocation Study.</t>
  </si>
  <si>
    <t>Derivation of Total Amount for Recovery/(Refund)</t>
  </si>
  <si>
    <t>2024 Rate Adjustment Rider for the Period from January 1, 2024 to April 30, 2024</t>
  </si>
  <si>
    <t>Total Amount for</t>
  </si>
  <si>
    <t>Recovery/(Refund) (1)</t>
  </si>
  <si>
    <t>PDCI</t>
  </si>
  <si>
    <t>Pp.2-7, column (f).</t>
  </si>
  <si>
    <t>Current Approved</t>
  </si>
  <si>
    <t>Rate Change</t>
  </si>
  <si>
    <t>Forecast Billing Units</t>
  </si>
  <si>
    <t>Variance</t>
  </si>
  <si>
    <t>Recovery/(Refund)</t>
  </si>
  <si>
    <t>Rates (2)</t>
  </si>
  <si>
    <t>Jan. 1 - Apr. 30, 2024</t>
  </si>
  <si>
    <t xml:space="preserve">(e) = (c x d) </t>
  </si>
  <si>
    <t xml:space="preserve">Gas Supply Transportation Charge </t>
  </si>
  <si>
    <t xml:space="preserve">Gas Supply Transportation Dawn Charge </t>
  </si>
  <si>
    <t xml:space="preserve">Rate 6 </t>
  </si>
  <si>
    <t xml:space="preserve">   First     1,000,000 m³</t>
  </si>
  <si>
    <t xml:space="preserve">   Over     1,000,000 m³</t>
  </si>
  <si>
    <t>2024 Rate Adjustment Rider for the Period from January 1, 2024 to April 30, 2024 (Continued)</t>
  </si>
  <si>
    <t xml:space="preserve">  Monthly Customer Charge</t>
  </si>
  <si>
    <t xml:space="preserve">  Delivery Charge - Commodity</t>
  </si>
  <si>
    <t xml:space="preserve">     First     14,000 m³</t>
  </si>
  <si>
    <t xml:space="preserve">     Next     28,000 m³</t>
  </si>
  <si>
    <t xml:space="preserve">     Over     42,000 m³</t>
  </si>
  <si>
    <t xml:space="preserve">Rate 01 </t>
  </si>
  <si>
    <t>Over     1,000 m³</t>
  </si>
  <si>
    <t xml:space="preserve">Gas Supply Commodity Charge </t>
  </si>
  <si>
    <t xml:space="preserve">Rate 10 </t>
  </si>
  <si>
    <t xml:space="preserve">Rate 20 </t>
  </si>
  <si>
    <t>First        852,000 m³</t>
  </si>
  <si>
    <t>All over    852,000 m³</t>
  </si>
  <si>
    <t>MAV</t>
  </si>
  <si>
    <t>Monthly Transportation Account Charge</t>
  </si>
  <si>
    <t xml:space="preserve">Commodity Transportation </t>
  </si>
  <si>
    <t xml:space="preserve">   Charge 1 </t>
  </si>
  <si>
    <t xml:space="preserve">  Charge 1 </t>
  </si>
  <si>
    <t xml:space="preserve">  Charge 2  </t>
  </si>
  <si>
    <t xml:space="preserve">Total Rate 20 </t>
  </si>
  <si>
    <t xml:space="preserve">Rate 25 </t>
  </si>
  <si>
    <t xml:space="preserve">Rate 100 </t>
  </si>
  <si>
    <t xml:space="preserve">Rate M1 </t>
  </si>
  <si>
    <t>First           100 m³</t>
  </si>
  <si>
    <t>Next           150 m³</t>
  </si>
  <si>
    <t>All over       250 m³</t>
  </si>
  <si>
    <t xml:space="preserve">Rate M2 </t>
  </si>
  <si>
    <t xml:space="preserve">Total Rate M2 </t>
  </si>
  <si>
    <t>First        8,450 m³</t>
  </si>
  <si>
    <t>Next       19,700 m³</t>
  </si>
  <si>
    <t>All over    28,150 m³</t>
  </si>
  <si>
    <t>Interruptible contracts</t>
  </si>
  <si>
    <t>Firm contracts</t>
  </si>
  <si>
    <t>2,400 m³ to 17,000 m³</t>
  </si>
  <si>
    <t>17,000 m³ to 30,000 m³</t>
  </si>
  <si>
    <t>30,000 m³ to 50,000 m³</t>
  </si>
  <si>
    <t>50,000 m³ to 60,000 m³</t>
  </si>
  <si>
    <t>Total Rate M5A</t>
  </si>
  <si>
    <t>Monthly Customer Charges</t>
  </si>
  <si>
    <t>Transportation Service Charges</t>
  </si>
  <si>
    <t>IT MAV</t>
  </si>
  <si>
    <t>Storage Service Charges</t>
  </si>
  <si>
    <t>Utility provides deliverability inventory</t>
  </si>
  <si>
    <t>Parkway Delivery Commitment Incentive</t>
  </si>
  <si>
    <t>Working Papers, Schedule 20, pp.1-13, column (a).</t>
  </si>
  <si>
    <t xml:space="preserve">Working Papers, Schedule 20, pp.1-13, column (c). </t>
  </si>
  <si>
    <t>Derivation of Rate Adjustment Rider</t>
  </si>
  <si>
    <t>Rate Adjustment</t>
  </si>
  <si>
    <t>Rider Unit Rate</t>
  </si>
  <si>
    <t>($000s) (1)</t>
  </si>
  <si>
    <t>(c) = (a / b * 100)</t>
  </si>
  <si>
    <t>Delivery Charges - Commodity</t>
  </si>
  <si>
    <t>Derivation of Rate Adjustment Rider (Continued)</t>
  </si>
  <si>
    <t>Delivery Charges - Contract Demand</t>
  </si>
  <si>
    <t>Gas Supply Demand Charge</t>
  </si>
  <si>
    <t xml:space="preserve">Bundled (T-Service) Storage Demand </t>
  </si>
  <si>
    <t>Interruptible Delivery Charge Commodity (average)</t>
  </si>
  <si>
    <t xml:space="preserve">Storage Demand </t>
  </si>
  <si>
    <t>Storage Injection Withdrawal Right</t>
  </si>
  <si>
    <t>Storage Injection Withdrawal Rights</t>
  </si>
  <si>
    <t xml:space="preserve">Parkway Delivery Commitment Incentive ("PDCI") </t>
  </si>
  <si>
    <t>Pp. 2-7, column (f)</t>
  </si>
  <si>
    <t>Deferral and Variance Accounts</t>
  </si>
  <si>
    <t>Actual and Forecast Balances Proposed for Disposition</t>
  </si>
  <si>
    <t xml:space="preserve">Account No. </t>
  </si>
  <si>
    <t>Period</t>
  </si>
  <si>
    <t>Principal</t>
  </si>
  <si>
    <t>Interest</t>
  </si>
  <si>
    <t>APCDA - Unamortized Pre-17 Pension Actuarial Losses</t>
  </si>
  <si>
    <t>179-120</t>
  </si>
  <si>
    <t>APCDA - Other</t>
  </si>
  <si>
    <t>Subtotal</t>
  </si>
  <si>
    <t>APCDA - Total</t>
  </si>
  <si>
    <t>TVDA - Integration Capital Additions</t>
  </si>
  <si>
    <t>179-383</t>
  </si>
  <si>
    <t>ICMDA - EGD Rate Zone</t>
  </si>
  <si>
    <t>179-500</t>
  </si>
  <si>
    <t>ICMDA - Union Rate Zones</t>
  </si>
  <si>
    <t>179-159</t>
  </si>
  <si>
    <t>ICMDA - Total</t>
  </si>
  <si>
    <t>Combined</t>
  </si>
  <si>
    <t>RNGISVA</t>
  </si>
  <si>
    <t>179-12</t>
  </si>
  <si>
    <t>COVID-19DA</t>
  </si>
  <si>
    <t>179-384</t>
  </si>
  <si>
    <t>TIACDA - Unamortized Balance</t>
  </si>
  <si>
    <t>179-02</t>
  </si>
  <si>
    <t xml:space="preserve">Transitional Pension Balance </t>
  </si>
  <si>
    <t>Total of Balances Proposed for Clearance</t>
  </si>
  <si>
    <t>Balances at December 31, 2023.</t>
  </si>
  <si>
    <t>Actual and Forecast Balances Proposed for Disposition by Rate Zone</t>
  </si>
  <si>
    <t>APCDA</t>
  </si>
  <si>
    <t>Capitalization vs. Expense</t>
  </si>
  <si>
    <t>Interest During Construction</t>
  </si>
  <si>
    <t>Depreciation Expense</t>
  </si>
  <si>
    <t>Overhead Capitalization</t>
  </si>
  <si>
    <t>Amortized Gas Supply Storage and Transportation Costs</t>
  </si>
  <si>
    <t>Pension &amp; OPEB Expense</t>
  </si>
  <si>
    <t>Total APCDA</t>
  </si>
  <si>
    <t>ICMDA</t>
  </si>
  <si>
    <t>NPS 20 Don River Replacement Project</t>
  </si>
  <si>
    <t>NPS 20 Cherry to Bathurst Replacement Project</t>
  </si>
  <si>
    <t>Total ICMDA</t>
  </si>
  <si>
    <t>Union Rate Zones</t>
  </si>
  <si>
    <t>Kingsville Transmission Reinforcement Project</t>
  </si>
  <si>
    <t>Windsor Line Replacement Project</t>
  </si>
  <si>
    <t>London Lines Replacement Project</t>
  </si>
  <si>
    <t>Total Union Rate Zones</t>
  </si>
  <si>
    <t>Allocation of Deferral &amp; Variance Account Balances - EGD Rate Zone</t>
  </si>
  <si>
    <t>Allocator</t>
  </si>
  <si>
    <t>Allocation</t>
  </si>
  <si>
    <t>APCDA, COVID-19DA,</t>
  </si>
  <si>
    <t xml:space="preserve">Amortized Gas </t>
  </si>
  <si>
    <t>High Pressure</t>
  </si>
  <si>
    <t xml:space="preserve"> TIACDA and Transitional</t>
  </si>
  <si>
    <t>Supply Storage and</t>
  </si>
  <si>
    <t>Base (1)</t>
  </si>
  <si>
    <t>&gt;4" Diameter (2)</t>
  </si>
  <si>
    <t>Deliverability (3)</t>
  </si>
  <si>
    <t>Pension Balance</t>
  </si>
  <si>
    <t xml:space="preserve"> Transportation Costs</t>
  </si>
  <si>
    <t xml:space="preserve">Particulars </t>
  </si>
  <si>
    <r>
      <t>(10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/d)</t>
    </r>
  </si>
  <si>
    <r>
      <t>(10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t>
    </r>
  </si>
  <si>
    <t>(g) = (d + e + f)</t>
  </si>
  <si>
    <t>EB-2017-0086, Exhibit G2, Tab 5, Schedule 1, line 8, columns (2-14).</t>
  </si>
  <si>
    <t>EB-2017-0086, Exhibit G2, Tab 6, Schedule 3, p.1, line 2.1, columns (2-14).</t>
  </si>
  <si>
    <t>EB-2017-0086, Exhibit G2, Tab 6, Schedule 3, p.1, line 3.1, columns (2-14).</t>
  </si>
  <si>
    <t>P.2, column (c), line 7 - line 5 + line 11 + line 12 + line 13. Allocated using column (a).</t>
  </si>
  <si>
    <t>P.2, column (c), line 10. Allocated using column (b).</t>
  </si>
  <si>
    <t>P.2, column (c), line 5. Allocated using column (c).</t>
  </si>
  <si>
    <t>Allocation of Deferral &amp; Variance Account Balances - Union Rate Zones</t>
  </si>
  <si>
    <t>Allocators</t>
  </si>
  <si>
    <t>Kingsville</t>
  </si>
  <si>
    <t>Other</t>
  </si>
  <si>
    <t>Transmission</t>
  </si>
  <si>
    <t>Windsor Line</t>
  </si>
  <si>
    <t>London Lines</t>
  </si>
  <si>
    <t>Distribution</t>
  </si>
  <si>
    <t>and</t>
  </si>
  <si>
    <t>Reinforcement</t>
  </si>
  <si>
    <t>Replacement</t>
  </si>
  <si>
    <t>Demand (2)</t>
  </si>
  <si>
    <t>Demand (3)</t>
  </si>
  <si>
    <t>Demand (4)</t>
  </si>
  <si>
    <t>Project</t>
  </si>
  <si>
    <t>(i) = (e+f+g+h)</t>
  </si>
  <si>
    <t>Rate M4 (F)</t>
  </si>
  <si>
    <t>Rate M4 (I)</t>
  </si>
  <si>
    <t>Rate M7 (F)</t>
  </si>
  <si>
    <t>Rate M7 (I)</t>
  </si>
  <si>
    <t>Rate T1 (F)</t>
  </si>
  <si>
    <t>Rate T1 (I)</t>
  </si>
  <si>
    <t>Rate T2 (F)</t>
  </si>
  <si>
    <t>Rate T2 (I)</t>
  </si>
  <si>
    <t>Rate C1 (F)</t>
  </si>
  <si>
    <t>Rate C1 (I)</t>
  </si>
  <si>
    <t>EB-2011-0210, Exhibit G3, Tab 2, Schedule 2, updated.</t>
  </si>
  <si>
    <t>EB-2018-0305, Exhibit M1, Tab 1, Appendix C, column (a), updated.</t>
  </si>
  <si>
    <t>EB-2019-0194, Exhibit B, Tab 2, Schedule 1, Appendix F, p.2, column (a), updated.</t>
  </si>
  <si>
    <t>EB-2020-0181, Exhibit B, Tab 2, Schedule 1, Appendix F, column (a), updated.</t>
  </si>
  <si>
    <t>P.2, column (c), line 21 + line 26. Allocated using column (a).</t>
  </si>
  <si>
    <t>P.2, column (c), line 22. Allocated using column (b).</t>
  </si>
  <si>
    <t>P.2, column (c), line 23. Allocated using column (c).</t>
  </si>
  <si>
    <t>P.2, column (c), line 24. Allocated using column (d).</t>
  </si>
  <si>
    <t>Deferral &amp; Variance Account Balance Disposition Unit Rates</t>
  </si>
  <si>
    <t>Account</t>
  </si>
  <si>
    <t xml:space="preserve">Balance for </t>
  </si>
  <si>
    <t>Disposition (1) (2)</t>
  </si>
  <si>
    <t>Usage (3)</t>
  </si>
  <si>
    <t xml:space="preserve">for </t>
  </si>
  <si>
    <t>Disposition</t>
  </si>
  <si>
    <t>(d) = (a / b x 100)</t>
  </si>
  <si>
    <t>Rate M5 (I)</t>
  </si>
  <si>
    <t>Union Ex-Franchise</t>
  </si>
  <si>
    <t>P.3, column (g) for EGD Rate Zone.</t>
  </si>
  <si>
    <t>P.4, column (i) for Union Rate Zones.</t>
  </si>
  <si>
    <t xml:space="preserve">2024 forecast usage from May 1, 2024 to December 31, 2024. </t>
  </si>
  <si>
    <t>Deferral &amp; Variance Account Disposition Bill Impacts for Typical Small and Large Customers</t>
  </si>
  <si>
    <t>Unit Rate for</t>
  </si>
  <si>
    <t>Bill</t>
  </si>
  <si>
    <t>Total Annual</t>
  </si>
  <si>
    <t>Disposition (1)</t>
  </si>
  <si>
    <t>Impact</t>
  </si>
  <si>
    <t>Bill (2)</t>
  </si>
  <si>
    <t>Billing Units</t>
  </si>
  <si>
    <t>(d) = (a x b)</t>
  </si>
  <si>
    <t>(f) = (d / e)</t>
  </si>
  <si>
    <t>Rate 1 - Residential</t>
  </si>
  <si>
    <t>m³</t>
  </si>
  <si>
    <t>Rate 6 - Average</t>
  </si>
  <si>
    <t>Rate 100 - Small</t>
  </si>
  <si>
    <t>m³/d</t>
  </si>
  <si>
    <t>Rate 100 - Large</t>
  </si>
  <si>
    <t>Rate 110 - Small</t>
  </si>
  <si>
    <t>Rate 110 - Average</t>
  </si>
  <si>
    <t>Rate 115 - Small</t>
  </si>
  <si>
    <t>Rate 115 - Large</t>
  </si>
  <si>
    <t>Rate 125 - Average</t>
  </si>
  <si>
    <t>Rate 135 - Average</t>
  </si>
  <si>
    <t>Rate 145 - Small</t>
  </si>
  <si>
    <t>Rate 145 - Average</t>
  </si>
  <si>
    <t>Rate 170 - Small</t>
  </si>
  <si>
    <t>Rate 170 - Large</t>
  </si>
  <si>
    <t>Rate 200 - Average</t>
  </si>
  <si>
    <t>Rate 01 - Residential</t>
  </si>
  <si>
    <t>Rate 20 - Small</t>
  </si>
  <si>
    <t>Rate 20 - Lage</t>
  </si>
  <si>
    <t>Rate 25 - Average</t>
  </si>
  <si>
    <t>Rate M1 - Residential</t>
  </si>
  <si>
    <t>Rate M4 - Small</t>
  </si>
  <si>
    <t>Rate M4 - Large</t>
  </si>
  <si>
    <t>Rate M5 - Small</t>
  </si>
  <si>
    <t>Rate M5 - Large</t>
  </si>
  <si>
    <t>Rate M7 - Small</t>
  </si>
  <si>
    <t>Rate M7 - Large</t>
  </si>
  <si>
    <t>Rate M9 - Small</t>
  </si>
  <si>
    <t>Rate M9 - Large</t>
  </si>
  <si>
    <t>Rate T1 - Small</t>
  </si>
  <si>
    <t>Rate T1 - Average</t>
  </si>
  <si>
    <t>Rate T1 - Large</t>
  </si>
  <si>
    <t>Rate T2 - Small</t>
  </si>
  <si>
    <t>Rate T2 - Average</t>
  </si>
  <si>
    <t>Rate T2 - Large</t>
  </si>
  <si>
    <t>P.5, column (d).</t>
  </si>
  <si>
    <t>Current approved total annual sales service bill as per Working Papers, Schedule 24, column (a).</t>
  </si>
  <si>
    <t>Derivation of Change in Costs from Weighted Average Reference Price</t>
  </si>
  <si>
    <t>Change in Costs</t>
  </si>
  <si>
    <t>Change in Gas Cost related costs:</t>
  </si>
  <si>
    <t>April 2022 QRAM - Reference Price (1)</t>
  </si>
  <si>
    <r>
      <t>($/10</t>
    </r>
    <r>
      <rPr>
        <vertAlign val="superscript"/>
        <sz val="10"/>
        <rFont val="Arial"/>
        <family val="2"/>
      </rPr>
      <t>3</t>
    </r>
    <r>
      <rPr>
        <sz val="10"/>
        <rFont val="Arial"/>
        <family val="2"/>
      </rPr>
      <t>m</t>
    </r>
    <r>
      <rPr>
        <vertAlign val="superscript"/>
        <sz val="10"/>
        <rFont val="Arial"/>
        <family val="2"/>
      </rPr>
      <t>3</t>
    </r>
    <r>
      <rPr>
        <sz val="10"/>
        <rFont val="Arial"/>
        <family val="2"/>
      </rPr>
      <t>)</t>
    </r>
  </si>
  <si>
    <t>January 2024 QRAM - Reference Price (2)</t>
  </si>
  <si>
    <t xml:space="preserve">   Change in Reference Price  (line 2 - line 1)</t>
  </si>
  <si>
    <t>2024 UFG/Fuel/Own Use Volumes (3)</t>
  </si>
  <si>
    <r>
      <t>(10</t>
    </r>
    <r>
      <rPr>
        <vertAlign val="superscript"/>
        <sz val="10"/>
        <rFont val="Arial"/>
        <family val="2"/>
      </rPr>
      <t>3</t>
    </r>
    <r>
      <rPr>
        <sz val="10"/>
        <rFont val="Arial"/>
        <family val="2"/>
      </rPr>
      <t>m</t>
    </r>
    <r>
      <rPr>
        <vertAlign val="superscript"/>
        <sz val="10"/>
        <rFont val="Arial"/>
        <family val="2"/>
      </rPr>
      <t>3</t>
    </r>
    <r>
      <rPr>
        <sz val="10"/>
        <rFont val="Arial"/>
        <family val="2"/>
      </rPr>
      <t>)</t>
    </r>
  </si>
  <si>
    <t>Amount for Recovery - UFG/Fuel/Own Use  (line 3 x line 4)</t>
  </si>
  <si>
    <t>Change in Delivery Related Costs:</t>
  </si>
  <si>
    <t xml:space="preserve">   2024 Average Gas in Storage Volumes (4)</t>
  </si>
  <si>
    <t xml:space="preserve">   Revaluation of Gas in Storage  (line 3 x line 6)</t>
  </si>
  <si>
    <t xml:space="preserve">   Gross Rate of Return (5)</t>
  </si>
  <si>
    <t xml:space="preserve">   Amount for Recovery - Gas in Storage  (line 7 x line 8)</t>
  </si>
  <si>
    <t>Total EGD Rate Zone (line 5 + line 9)</t>
  </si>
  <si>
    <t>April 2022 QRAM - Reference Price (6)</t>
  </si>
  <si>
    <t>January 2024 QRAM - Reference Price (7)</t>
  </si>
  <si>
    <t xml:space="preserve">   Change in Reference Price  (line 12 - line 11)</t>
  </si>
  <si>
    <t>2024 UFG/Fuel/Own Use Volumes (8)</t>
  </si>
  <si>
    <t>Amount for Recovery - UFG/Fuel/Own Use  (line 13 x line 14)</t>
  </si>
  <si>
    <t xml:space="preserve">   2024 Average Gas in Storage Volumes (9)</t>
  </si>
  <si>
    <t xml:space="preserve">   Revaluation of Gas in Storage  (line 13 x line 16)</t>
  </si>
  <si>
    <t xml:space="preserve">   Amount for Recovery - Gas in Storage  (line 17 x line 18)</t>
  </si>
  <si>
    <t>Total Union Rate Zones (line 15 + line 19)</t>
  </si>
  <si>
    <t>Total (line 10 + line 20)</t>
  </si>
  <si>
    <t>April 2022 QRAM PGVA reference price as per EB-2022-0089, Exhibit C, Tab 1, Schedule 1, column 3, line 13 and weighted average reference price as per Exhibit 4, Tab 2, Schedule 2, Attachment 3.</t>
  </si>
  <si>
    <t>January 2024 QRAM PGVA reference price as per EB-2023-0330, Exhibit C, Tab 1, Schedule 1, column 3, line 13 and weighted average reference price as per P.4, column (e), line 19.</t>
  </si>
  <si>
    <t>Working Papers, Schedule 23, sum of pp.3-5, column (b) and (d), line 12.</t>
  </si>
  <si>
    <t>Working Papers, Schedule 23, p.2, column (b) and (d), line 12.</t>
  </si>
  <si>
    <t>OEB-approved gross rate of return and proposed rate of return per Working Papers, Schedule 9, column (d), line 6, updated for tax.</t>
  </si>
  <si>
    <t>April 2022 QRAM Dawn reference price as per EB-2022-0089, Exhibit E, Tab 2, Schedule 1, column (c), line 1 and weighted average reference price as per Exhibit 4, Tab 2, Schedule 2, Attachment 3.</t>
  </si>
  <si>
    <t>January 2024 QRAM Dawn reference price as per EB-2023-0330, Exhibit E, Tab 2, Schedule 1, column (c), line 1 and weighted average reference price as per P.4, column (e), line 19.</t>
  </si>
  <si>
    <t>Working Papers, Schedule 23, sum of pp.3-5, column (b) and (d), sum of lines 18, 31 and 41.</t>
  </si>
  <si>
    <t>Working Papers, Schedule 23, p.2, column (b) and (d), sum of lines 18, 31, and 41.</t>
  </si>
  <si>
    <t>Derivation of EGD Rate Zone Unit Rate Changes by Rate Class</t>
  </si>
  <si>
    <t>UUF/Fuel and Own Use Gas</t>
  </si>
  <si>
    <t>Gas in Storage Carrying Costs</t>
  </si>
  <si>
    <t xml:space="preserve">2024 UUF/Fuel/ Own Use </t>
  </si>
  <si>
    <t>Amount for</t>
  </si>
  <si>
    <t xml:space="preserve">2024 Distribution </t>
  </si>
  <si>
    <t xml:space="preserve">Gas in Storage </t>
  </si>
  <si>
    <t>Volumes (1)</t>
  </si>
  <si>
    <t>Factor</t>
  </si>
  <si>
    <t>Recovery (2)</t>
  </si>
  <si>
    <t>Volume (3)</t>
  </si>
  <si>
    <t xml:space="preserve">Unit Rate Change </t>
  </si>
  <si>
    <t>Volumes (4)</t>
  </si>
  <si>
    <t>Recovery (5)</t>
  </si>
  <si>
    <t>(c) = (a) * (b)</t>
  </si>
  <si>
    <t>(e) = (c / d)</t>
  </si>
  <si>
    <t>(h) = (f) * (g)</t>
  </si>
  <si>
    <t>(j) = (h / i)</t>
  </si>
  <si>
    <t>P.1, column (b), line 4.</t>
  </si>
  <si>
    <t>P.1, column (c) line 5.</t>
  </si>
  <si>
    <t>Working Papers, Schedule 19, pp.1-5, column (a).</t>
  </si>
  <si>
    <t>P.1, column (b) line 6.</t>
  </si>
  <si>
    <t>P.1, column (c) line 9.</t>
  </si>
  <si>
    <t>Derivation of Union Rate Zone Unit Rate Changes by Rate Class</t>
  </si>
  <si>
    <t>Fuel, UFG, and Own Use</t>
  </si>
  <si>
    <t>Total Gas Cost Change to</t>
  </si>
  <si>
    <t>Recovery (4)</t>
  </si>
  <si>
    <t>Distribution Rates</t>
  </si>
  <si>
    <t>Distribution Volume (5)</t>
  </si>
  <si>
    <t>(f) = (d) * (e)</t>
  </si>
  <si>
    <t>(g) = (c + f )</t>
  </si>
  <si>
    <t>(i) = (g / h)</t>
  </si>
  <si>
    <t xml:space="preserve">   Rate M4</t>
  </si>
  <si>
    <t xml:space="preserve">   Rate M5</t>
  </si>
  <si>
    <t xml:space="preserve">   Rate M7</t>
  </si>
  <si>
    <t>(GJ)</t>
  </si>
  <si>
    <t xml:space="preserve">   Rate T1 </t>
  </si>
  <si>
    <t xml:space="preserve">   Rate C1</t>
  </si>
  <si>
    <t>(6)(7)</t>
  </si>
  <si>
    <t>P.1, column (b) line 14.</t>
  </si>
  <si>
    <t>Rate changes for M16 is broken down into four paths.</t>
  </si>
  <si>
    <t>P.1, column (c) line 15.</t>
  </si>
  <si>
    <t>P.1, column (b) line 16.</t>
  </si>
  <si>
    <t>M16 Storage Transportation Service</t>
  </si>
  <si>
    <t>P.1, column (c) line 19.</t>
  </si>
  <si>
    <t>Cost Recovery</t>
  </si>
  <si>
    <t>Working Papers, Exhibit 19, pp.6-16, column (a).</t>
  </si>
  <si>
    <t>(GJs)</t>
  </si>
  <si>
    <t xml:space="preserve">Utility providing deliverability rate changes for Rates T1, T2, and T3 are based on proposed Dawn Reference Price. Utility Supplied Fuel (USF) rate changes for Rates M13 and M16 are based on the 2024 Fuel Ratios and proposed Dawn Reference Price. Changes in Utility-supplied fuel rates for Rates M13 and M16 are presented at Appendix A. </t>
  </si>
  <si>
    <t>Charges West of Dawn:</t>
  </si>
  <si>
    <t>Charges East of Dawn:</t>
  </si>
  <si>
    <t>Total Rate M16</t>
  </si>
  <si>
    <t>Calculation of EGI Reference Price at January 1, 2024 QRAM</t>
  </si>
  <si>
    <t>Line No.</t>
  </si>
  <si>
    <t>Supply 
(TJ)</t>
  </si>
  <si>
    <r>
      <t>Supply 
(10</t>
    </r>
    <r>
      <rPr>
        <vertAlign val="superscript"/>
        <sz val="10"/>
        <rFont val="Arial"/>
        <family val="2"/>
      </rPr>
      <t>3</t>
    </r>
    <r>
      <rPr>
        <sz val="10"/>
        <color theme="1"/>
        <rFont val="Arial"/>
        <family val="2"/>
      </rPr>
      <t>m</t>
    </r>
    <r>
      <rPr>
        <vertAlign val="superscript"/>
        <sz val="10"/>
        <rFont val="Arial"/>
        <family val="2"/>
      </rPr>
      <t>3</t>
    </r>
    <r>
      <rPr>
        <sz val="10"/>
        <color theme="1"/>
        <rFont val="Arial"/>
        <family val="2"/>
      </rPr>
      <t>)</t>
    </r>
  </si>
  <si>
    <t>Gas Costs                ($000s)</t>
  </si>
  <si>
    <r>
      <t>Average Costs ($/10</t>
    </r>
    <r>
      <rPr>
        <vertAlign val="superscript"/>
        <sz val="10"/>
        <rFont val="Arial"/>
        <family val="2"/>
      </rPr>
      <t>3</t>
    </r>
    <r>
      <rPr>
        <sz val="10"/>
        <color theme="1"/>
        <rFont val="Arial"/>
        <family val="2"/>
      </rPr>
      <t>m</t>
    </r>
    <r>
      <rPr>
        <vertAlign val="superscript"/>
        <sz val="10"/>
        <rFont val="Arial"/>
        <family val="2"/>
      </rPr>
      <t>3</t>
    </r>
    <r>
      <rPr>
        <sz val="10"/>
        <color theme="1"/>
        <rFont val="Arial"/>
        <family val="2"/>
      </rPr>
      <t>)</t>
    </r>
  </si>
  <si>
    <t>Average Costs ($/GJ)</t>
  </si>
  <si>
    <t>(b) = (a)/39.08</t>
  </si>
  <si>
    <t>(d) = (c / b)</t>
  </si>
  <si>
    <t>(e) = (c / a)</t>
  </si>
  <si>
    <t>Supply</t>
  </si>
  <si>
    <t>Western Canadian Sedimentary Basin</t>
  </si>
  <si>
    <t>Ontario / Dawn</t>
  </si>
  <si>
    <t>Appalachia</t>
  </si>
  <si>
    <t>Chicago</t>
  </si>
  <si>
    <t>Niagara</t>
  </si>
  <si>
    <t>U.S. Mid Continent</t>
  </si>
  <si>
    <t>Unsecured</t>
  </si>
  <si>
    <t>Total Supply</t>
  </si>
  <si>
    <t>Less Transportation Fuel Requirement</t>
  </si>
  <si>
    <t>Less Load Balancing Costs</t>
  </si>
  <si>
    <t>Total Supply Costs Less Fuel and Load Balancing</t>
  </si>
  <si>
    <t>Transportation Costs - System Gas</t>
  </si>
  <si>
    <t>TCPL Niagara</t>
  </si>
  <si>
    <t>NEXUS</t>
  </si>
  <si>
    <t>Vector</t>
  </si>
  <si>
    <t>Nova</t>
  </si>
  <si>
    <t>Great Lakes</t>
  </si>
  <si>
    <t>Total Transportation  Costs</t>
  </si>
  <si>
    <t>Total Supply and Transportation Costs - System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</si>
</sst>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0_);\(#,##0.0000\);\-"/>
    <numFmt numFmtId="166" formatCode="0.00_)"/>
    <numFmt numFmtId="167" formatCode="_(* #,##0.0000_);_(* \(#,##0.0000\);_(* &quot;-&quot;??_);_(@_)"/>
    <numFmt numFmtId="168" formatCode="#,##0.0000_);\(#,##0.0000\)"/>
    <numFmt numFmtId="169" formatCode="_(* #,##0_);_(* \(#,##0\);_(* &quot;-&quot;??_);_(@_)"/>
    <numFmt numFmtId="170" formatCode="_(* #,##0.0_);_(* \(#,##0.0\);_(* &quot;-&quot;??_);_(@_)"/>
    <numFmt numFmtId="171" formatCode="#,##0_-;\(#,##0\);_(* &quot;-&quot;??_)"/>
    <numFmt numFmtId="172" formatCode="&quot;$&quot;#,##0.00_-;\(&quot;$&quot;#,##0.00\);_(* &quot;-&quot;??_)"/>
    <numFmt numFmtId="173" formatCode="#,##0.0000_-;\(#,##0.0000\);_(* &quot;-&quot;??_)"/>
    <numFmt numFmtId="174" formatCode="#,##0;\(#,##0\);_(* &quot;-&quot;_)"/>
    <numFmt numFmtId="175" formatCode="&quot;$&quot;#,##0.00000_-;\(&quot;$&quot;#,##0.00000\);_(* &quot;-&quot;??_)"/>
    <numFmt numFmtId="176" formatCode="0.0000_)"/>
    <numFmt numFmtId="177" formatCode="0_)"/>
    <numFmt numFmtId="178" formatCode="0.0000000_)"/>
    <numFmt numFmtId="179" formatCode="#,##0.00000_);\(#,##0.00000\)"/>
    <numFmt numFmtId="180" formatCode="0.0%"/>
    <numFmt numFmtId="181" formatCode="#,##0.000_);\(#,##0.000\)"/>
    <numFmt numFmtId="182" formatCode="###0%;\(###0%\)\ "/>
    <numFmt numFmtId="183" formatCode="###0.0%;\(###0.0%\)\ "/>
    <numFmt numFmtId="184" formatCode="_(* #,##0.000_);_(* \(#,##0.000\);_(* &quot;-&quot;??_);_(@_)"/>
    <numFmt numFmtId="185" formatCode="_(&quot;$&quot;* #,##0_);_(&quot;$&quot;* \(#,##0\);_(&quot;$&quot;* &quot;-&quot;??_);_(@_)"/>
    <numFmt numFmtId="186" formatCode="#,##0.0000"/>
    <numFmt numFmtId="187" formatCode="0.0000"/>
    <numFmt numFmtId="188" formatCode="0.00_);\(0.00\)"/>
    <numFmt numFmtId="189" formatCode="0.000%"/>
    <numFmt numFmtId="190" formatCode="&quot;$&quot;#,##0.0000_);\(&quot;$&quot;#,##0.0000\)"/>
    <numFmt numFmtId="191" formatCode="_(&quot;$&quot;* #,##0.0000_);_(&quot;$&quot;* \(#,##0.0000\);_(&quot;$&quot;* &quot;-&quot;??_);_(@_)"/>
    <numFmt numFmtId="192" formatCode="0.000_)"/>
    <numFmt numFmtId="193" formatCode="0.00000"/>
    <numFmt numFmtId="194" formatCode="0.0"/>
    <numFmt numFmtId="195" formatCode="&quot;$&quot;#,##0.000_);\(&quot;$&quot;#,##0.000\)"/>
    <numFmt numFmtId="196" formatCode="_(* #,##0.000_);_(* \(#,##0.000\);_(* &quot;-&quot;????_);_(@_)"/>
    <numFmt numFmtId="197" formatCode="_(* #,##0_);_(* \(#,##0\);_(* &quot;-&quot;????_);_(@_)"/>
    <numFmt numFmtId="198" formatCode="#,##0.000;\(#,##0.000\);_(* &quot;-&quot;_)"/>
    <numFmt numFmtId="199" formatCode="0.000"/>
    <numFmt numFmtId="200" formatCode="###0.0%;\(###0.0%\)"/>
    <numFmt numFmtId="201" formatCode="&quot;$&quot;#,##0.00"/>
    <numFmt numFmtId="202" formatCode="###0.00%;\(###0.00%\)"/>
    <numFmt numFmtId="203" formatCode="###0.00%;\(###0.00%\)\ "/>
    <numFmt numFmtId="204" formatCode="#,##0.000_);\(#,##0.000\);\-"/>
    <numFmt numFmtId="205" formatCode="_(* #,##0.0_);_(* \(#,##0.0\);_(* &quot;-&quot;?_);_(@_)"/>
    <numFmt numFmtId="206" formatCode="0.0000_);\(0.0000\)"/>
    <numFmt numFmtId="207" formatCode="_(* #,##0.0000_);_(* \(#,##0.0000\);_(* &quot;-&quot;????_);_(@_)"/>
    <numFmt numFmtId="208" formatCode="0_);\(0\)"/>
    <numFmt numFmtId="209" formatCode="#,##0.000"/>
    <numFmt numFmtId="210" formatCode="0.00000_);\(0.00000\)"/>
    <numFmt numFmtId="211" formatCode="&quot;$&quot;#,##0.000"/>
    <numFmt numFmtId="212" formatCode="###0.000%;\(###0.000%\)"/>
    <numFmt numFmtId="213" formatCode="_(&quot;$&quot;* #,##0.000_);_(&quot;$&quot;* \(#,##0.000\);_(&quot;$&quot;* &quot;-&quot;??_);_(@_)"/>
    <numFmt numFmtId="214" formatCode="_(&quot;$&quot;* #,##0.0_);_(&quot;$&quot;* \(#,##0.0\);_(&quot;$&quot;* &quot;-&quot;??_);_(@_)"/>
    <numFmt numFmtId="215" formatCode="#,##0.000_-;\(#,##0.000\);_(* &quot;-&quot;??_)"/>
    <numFmt numFmtId="216" formatCode="#,##0.000;\-#,##0.000"/>
    <numFmt numFmtId="217" formatCode="&quot;$&quot;#,##0;[Red]\-&quot;$&quot;#,##0"/>
    <numFmt numFmtId="218" formatCode="#,##0.0000;\(#,##0.0000\);_(* &quot;-&quot;_)"/>
    <numFmt numFmtId="219" formatCode="_-* #,##0_-;\-* #,##0_-;_-* &quot;-&quot;_-;_-@_-"/>
    <numFmt numFmtId="220" formatCode="&quot;$&quot;#,##0.00;[Red]\-&quot;$&quot;#,##0.00"/>
    <numFmt numFmtId="221" formatCode="#.??"/>
    <numFmt numFmtId="222" formatCode="#,##0;\(#,##0\);_(* &quot;-&quot;??_)"/>
    <numFmt numFmtId="223" formatCode="_(* #,##0_);_(* \(#,##0\);_(* ??_);_(@_)"/>
    <numFmt numFmtId="224" formatCode="#,##0.0_);\(#,##0.0\)"/>
    <numFmt numFmtId="225" formatCode="#,##0.0_);\(#,##0.0\);\-"/>
    <numFmt numFmtId="226" formatCode="0."/>
    <numFmt numFmtId="227" formatCode="0.000000000000000000"/>
    <numFmt numFmtId="228" formatCode="\(#\)"/>
  </numFmts>
  <fonts count="5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Times New Roman"/>
      <family val="1"/>
    </font>
    <font>
      <u/>
      <sz val="10"/>
      <name val="Arial"/>
      <family val="2"/>
    </font>
    <font>
      <sz val="10"/>
      <name val="Arial"/>
      <family val="2"/>
    </font>
    <font>
      <sz val="10"/>
      <color theme="1"/>
      <name val="Arial"/>
      <family val="2"/>
    </font>
    <font>
      <sz val="10"/>
      <color rgb="FF0000FF"/>
      <name val="Arial"/>
      <family val="2"/>
    </font>
    <font>
      <sz val="9"/>
      <color theme="1"/>
      <name val="Arial"/>
      <family val="2"/>
    </font>
    <font>
      <sz val="10"/>
      <color rgb="FF0070C0"/>
      <name val="Arial"/>
      <family val="2"/>
    </font>
    <font>
      <sz val="10"/>
      <name val="Courier"/>
      <family val="3"/>
    </font>
    <font>
      <vertAlign val="superscript"/>
      <sz val="10"/>
      <name val="Arial"/>
      <family val="2"/>
    </font>
    <font>
      <u/>
      <sz val="10"/>
      <color theme="1"/>
      <name val="Arial"/>
      <family val="2"/>
    </font>
    <font>
      <sz val="10"/>
      <color rgb="FF7030A0"/>
      <name val="Arial"/>
      <family val="2"/>
    </font>
    <font>
      <sz val="9"/>
      <name val="Arial"/>
      <family val="2"/>
    </font>
    <font>
      <u/>
      <sz val="9"/>
      <color theme="1"/>
      <name val="Arial"/>
      <family val="2"/>
    </font>
    <font>
      <i/>
      <sz val="10"/>
      <name val="Arial"/>
      <family val="2"/>
    </font>
    <font>
      <sz val="10"/>
      <color rgb="FF00B050"/>
      <name val="Arial"/>
      <family val="2"/>
    </font>
    <font>
      <sz val="10"/>
      <name val="Arial MT"/>
    </font>
    <font>
      <sz val="9"/>
      <color rgb="FFFF0000"/>
      <name val="Arial"/>
      <family val="2"/>
    </font>
    <font>
      <b/>
      <sz val="10"/>
      <name val="Arial"/>
      <family val="2"/>
    </font>
    <font>
      <sz val="10"/>
      <color rgb="FFFF0000"/>
      <name val="Arial"/>
      <family val="2"/>
    </font>
    <font>
      <sz val="12"/>
      <name val="Arial"/>
      <family val="2"/>
    </font>
    <font>
      <sz val="12"/>
      <color theme="1"/>
      <name val="Times New Roman"/>
      <family val="2"/>
    </font>
    <font>
      <sz val="10"/>
      <color theme="1"/>
      <name val="Calibri"/>
      <family val="2"/>
      <scheme val="minor"/>
    </font>
    <font>
      <vertAlign val="superscript"/>
      <sz val="10"/>
      <color theme="1"/>
      <name val="Arial"/>
      <family val="2"/>
    </font>
    <font>
      <b/>
      <i/>
      <sz val="10"/>
      <color rgb="FF000000"/>
      <name val="Arial"/>
      <family val="2"/>
    </font>
    <font>
      <sz val="10"/>
      <color rgb="FF000000"/>
      <name val="Arial"/>
      <family val="2"/>
    </font>
    <font>
      <sz val="11"/>
      <name val="Calibri"/>
      <family val="2"/>
      <scheme val="minor"/>
    </font>
    <font>
      <sz val="11"/>
      <name val="Arial"/>
      <family val="2"/>
    </font>
    <font>
      <sz val="10"/>
      <color indexed="12"/>
      <name val="Arial"/>
      <family val="2"/>
    </font>
    <font>
      <b/>
      <sz val="11"/>
      <color theme="1"/>
      <name val="Calibri"/>
      <family val="2"/>
      <scheme val="minor"/>
    </font>
    <font>
      <b/>
      <sz val="10"/>
      <color theme="1"/>
      <name val="Arial"/>
      <family val="2"/>
    </font>
    <font>
      <i/>
      <sz val="10"/>
      <color theme="1"/>
      <name val="Arial"/>
      <family val="2"/>
    </font>
    <font>
      <u/>
      <sz val="10"/>
      <color rgb="FFFF0000"/>
      <name val="Arial"/>
      <family val="2"/>
    </font>
    <font>
      <sz val="8"/>
      <name val="Arial"/>
      <family val="2"/>
    </font>
    <font>
      <b/>
      <sz val="10"/>
      <color rgb="FFC00000"/>
      <name val="Arial"/>
      <family val="2"/>
    </font>
    <font>
      <b/>
      <sz val="10"/>
      <color theme="1"/>
      <name val="Calibri"/>
      <family val="2"/>
      <scheme val="minor"/>
    </font>
    <font>
      <sz val="9"/>
      <color rgb="FF0070C0"/>
      <name val="Arial"/>
      <family val="2"/>
    </font>
    <font>
      <sz val="9"/>
      <color rgb="FF7030A0"/>
      <name val="Arial"/>
      <family val="2"/>
    </font>
    <font>
      <sz val="11"/>
      <color rgb="FFFF0000"/>
      <name val="Arial"/>
      <family val="2"/>
    </font>
    <font>
      <sz val="11"/>
      <color theme="1"/>
      <name val="Calibri"/>
      <family val="2"/>
    </font>
    <font>
      <b/>
      <sz val="10"/>
      <color rgb="FF0070C0"/>
      <name val="Arial"/>
      <family val="2"/>
    </font>
    <font>
      <b/>
      <sz val="12"/>
      <color theme="1"/>
      <name val="Calibri"/>
      <family val="2"/>
      <scheme val="minor"/>
    </font>
    <font>
      <b/>
      <u/>
      <sz val="10"/>
      <color theme="1"/>
      <name val="Arial"/>
      <family val="2"/>
    </font>
    <font>
      <strike/>
      <sz val="10"/>
      <color rgb="FFFF0000"/>
      <name val="Arial"/>
      <family val="2"/>
    </font>
    <font>
      <b/>
      <sz val="10"/>
      <name val="Calibri"/>
      <family val="2"/>
    </font>
  </fonts>
  <fills count="7">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s>
  <borders count="6">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s>
  <cellStyleXfs count="59">
    <xf numFmtId="0" fontId="0" fillId="0" borderId="0"/>
    <xf numFmtId="0" fontId="11" fillId="0" borderId="0"/>
    <xf numFmtId="0" fontId="13" fillId="0" borderId="0"/>
    <xf numFmtId="44" fontId="9" fillId="0" borderId="0" applyFont="0" applyFill="0" applyBorder="0" applyAlignment="0" applyProtection="0"/>
    <xf numFmtId="43" fontId="13" fillId="0" borderId="0" applyFont="0" applyFill="0" applyBorder="0" applyAlignment="0" applyProtection="0"/>
    <xf numFmtId="0" fontId="9" fillId="0" borderId="0"/>
    <xf numFmtId="9" fontId="9" fillId="0" borderId="0" applyFont="0" applyFill="0" applyBorder="0" applyAlignment="0" applyProtection="0"/>
    <xf numFmtId="166" fontId="18" fillId="0" borderId="0"/>
    <xf numFmtId="44" fontId="10" fillId="0" borderId="0" applyFont="0" applyFill="0" applyBorder="0" applyAlignment="0" applyProtection="0"/>
    <xf numFmtId="43" fontId="10" fillId="0" borderId="0" applyFont="0" applyFill="0" applyBorder="0" applyAlignment="0" applyProtection="0"/>
    <xf numFmtId="0" fontId="8" fillId="0" borderId="0"/>
    <xf numFmtId="0" fontId="13"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13"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37" fontId="30" fillId="0" borderId="0"/>
    <xf numFmtId="37" fontId="30" fillId="0" borderId="0"/>
    <xf numFmtId="43" fontId="7" fillId="0" borderId="0" applyFont="0" applyFill="0" applyBorder="0" applyAlignment="0" applyProtection="0"/>
    <xf numFmtId="0" fontId="31" fillId="0" borderId="0"/>
    <xf numFmtId="44" fontId="7"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37" fontId="30" fillId="0" borderId="0"/>
    <xf numFmtId="0" fontId="3" fillId="0" borderId="0"/>
    <xf numFmtId="0" fontId="2" fillId="0" borderId="0"/>
    <xf numFmtId="0" fontId="11" fillId="0" borderId="0"/>
    <xf numFmtId="43" fontId="13" fillId="0" borderId="0" applyFont="0" applyFill="0" applyBorder="0" applyAlignment="0" applyProtection="0"/>
    <xf numFmtId="9" fontId="1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0" fontId="49" fillId="0" borderId="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1" fontId="10" fillId="0" borderId="0" applyFont="0" applyFill="0" applyBorder="0" applyAlignment="0" applyProtection="0"/>
    <xf numFmtId="0" fontId="13" fillId="0" borderId="0"/>
  </cellStyleXfs>
  <cellXfs count="1208">
    <xf numFmtId="0" fontId="0" fillId="0" borderId="0" xfId="0"/>
    <xf numFmtId="0" fontId="13" fillId="0" borderId="0" xfId="1" applyFont="1" applyAlignment="1">
      <alignment horizontal="center"/>
    </xf>
    <xf numFmtId="0" fontId="13" fillId="0" borderId="0" xfId="1" applyFont="1"/>
    <xf numFmtId="0" fontId="13" fillId="0" borderId="0" xfId="2" applyAlignment="1">
      <alignment horizontal="left"/>
    </xf>
    <xf numFmtId="0" fontId="13" fillId="0" borderId="0" xfId="1" applyFont="1" applyAlignment="1">
      <alignment horizontal="centerContinuous"/>
    </xf>
    <xf numFmtId="0" fontId="13" fillId="0" borderId="0" xfId="2" applyAlignment="1">
      <alignment horizontal="center" wrapText="1"/>
    </xf>
    <xf numFmtId="0" fontId="13" fillId="0" borderId="0" xfId="2" applyAlignment="1">
      <alignment horizontal="center"/>
    </xf>
    <xf numFmtId="0" fontId="13" fillId="0" borderId="1" xfId="1" applyFont="1" applyBorder="1" applyAlignment="1">
      <alignment horizontal="center"/>
    </xf>
    <xf numFmtId="0" fontId="13" fillId="0" borderId="0" xfId="1" quotePrefix="1" applyFont="1" applyAlignment="1">
      <alignment horizontal="center"/>
    </xf>
    <xf numFmtId="0" fontId="12" fillId="0" borderId="0" xfId="1" applyFont="1"/>
    <xf numFmtId="0" fontId="13" fillId="0" borderId="0" xfId="1" applyFont="1" applyAlignment="1">
      <alignment horizontal="left" indent="1"/>
    </xf>
    <xf numFmtId="165" fontId="13" fillId="0" borderId="0" xfId="4" applyNumberFormat="1" applyFont="1" applyFill="1" applyBorder="1" applyAlignment="1">
      <alignment horizontal="right"/>
    </xf>
    <xf numFmtId="0" fontId="13" fillId="0" borderId="0" xfId="1" applyFont="1" applyAlignment="1">
      <alignment horizontal="left" indent="2"/>
    </xf>
    <xf numFmtId="166" fontId="13" fillId="0" borderId="0" xfId="7" applyFont="1"/>
    <xf numFmtId="0" fontId="12" fillId="0" borderId="0" xfId="2" applyFont="1"/>
    <xf numFmtId="0" fontId="13" fillId="0" borderId="0" xfId="1" quotePrefix="1" applyFont="1"/>
    <xf numFmtId="0" fontId="13" fillId="0" borderId="0" xfId="1" applyFont="1" applyAlignment="1">
      <alignment horizontal="left"/>
    </xf>
    <xf numFmtId="0" fontId="13" fillId="0" borderId="0" xfId="1" applyFont="1" applyAlignment="1">
      <alignment horizontal="center" wrapText="1"/>
    </xf>
    <xf numFmtId="0" fontId="14" fillId="0" borderId="0" xfId="10" applyFont="1"/>
    <xf numFmtId="0" fontId="13" fillId="0" borderId="0" xfId="10" applyFont="1" applyAlignment="1" applyProtection="1">
      <alignment horizontal="center"/>
      <protection locked="0"/>
    </xf>
    <xf numFmtId="0" fontId="13" fillId="0" borderId="0" xfId="10" applyFont="1" applyProtection="1">
      <protection locked="0"/>
    </xf>
    <xf numFmtId="0" fontId="20" fillId="0" borderId="0" xfId="10" applyFont="1" applyAlignment="1">
      <alignment horizontal="center"/>
    </xf>
    <xf numFmtId="164" fontId="15" fillId="0" borderId="0" xfId="4" applyNumberFormat="1" applyFont="1" applyFill="1" applyBorder="1" applyAlignment="1">
      <alignment horizontal="right"/>
    </xf>
    <xf numFmtId="169" fontId="15" fillId="0" borderId="0" xfId="12" applyNumberFormat="1" applyFont="1" applyFill="1" applyBorder="1" applyAlignment="1">
      <alignment horizontal="center"/>
    </xf>
    <xf numFmtId="0" fontId="13" fillId="0" borderId="0" xfId="1" quotePrefix="1" applyFont="1" applyAlignment="1">
      <alignment horizontal="center" vertical="top" wrapText="1"/>
    </xf>
    <xf numFmtId="0" fontId="13" fillId="0" borderId="0" xfId="1" applyFont="1" applyAlignment="1">
      <alignment vertical="top" wrapText="1"/>
    </xf>
    <xf numFmtId="0" fontId="13" fillId="0" borderId="0" xfId="10" quotePrefix="1" applyFont="1" applyAlignment="1" applyProtection="1">
      <alignment horizontal="center"/>
      <protection locked="0"/>
    </xf>
    <xf numFmtId="0" fontId="13" fillId="0" borderId="1" xfId="10" applyFont="1" applyBorder="1" applyAlignment="1">
      <alignment horizontal="center"/>
    </xf>
    <xf numFmtId="164" fontId="21" fillId="0" borderId="0" xfId="4" applyNumberFormat="1" applyFont="1" applyFill="1" applyBorder="1" applyAlignment="1">
      <alignment horizontal="right"/>
    </xf>
    <xf numFmtId="164" fontId="13" fillId="0" borderId="0" xfId="4" applyNumberFormat="1" applyFont="1" applyFill="1" applyBorder="1" applyAlignment="1">
      <alignment horizontal="right"/>
    </xf>
    <xf numFmtId="164" fontId="13" fillId="0" borderId="0" xfId="4" applyNumberFormat="1" applyFont="1" applyFill="1" applyBorder="1" applyAlignment="1">
      <alignment horizontal="center"/>
    </xf>
    <xf numFmtId="164" fontId="15" fillId="0" borderId="0" xfId="4" applyNumberFormat="1" applyFont="1" applyFill="1" applyBorder="1" applyAlignment="1">
      <alignment horizontal="center"/>
    </xf>
    <xf numFmtId="165" fontId="13" fillId="0" borderId="4" xfId="4" applyNumberFormat="1" applyFont="1" applyFill="1" applyBorder="1" applyAlignment="1">
      <alignment horizontal="right"/>
    </xf>
    <xf numFmtId="170" fontId="13" fillId="0" borderId="0" xfId="12" applyNumberFormat="1" applyFont="1" applyFill="1" applyBorder="1" applyAlignment="1">
      <alignment horizontal="center"/>
    </xf>
    <xf numFmtId="164" fontId="14" fillId="0" borderId="0" xfId="10" applyNumberFormat="1" applyFont="1"/>
    <xf numFmtId="0" fontId="24" fillId="0" borderId="0" xfId="10" applyFont="1" applyProtection="1">
      <protection locked="0"/>
    </xf>
    <xf numFmtId="171" fontId="13" fillId="0" borderId="0" xfId="10" applyNumberFormat="1" applyFont="1"/>
    <xf numFmtId="172" fontId="13" fillId="0" borderId="0" xfId="10" applyNumberFormat="1" applyFont="1"/>
    <xf numFmtId="169" fontId="13" fillId="0" borderId="0" xfId="14" applyNumberFormat="1" applyFont="1" applyFill="1"/>
    <xf numFmtId="0" fontId="13" fillId="0" borderId="0" xfId="10" applyFont="1"/>
    <xf numFmtId="169" fontId="13" fillId="0" borderId="0" xfId="14" applyNumberFormat="1" applyFont="1" applyFill="1" applyProtection="1">
      <protection locked="0"/>
    </xf>
    <xf numFmtId="173" fontId="13" fillId="0" borderId="0" xfId="10" applyNumberFormat="1" applyFont="1"/>
    <xf numFmtId="171" fontId="13" fillId="0" borderId="4" xfId="10" applyNumberFormat="1" applyFont="1" applyBorder="1"/>
    <xf numFmtId="0" fontId="13" fillId="0" borderId="0" xfId="15" applyFont="1" applyAlignment="1">
      <alignment horizontal="left" indent="2"/>
    </xf>
    <xf numFmtId="169" fontId="14" fillId="0" borderId="0" xfId="10" applyNumberFormat="1" applyFont="1"/>
    <xf numFmtId="171" fontId="13" fillId="0" borderId="2" xfId="10" applyNumberFormat="1" applyFont="1" applyBorder="1"/>
    <xf numFmtId="171" fontId="13" fillId="0" borderId="3" xfId="10" applyNumberFormat="1" applyFont="1" applyBorder="1"/>
    <xf numFmtId="0" fontId="12" fillId="0" borderId="0" xfId="16" applyFont="1"/>
    <xf numFmtId="171" fontId="13" fillId="4" borderId="0" xfId="10" applyNumberFormat="1" applyFont="1" applyFill="1"/>
    <xf numFmtId="0" fontId="13" fillId="0" borderId="0" xfId="15" quotePrefix="1" applyFont="1" applyAlignment="1">
      <alignment horizontal="center"/>
    </xf>
    <xf numFmtId="171" fontId="14" fillId="4" borderId="0" xfId="10" applyNumberFormat="1" applyFont="1" applyFill="1"/>
    <xf numFmtId="166" fontId="13" fillId="0" borderId="0" xfId="7" applyFont="1" applyAlignment="1">
      <alignment horizontal="center"/>
    </xf>
    <xf numFmtId="166" fontId="13" fillId="0" borderId="0" xfId="7" applyFont="1" applyAlignment="1">
      <alignment horizontal="left"/>
    </xf>
    <xf numFmtId="166" fontId="13" fillId="0" borderId="1" xfId="7" quotePrefix="1" applyFont="1" applyBorder="1" applyAlignment="1">
      <alignment horizontal="center"/>
    </xf>
    <xf numFmtId="166" fontId="13" fillId="0" borderId="1" xfId="7" applyFont="1" applyBorder="1"/>
    <xf numFmtId="166" fontId="13" fillId="0" borderId="0" xfId="7" quotePrefix="1" applyFont="1" applyAlignment="1">
      <alignment horizontal="center"/>
    </xf>
    <xf numFmtId="166" fontId="13" fillId="0" borderId="0" xfId="7" quotePrefix="1" applyFont="1" applyAlignment="1">
      <alignment horizontal="left"/>
    </xf>
    <xf numFmtId="0" fontId="13" fillId="0" borderId="0" xfId="2" applyAlignment="1">
      <alignment horizontal="centerContinuous"/>
    </xf>
    <xf numFmtId="0" fontId="13" fillId="0" borderId="0" xfId="2"/>
    <xf numFmtId="0" fontId="13" fillId="0" borderId="1" xfId="2" applyBorder="1"/>
    <xf numFmtId="169" fontId="28" fillId="0" borderId="0" xfId="4" applyNumberFormat="1" applyFont="1" applyFill="1" applyBorder="1"/>
    <xf numFmtId="169" fontId="13" fillId="0" borderId="0" xfId="4" applyNumberFormat="1" applyFont="1" applyFill="1" applyBorder="1"/>
    <xf numFmtId="181" fontId="13" fillId="0" borderId="0" xfId="4" applyNumberFormat="1" applyFont="1" applyFill="1" applyBorder="1" applyAlignment="1">
      <alignment horizontal="right"/>
    </xf>
    <xf numFmtId="9" fontId="13" fillId="0" borderId="0" xfId="20" applyFont="1" applyFill="1" applyBorder="1" applyAlignment="1">
      <alignment horizontal="right"/>
    </xf>
    <xf numFmtId="164" fontId="13" fillId="0" borderId="0" xfId="1" applyNumberFormat="1" applyFont="1"/>
    <xf numFmtId="0" fontId="13" fillId="0" borderId="0" xfId="16" quotePrefix="1" applyAlignment="1">
      <alignment horizontal="center" vertical="top"/>
    </xf>
    <xf numFmtId="0" fontId="14" fillId="0" borderId="0" xfId="21" applyFont="1"/>
    <xf numFmtId="0" fontId="13" fillId="0" borderId="0" xfId="21" applyFont="1"/>
    <xf numFmtId="0" fontId="7" fillId="0" borderId="0" xfId="21"/>
    <xf numFmtId="0" fontId="13" fillId="0" borderId="0" xfId="21" applyFont="1" applyAlignment="1">
      <alignment horizontal="centerContinuous"/>
    </xf>
    <xf numFmtId="0" fontId="13" fillId="0" borderId="0" xfId="21" applyFont="1" applyAlignment="1">
      <alignment horizontal="right"/>
    </xf>
    <xf numFmtId="0" fontId="13" fillId="0" borderId="0" xfId="21" applyFont="1" applyAlignment="1">
      <alignment horizontal="center"/>
    </xf>
    <xf numFmtId="169" fontId="13" fillId="0" borderId="0" xfId="22" applyNumberFormat="1" applyFont="1" applyFill="1" applyBorder="1" applyAlignment="1">
      <alignment horizontal="center"/>
    </xf>
    <xf numFmtId="180" fontId="13" fillId="0" borderId="0" xfId="20" applyNumberFormat="1" applyFont="1" applyFill="1" applyAlignment="1">
      <alignment horizontal="right"/>
    </xf>
    <xf numFmtId="0" fontId="13" fillId="0" borderId="1" xfId="21" applyFont="1" applyBorder="1" applyAlignment="1">
      <alignment horizontal="center"/>
    </xf>
    <xf numFmtId="169" fontId="13" fillId="0" borderId="0" xfId="25" applyNumberFormat="1" applyFont="1" applyFill="1" applyBorder="1" applyAlignment="1">
      <alignment horizontal="center"/>
    </xf>
    <xf numFmtId="0" fontId="12" fillId="0" borderId="0" xfId="21" applyFont="1"/>
    <xf numFmtId="187" fontId="13" fillId="0" borderId="0" xfId="21" applyNumberFormat="1" applyFont="1"/>
    <xf numFmtId="169" fontId="13" fillId="0" borderId="0" xfId="21" applyNumberFormat="1" applyFont="1"/>
    <xf numFmtId="180" fontId="13" fillId="0" borderId="0" xfId="20" applyNumberFormat="1" applyFont="1" applyFill="1" applyBorder="1"/>
    <xf numFmtId="180" fontId="13" fillId="0" borderId="0" xfId="21" applyNumberFormat="1" applyFont="1"/>
    <xf numFmtId="3" fontId="13" fillId="0" borderId="0" xfId="21" applyNumberFormat="1" applyFont="1"/>
    <xf numFmtId="43" fontId="13" fillId="0" borderId="0" xfId="21" applyNumberFormat="1" applyFont="1"/>
    <xf numFmtId="0" fontId="13" fillId="0" borderId="0" xfId="21" quotePrefix="1" applyFont="1"/>
    <xf numFmtId="3" fontId="13" fillId="0" borderId="0" xfId="21" quotePrefix="1" applyNumberFormat="1" applyFont="1"/>
    <xf numFmtId="188" fontId="13" fillId="0" borderId="0" xfId="16" applyNumberFormat="1" applyAlignment="1">
      <alignment horizontal="right"/>
    </xf>
    <xf numFmtId="0" fontId="12" fillId="0" borderId="0" xfId="21" applyFont="1" applyAlignment="1">
      <alignment horizontal="center"/>
    </xf>
    <xf numFmtId="0" fontId="12" fillId="0" borderId="0" xfId="21" applyFont="1" applyAlignment="1">
      <alignment horizontal="right"/>
    </xf>
    <xf numFmtId="0" fontId="12" fillId="0" borderId="0" xfId="21" applyFont="1" applyAlignment="1">
      <alignment horizontal="centerContinuous"/>
    </xf>
    <xf numFmtId="0" fontId="13" fillId="0" borderId="0" xfId="25" applyNumberFormat="1" applyFont="1" applyFill="1" applyBorder="1" applyAlignment="1"/>
    <xf numFmtId="0" fontId="13" fillId="0" borderId="0" xfId="25" applyNumberFormat="1" applyFont="1" applyFill="1" applyBorder="1" applyAlignment="1">
      <alignment horizontal="center"/>
    </xf>
    <xf numFmtId="0" fontId="13" fillId="0" borderId="0" xfId="21" quotePrefix="1" applyFont="1" applyAlignment="1">
      <alignment horizontal="left"/>
    </xf>
    <xf numFmtId="188" fontId="13" fillId="0" borderId="0" xfId="21" applyNumberFormat="1" applyFont="1" applyAlignment="1">
      <alignment horizontal="right"/>
    </xf>
    <xf numFmtId="0" fontId="14" fillId="0" borderId="0" xfId="21" applyFont="1" applyAlignment="1">
      <alignment horizontal="right"/>
    </xf>
    <xf numFmtId="37" fontId="13" fillId="0" borderId="0" xfId="7" applyNumberFormat="1" applyFont="1"/>
    <xf numFmtId="166" fontId="28" fillId="0" borderId="0" xfId="7" applyFont="1"/>
    <xf numFmtId="166" fontId="29" fillId="0" borderId="0" xfId="7" applyFont="1"/>
    <xf numFmtId="177" fontId="13" fillId="0" borderId="0" xfId="7" applyNumberFormat="1" applyFont="1" applyAlignment="1">
      <alignment horizontal="center"/>
    </xf>
    <xf numFmtId="177" fontId="13" fillId="0" borderId="0" xfId="7" applyNumberFormat="1" applyFont="1" applyAlignment="1">
      <alignment horizontal="left"/>
    </xf>
    <xf numFmtId="7" fontId="13" fillId="0" borderId="0" xfId="7" applyNumberFormat="1" applyFont="1"/>
    <xf numFmtId="178" fontId="13" fillId="0" borderId="0" xfId="7" applyNumberFormat="1" applyFont="1"/>
    <xf numFmtId="10" fontId="13" fillId="0" borderId="0" xfId="7" applyNumberFormat="1" applyFont="1"/>
    <xf numFmtId="168" fontId="13" fillId="0" borderId="0" xfId="7" applyNumberFormat="1" applyFont="1"/>
    <xf numFmtId="179" fontId="13" fillId="0" borderId="0" xfId="7" applyNumberFormat="1" applyFont="1"/>
    <xf numFmtId="176" fontId="13" fillId="0" borderId="0" xfId="7" applyNumberFormat="1" applyFont="1"/>
    <xf numFmtId="166" fontId="13" fillId="0" borderId="0" xfId="7" applyFont="1" applyAlignment="1">
      <alignment horizontal="right"/>
    </xf>
    <xf numFmtId="190" fontId="13" fillId="0" borderId="0" xfId="7" applyNumberFormat="1" applyFont="1"/>
    <xf numFmtId="191" fontId="13" fillId="0" borderId="0" xfId="28" applyNumberFormat="1" applyFont="1"/>
    <xf numFmtId="192" fontId="13" fillId="0" borderId="0" xfId="7" applyNumberFormat="1" applyFont="1"/>
    <xf numFmtId="0" fontId="13" fillId="0" borderId="0" xfId="17" applyFont="1"/>
    <xf numFmtId="0" fontId="13" fillId="0" borderId="0" xfId="17" quotePrefix="1" applyFont="1" applyAlignment="1">
      <alignment horizontal="left"/>
    </xf>
    <xf numFmtId="7" fontId="13" fillId="0" borderId="0" xfId="17" applyNumberFormat="1" applyFont="1"/>
    <xf numFmtId="167" fontId="13" fillId="0" borderId="0" xfId="19" applyNumberFormat="1" applyFont="1" applyProtection="1"/>
    <xf numFmtId="0" fontId="13" fillId="0" borderId="0" xfId="17" quotePrefix="1" applyFont="1" applyAlignment="1">
      <alignment horizontal="right"/>
    </xf>
    <xf numFmtId="0" fontId="13" fillId="0" borderId="0" xfId="0" applyFont="1"/>
    <xf numFmtId="168" fontId="13" fillId="0" borderId="0" xfId="17" applyNumberFormat="1" applyFont="1"/>
    <xf numFmtId="0" fontId="13" fillId="0" borderId="0" xfId="17" applyFont="1" applyAlignment="1">
      <alignment horizontal="left"/>
    </xf>
    <xf numFmtId="176" fontId="13" fillId="0" borderId="0" xfId="17" applyNumberFormat="1" applyFont="1"/>
    <xf numFmtId="166" fontId="13" fillId="0" borderId="0" xfId="7" quotePrefix="1" applyFont="1"/>
    <xf numFmtId="1" fontId="13" fillId="0" borderId="0" xfId="7" applyNumberFormat="1" applyFont="1" applyAlignment="1">
      <alignment horizontal="centerContinuous"/>
    </xf>
    <xf numFmtId="44" fontId="13" fillId="0" borderId="0" xfId="7" applyNumberFormat="1" applyFont="1"/>
    <xf numFmtId="44" fontId="13" fillId="0" borderId="0" xfId="28" applyFont="1"/>
    <xf numFmtId="0" fontId="13" fillId="0" borderId="0" xfId="17" applyFont="1" applyAlignment="1">
      <alignment horizontal="center"/>
    </xf>
    <xf numFmtId="0" fontId="13" fillId="0" borderId="0" xfId="2" quotePrefix="1" applyAlignment="1">
      <alignment horizontal="center"/>
    </xf>
    <xf numFmtId="177" fontId="13" fillId="0" borderId="0" xfId="7" applyNumberFormat="1" applyFont="1"/>
    <xf numFmtId="177" fontId="13" fillId="0" borderId="0" xfId="1" applyNumberFormat="1" applyFont="1" applyAlignment="1">
      <alignment horizontal="center"/>
    </xf>
    <xf numFmtId="177" fontId="13" fillId="0" borderId="0" xfId="1" quotePrefix="1" applyNumberFormat="1" applyFont="1" applyAlignment="1">
      <alignment horizontal="center"/>
    </xf>
    <xf numFmtId="0" fontId="13" fillId="0" borderId="0" xfId="21" applyFont="1" applyAlignment="1">
      <alignment horizontal="left"/>
    </xf>
    <xf numFmtId="0" fontId="28" fillId="0" borderId="0" xfId="2" applyFont="1" applyAlignment="1">
      <alignment horizontal="center"/>
    </xf>
    <xf numFmtId="0" fontId="13" fillId="0" borderId="0" xfId="1" applyFont="1" applyAlignment="1">
      <alignment horizontal="right"/>
    </xf>
    <xf numFmtId="164" fontId="13" fillId="0" borderId="0" xfId="1" applyNumberFormat="1" applyFont="1" applyAlignment="1">
      <alignment horizontal="right"/>
    </xf>
    <xf numFmtId="164" fontId="13" fillId="0" borderId="4" xfId="2" applyNumberFormat="1" applyBorder="1" applyAlignment="1">
      <alignment horizontal="right"/>
    </xf>
    <xf numFmtId="164" fontId="13" fillId="0" borderId="0" xfId="2" applyNumberFormat="1" applyAlignment="1">
      <alignment horizontal="right"/>
    </xf>
    <xf numFmtId="164" fontId="28" fillId="0" borderId="0" xfId="2" applyNumberFormat="1" applyFont="1" applyAlignment="1">
      <alignment horizontal="right"/>
    </xf>
    <xf numFmtId="164" fontId="13" fillId="0" borderId="0" xfId="1" applyNumberFormat="1" applyFont="1" applyAlignment="1">
      <alignment horizontal="left"/>
    </xf>
    <xf numFmtId="169" fontId="13" fillId="0" borderId="0" xfId="30" applyNumberFormat="1" applyFont="1"/>
    <xf numFmtId="0" fontId="14" fillId="0" borderId="0" xfId="0" applyFont="1"/>
    <xf numFmtId="0" fontId="13" fillId="0" borderId="0" xfId="11" applyAlignment="1" applyProtection="1">
      <alignment horizontal="center"/>
      <protection locked="0"/>
    </xf>
    <xf numFmtId="0" fontId="14" fillId="0" borderId="0" xfId="0" applyFont="1" applyAlignment="1">
      <alignment horizontal="center"/>
    </xf>
    <xf numFmtId="0" fontId="13" fillId="0" borderId="1" xfId="11" applyBorder="1" applyAlignment="1" applyProtection="1">
      <alignment horizontal="center"/>
      <protection locked="0"/>
    </xf>
    <xf numFmtId="0" fontId="13" fillId="0" borderId="0" xfId="0" applyFont="1" applyAlignment="1">
      <alignment horizontal="center"/>
    </xf>
    <xf numFmtId="9" fontId="28" fillId="0" borderId="0" xfId="20" applyFont="1" applyFill="1" applyBorder="1" applyAlignment="1">
      <alignment horizontal="right"/>
    </xf>
    <xf numFmtId="0" fontId="14" fillId="0" borderId="0" xfId="0" applyFont="1" applyAlignment="1">
      <alignment horizontal="left" indent="2"/>
    </xf>
    <xf numFmtId="0" fontId="14" fillId="0" borderId="0" xfId="0" applyFont="1" applyAlignment="1">
      <alignment horizontal="left"/>
    </xf>
    <xf numFmtId="176" fontId="14" fillId="0" borderId="0" xfId="0" applyNumberFormat="1" applyFont="1"/>
    <xf numFmtId="187" fontId="14" fillId="0" borderId="0" xfId="0" applyNumberFormat="1" applyFont="1"/>
    <xf numFmtId="0" fontId="14" fillId="0" borderId="0" xfId="0" applyFont="1" applyAlignment="1">
      <alignment horizontal="left" indent="1"/>
    </xf>
    <xf numFmtId="0" fontId="14" fillId="0" borderId="0" xfId="0" applyFont="1" applyAlignment="1">
      <alignment horizontal="left" indent="3"/>
    </xf>
    <xf numFmtId="43" fontId="14" fillId="0" borderId="0" xfId="30" applyFont="1"/>
    <xf numFmtId="43" fontId="13" fillId="0" borderId="0" xfId="30" applyFont="1"/>
    <xf numFmtId="0" fontId="14" fillId="0" borderId="0" xfId="34" applyFont="1"/>
    <xf numFmtId="0" fontId="14" fillId="0" borderId="0" xfId="38" applyFont="1"/>
    <xf numFmtId="0" fontId="20" fillId="0" borderId="0" xfId="38" applyFont="1"/>
    <xf numFmtId="0" fontId="14" fillId="0" borderId="1" xfId="38" applyFont="1" applyBorder="1"/>
    <xf numFmtId="0" fontId="14" fillId="0" borderId="1" xfId="38" quotePrefix="1" applyFont="1" applyBorder="1" applyAlignment="1">
      <alignment horizontal="center"/>
    </xf>
    <xf numFmtId="0" fontId="14" fillId="0" borderId="0" xfId="38" quotePrefix="1" applyFont="1" applyAlignment="1">
      <alignment horizontal="center" vertical="top"/>
    </xf>
    <xf numFmtId="0" fontId="14" fillId="0" borderId="0" xfId="38" applyFont="1" applyAlignment="1">
      <alignment horizontal="center" vertical="top"/>
    </xf>
    <xf numFmtId="0" fontId="14" fillId="0" borderId="2" xfId="38" quotePrefix="1" applyFont="1" applyBorder="1" applyAlignment="1">
      <alignment horizontal="center" vertical="top" wrapText="1"/>
    </xf>
    <xf numFmtId="0" fontId="14" fillId="0" borderId="0" xfId="38" quotePrefix="1" applyFont="1" applyAlignment="1">
      <alignment horizontal="center" vertical="top" wrapText="1"/>
    </xf>
    <xf numFmtId="0" fontId="14" fillId="0" borderId="0" xfId="38" quotePrefix="1" applyFont="1" applyAlignment="1">
      <alignment horizontal="center"/>
    </xf>
    <xf numFmtId="0" fontId="14" fillId="0" borderId="0" xfId="38" quotePrefix="1" applyFont="1"/>
    <xf numFmtId="169" fontId="14" fillId="0" borderId="0" xfId="39" applyNumberFormat="1" applyFont="1"/>
    <xf numFmtId="169" fontId="14" fillId="0" borderId="0" xfId="38" applyNumberFormat="1" applyFont="1"/>
    <xf numFmtId="169" fontId="14" fillId="0" borderId="2" xfId="38" applyNumberFormat="1" applyFont="1" applyBorder="1"/>
    <xf numFmtId="169" fontId="14" fillId="0" borderId="0" xfId="39" applyNumberFormat="1" applyFont="1" applyBorder="1"/>
    <xf numFmtId="0" fontId="20" fillId="0" borderId="0" xfId="21" applyFont="1" applyAlignment="1">
      <alignment horizontal="centerContinuous"/>
    </xf>
    <xf numFmtId="0" fontId="14" fillId="0" borderId="0" xfId="21" applyFont="1" applyAlignment="1">
      <alignment horizontal="centerContinuous"/>
    </xf>
    <xf numFmtId="37" fontId="13" fillId="0" borderId="0" xfId="23" applyFont="1" applyAlignment="1">
      <alignment horizontal="center"/>
    </xf>
    <xf numFmtId="37" fontId="13" fillId="0" borderId="0" xfId="23" applyFont="1"/>
    <xf numFmtId="0" fontId="13" fillId="0" borderId="0" xfId="21" quotePrefix="1" applyFont="1" applyAlignment="1">
      <alignment horizontal="center"/>
    </xf>
    <xf numFmtId="37" fontId="12" fillId="0" borderId="0" xfId="23" applyFont="1"/>
    <xf numFmtId="177" fontId="13" fillId="0" borderId="0" xfId="23" applyNumberFormat="1" applyFont="1" applyAlignment="1">
      <alignment horizontal="center"/>
    </xf>
    <xf numFmtId="37" fontId="13" fillId="0" borderId="0" xfId="24" applyFont="1" applyAlignment="1">
      <alignment horizontal="left" indent="1"/>
    </xf>
    <xf numFmtId="169" fontId="13" fillId="0" borderId="0" xfId="25" applyNumberFormat="1" applyFont="1" applyFill="1" applyBorder="1"/>
    <xf numFmtId="184" fontId="13" fillId="0" borderId="0" xfId="25" applyNumberFormat="1" applyFont="1" applyFill="1" applyBorder="1" applyAlignment="1">
      <alignment horizontal="center"/>
    </xf>
    <xf numFmtId="177" fontId="13" fillId="0" borderId="0" xfId="21" applyNumberFormat="1" applyFont="1" applyAlignment="1">
      <alignment horizontal="center"/>
    </xf>
    <xf numFmtId="177" fontId="13" fillId="0" borderId="0" xfId="26" applyNumberFormat="1" applyFont="1" applyAlignment="1">
      <alignment horizontal="center"/>
    </xf>
    <xf numFmtId="184" fontId="13" fillId="0" borderId="0" xfId="25" applyNumberFormat="1" applyFont="1" applyFill="1" applyBorder="1"/>
    <xf numFmtId="0" fontId="13" fillId="0" borderId="0" xfId="26" applyFont="1"/>
    <xf numFmtId="180" fontId="13" fillId="0" borderId="0" xfId="20" applyNumberFormat="1" applyFont="1" applyFill="1" applyBorder="1" applyAlignment="1">
      <alignment horizontal="right"/>
    </xf>
    <xf numFmtId="37" fontId="12" fillId="0" borderId="0" xfId="24" applyFont="1"/>
    <xf numFmtId="0" fontId="13" fillId="0" borderId="0" xfId="21" quotePrefix="1" applyFont="1" applyAlignment="1">
      <alignment horizontal="center" vertical="top" wrapText="1"/>
    </xf>
    <xf numFmtId="0" fontId="13" fillId="0" borderId="0" xfId="21" quotePrefix="1" applyFont="1" applyAlignment="1">
      <alignment horizontal="left" wrapText="1"/>
    </xf>
    <xf numFmtId="0" fontId="14" fillId="0" borderId="0" xfId="21" quotePrefix="1" applyFont="1" applyAlignment="1">
      <alignment horizontal="center"/>
    </xf>
    <xf numFmtId="185" fontId="14" fillId="0" borderId="0" xfId="36" applyNumberFormat="1" applyFont="1" applyFill="1"/>
    <xf numFmtId="0" fontId="14" fillId="0" borderId="0" xfId="38" applyFont="1" applyAlignment="1">
      <alignment horizontal="center"/>
    </xf>
    <xf numFmtId="0" fontId="13" fillId="0" borderId="0" xfId="1" applyFont="1" applyAlignment="1">
      <alignment horizontal="left" vertical="top" wrapText="1"/>
    </xf>
    <xf numFmtId="0" fontId="32" fillId="0" borderId="0" xfId="38" applyFont="1"/>
    <xf numFmtId="0" fontId="20" fillId="0" borderId="0" xfId="0"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center" vertical="top"/>
    </xf>
    <xf numFmtId="0" fontId="14" fillId="0" borderId="0" xfId="0" quotePrefix="1" applyFont="1" applyAlignment="1">
      <alignment horizontal="center"/>
    </xf>
    <xf numFmtId="169" fontId="14" fillId="0" borderId="0" xfId="0" applyNumberFormat="1" applyFont="1"/>
    <xf numFmtId="169" fontId="14" fillId="0" borderId="2" xfId="0" applyNumberFormat="1" applyFont="1" applyBorder="1"/>
    <xf numFmtId="0" fontId="36" fillId="0" borderId="0" xfId="31" applyFont="1"/>
    <xf numFmtId="0" fontId="13" fillId="0" borderId="0" xfId="31" applyFont="1"/>
    <xf numFmtId="184" fontId="37" fillId="0" borderId="0" xfId="32" applyNumberFormat="1" applyFont="1"/>
    <xf numFmtId="0" fontId="12" fillId="0" borderId="0" xfId="0" applyFont="1" applyAlignment="1">
      <alignment horizontal="center"/>
    </xf>
    <xf numFmtId="0" fontId="13" fillId="0" borderId="0" xfId="31" applyFont="1" applyAlignment="1">
      <alignment horizontal="center"/>
    </xf>
    <xf numFmtId="0" fontId="13" fillId="0" borderId="1" xfId="0" applyFont="1" applyBorder="1" applyAlignment="1">
      <alignment horizontal="center"/>
    </xf>
    <xf numFmtId="0" fontId="13" fillId="0" borderId="1" xfId="38" applyFont="1" applyBorder="1"/>
    <xf numFmtId="0" fontId="12" fillId="0" borderId="0" xfId="31" applyFont="1"/>
    <xf numFmtId="0" fontId="13" fillId="0" borderId="0" xfId="0" quotePrefix="1" applyFont="1" applyAlignment="1">
      <alignment horizontal="center"/>
    </xf>
    <xf numFmtId="169" fontId="13" fillId="0" borderId="0" xfId="30" applyNumberFormat="1" applyFont="1" applyFill="1"/>
    <xf numFmtId="169" fontId="13" fillId="0" borderId="0" xfId="0" applyNumberFormat="1" applyFont="1"/>
    <xf numFmtId="169" fontId="13" fillId="0" borderId="0" xfId="32" applyNumberFormat="1" applyFont="1" applyFill="1"/>
    <xf numFmtId="43" fontId="36" fillId="0" borderId="0" xfId="31" applyNumberFormat="1" applyFont="1"/>
    <xf numFmtId="169" fontId="36" fillId="0" borderId="0" xfId="31" applyNumberFormat="1" applyFont="1"/>
    <xf numFmtId="169" fontId="13" fillId="0" borderId="5" xfId="0" applyNumberFormat="1" applyFont="1" applyBorder="1"/>
    <xf numFmtId="9" fontId="32" fillId="0" borderId="0" xfId="29" applyFont="1"/>
    <xf numFmtId="0" fontId="13" fillId="0" borderId="0" xfId="38" applyFont="1"/>
    <xf numFmtId="169" fontId="14" fillId="0" borderId="3" xfId="38" applyNumberFormat="1" applyFont="1" applyBorder="1"/>
    <xf numFmtId="0" fontId="14" fillId="0" borderId="0" xfId="38" applyFont="1" applyAlignment="1">
      <alignment horizontal="left" wrapText="1"/>
    </xf>
    <xf numFmtId="9" fontId="13" fillId="0" borderId="0" xfId="29" applyFont="1" applyBorder="1"/>
    <xf numFmtId="9" fontId="14" fillId="0" borderId="0" xfId="29" applyFont="1"/>
    <xf numFmtId="165" fontId="14" fillId="0" borderId="0" xfId="10" applyNumberFormat="1" applyFont="1"/>
    <xf numFmtId="169" fontId="13" fillId="0" borderId="4" xfId="0" applyNumberFormat="1" applyFont="1" applyBorder="1"/>
    <xf numFmtId="169" fontId="14" fillId="0" borderId="0" xfId="30" applyNumberFormat="1" applyFont="1" applyFill="1"/>
    <xf numFmtId="170" fontId="14" fillId="0" borderId="0" xfId="35" applyNumberFormat="1" applyFont="1" applyFill="1"/>
    <xf numFmtId="170" fontId="14" fillId="0" borderId="0" xfId="35" applyNumberFormat="1" applyFont="1" applyFill="1" applyBorder="1"/>
    <xf numFmtId="170" fontId="14" fillId="0" borderId="1" xfId="35" applyNumberFormat="1" applyFont="1" applyFill="1" applyBorder="1"/>
    <xf numFmtId="180" fontId="14" fillId="0" borderId="5" xfId="29" applyNumberFormat="1" applyFont="1" applyFill="1" applyBorder="1"/>
    <xf numFmtId="180" fontId="14" fillId="0" borderId="0" xfId="29" applyNumberFormat="1" applyFont="1" applyFill="1" applyBorder="1"/>
    <xf numFmtId="169" fontId="36" fillId="0" borderId="0" xfId="30" applyNumberFormat="1" applyFont="1"/>
    <xf numFmtId="169" fontId="36" fillId="0" borderId="0" xfId="30" applyNumberFormat="1" applyFont="1" applyFill="1"/>
    <xf numFmtId="0" fontId="14" fillId="0" borderId="0" xfId="21" applyFont="1" applyAlignment="1">
      <alignment horizontal="center"/>
    </xf>
    <xf numFmtId="184" fontId="13" fillId="0" borderId="0" xfId="22" applyNumberFormat="1" applyFont="1" applyFill="1" applyBorder="1" applyAlignment="1">
      <alignment horizontal="center"/>
    </xf>
    <xf numFmtId="37" fontId="13" fillId="0" borderId="0" xfId="23" applyFont="1" applyAlignment="1">
      <alignment horizontal="left"/>
    </xf>
    <xf numFmtId="0" fontId="13" fillId="0" borderId="0" xfId="26" applyFont="1" applyAlignment="1">
      <alignment horizontal="left"/>
    </xf>
    <xf numFmtId="169" fontId="13" fillId="0" borderId="3" xfId="25" applyNumberFormat="1" applyFont="1" applyFill="1" applyBorder="1" applyAlignment="1">
      <alignment horizontal="center"/>
    </xf>
    <xf numFmtId="167" fontId="13" fillId="0" borderId="0" xfId="22" applyNumberFormat="1" applyFont="1" applyFill="1" applyBorder="1" applyAlignment="1">
      <alignment horizontal="center"/>
    </xf>
    <xf numFmtId="37" fontId="13" fillId="0" borderId="0" xfId="24" applyFont="1" applyAlignment="1">
      <alignment horizontal="right" indent="1"/>
    </xf>
    <xf numFmtId="10" fontId="14" fillId="0" borderId="0" xfId="21" applyNumberFormat="1" applyFont="1"/>
    <xf numFmtId="167" fontId="14" fillId="0" borderId="0" xfId="21" applyNumberFormat="1" applyFont="1"/>
    <xf numFmtId="0" fontId="14" fillId="0" borderId="0" xfId="21" quotePrefix="1" applyFont="1" applyAlignment="1">
      <alignment horizontal="center" vertical="top"/>
    </xf>
    <xf numFmtId="0" fontId="13" fillId="0" borderId="0" xfId="21" applyFont="1" applyAlignment="1">
      <alignment vertical="top"/>
    </xf>
    <xf numFmtId="0" fontId="29" fillId="0" borderId="0" xfId="21" applyFont="1" applyAlignment="1">
      <alignment horizontal="left"/>
    </xf>
    <xf numFmtId="0" fontId="13" fillId="0" borderId="1" xfId="2" applyBorder="1" applyAlignment="1">
      <alignment horizontal="center"/>
    </xf>
    <xf numFmtId="0" fontId="13" fillId="0" borderId="1" xfId="2" applyBorder="1" applyAlignment="1">
      <alignment horizontal="left"/>
    </xf>
    <xf numFmtId="0" fontId="14" fillId="0" borderId="0" xfId="21" applyFont="1" applyAlignment="1">
      <alignment horizontal="left"/>
    </xf>
    <xf numFmtId="0" fontId="13" fillId="0" borderId="0" xfId="31" quotePrefix="1" applyFont="1" applyAlignment="1">
      <alignment horizontal="center"/>
    </xf>
    <xf numFmtId="44" fontId="13" fillId="0" borderId="0" xfId="28" applyFont="1" applyFill="1" applyBorder="1" applyAlignment="1">
      <alignment horizontal="right"/>
    </xf>
    <xf numFmtId="169" fontId="13" fillId="0" borderId="0" xfId="30" applyNumberFormat="1" applyFont="1" applyFill="1" applyBorder="1" applyAlignment="1">
      <alignment horizontal="right"/>
    </xf>
    <xf numFmtId="166" fontId="12" fillId="0" borderId="0" xfId="7" applyFont="1"/>
    <xf numFmtId="168" fontId="12" fillId="0" borderId="0" xfId="7" applyNumberFormat="1" applyFont="1"/>
    <xf numFmtId="195" fontId="13" fillId="0" borderId="0" xfId="7" applyNumberFormat="1" applyFont="1"/>
    <xf numFmtId="181" fontId="13" fillId="0" borderId="0" xfId="7" applyNumberFormat="1" applyFont="1"/>
    <xf numFmtId="0" fontId="14" fillId="0" borderId="0" xfId="0" applyFont="1" applyAlignment="1">
      <alignment horizontal="right"/>
    </xf>
    <xf numFmtId="0" fontId="13" fillId="0" borderId="0" xfId="43" applyFont="1"/>
    <xf numFmtId="0" fontId="13" fillId="0" borderId="0" xfId="43" applyFont="1" applyAlignment="1">
      <alignment horizontal="center"/>
    </xf>
    <xf numFmtId="0" fontId="13" fillId="0" borderId="1" xfId="43" applyFont="1" applyBorder="1"/>
    <xf numFmtId="169" fontId="13" fillId="0" borderId="0" xfId="43" applyNumberFormat="1" applyFont="1"/>
    <xf numFmtId="0" fontId="14" fillId="0" borderId="0" xfId="46" applyFont="1"/>
    <xf numFmtId="169" fontId="13" fillId="0" borderId="0" xfId="44" applyNumberFormat="1" applyFont="1" applyFill="1"/>
    <xf numFmtId="167" fontId="13" fillId="0" borderId="0" xfId="43" applyNumberFormat="1" applyFont="1"/>
    <xf numFmtId="10" fontId="13" fillId="0" borderId="0" xfId="45" applyNumberFormat="1" applyFont="1" applyFill="1"/>
    <xf numFmtId="10" fontId="13" fillId="0" borderId="3" xfId="43" applyNumberFormat="1" applyFont="1" applyBorder="1"/>
    <xf numFmtId="169" fontId="13" fillId="0" borderId="3" xfId="43" applyNumberFormat="1" applyFont="1" applyBorder="1"/>
    <xf numFmtId="169" fontId="13" fillId="0" borderId="3" xfId="44" applyNumberFormat="1" applyFont="1" applyFill="1" applyBorder="1"/>
    <xf numFmtId="0" fontId="13" fillId="0" borderId="0" xfId="43" quotePrefix="1" applyFont="1"/>
    <xf numFmtId="174" fontId="13" fillId="0" borderId="0" xfId="43" applyNumberFormat="1" applyFont="1"/>
    <xf numFmtId="169" fontId="29" fillId="0" borderId="0" xfId="44" applyNumberFormat="1" applyFont="1" applyFill="1"/>
    <xf numFmtId="0" fontId="13" fillId="0" borderId="0" xfId="43" applyFont="1" applyAlignment="1">
      <alignment horizontal="left"/>
    </xf>
    <xf numFmtId="10" fontId="29" fillId="0" borderId="0" xfId="45" applyNumberFormat="1" applyFont="1" applyFill="1" applyAlignment="1">
      <alignment horizontal="center"/>
    </xf>
    <xf numFmtId="169" fontId="38" fillId="0" borderId="0" xfId="44" applyNumberFormat="1" applyFont="1" applyFill="1"/>
    <xf numFmtId="0" fontId="13" fillId="0" borderId="0" xfId="43" quotePrefix="1" applyFont="1" applyAlignment="1">
      <alignment horizontal="center"/>
    </xf>
    <xf numFmtId="169" fontId="13" fillId="0" borderId="3" xfId="44" applyNumberFormat="1" applyFont="1" applyFill="1" applyBorder="1" applyAlignment="1">
      <alignment horizontal="left"/>
    </xf>
    <xf numFmtId="0" fontId="14" fillId="0" borderId="0" xfId="0" quotePrefix="1" applyFont="1" applyAlignment="1">
      <alignment horizontal="left"/>
    </xf>
    <xf numFmtId="189" fontId="13" fillId="0" borderId="0" xfId="7" applyNumberFormat="1" applyFont="1"/>
    <xf numFmtId="0" fontId="14" fillId="0" borderId="0" xfId="10" applyFont="1" applyAlignment="1">
      <alignment horizontal="center"/>
    </xf>
    <xf numFmtId="168" fontId="13" fillId="0" borderId="0" xfId="7" quotePrefix="1" applyNumberFormat="1" applyFont="1" applyAlignment="1">
      <alignment horizontal="center"/>
    </xf>
    <xf numFmtId="0" fontId="13" fillId="0" borderId="1" xfId="7" quotePrefix="1" applyNumberFormat="1" applyFont="1" applyBorder="1" applyAlignment="1">
      <alignment horizontal="center"/>
    </xf>
    <xf numFmtId="1" fontId="13" fillId="0" borderId="0" xfId="7" applyNumberFormat="1" applyFont="1" applyAlignment="1">
      <alignment horizontal="left"/>
    </xf>
    <xf numFmtId="0" fontId="13" fillId="0" borderId="0" xfId="10" applyFont="1" applyAlignment="1">
      <alignment horizontal="center"/>
    </xf>
    <xf numFmtId="37" fontId="13" fillId="0" borderId="0" xfId="40" applyFont="1"/>
    <xf numFmtId="167" fontId="13" fillId="0" borderId="0" xfId="7" applyNumberFormat="1" applyFont="1"/>
    <xf numFmtId="166" fontId="12" fillId="0" borderId="0" xfId="7" quotePrefix="1" applyFont="1" applyAlignment="1">
      <alignment horizontal="center"/>
    </xf>
    <xf numFmtId="166" fontId="12" fillId="0" borderId="0" xfId="7" applyFont="1" applyAlignment="1">
      <alignment horizontal="center"/>
    </xf>
    <xf numFmtId="43" fontId="13" fillId="0" borderId="0" xfId="7" applyNumberFormat="1" applyFont="1"/>
    <xf numFmtId="0" fontId="26" fillId="0" borderId="0" xfId="17"/>
    <xf numFmtId="166" fontId="44" fillId="0" borderId="0" xfId="7" applyFont="1"/>
    <xf numFmtId="166" fontId="13" fillId="0" borderId="0" xfId="7" quotePrefix="1" applyFont="1" applyAlignment="1">
      <alignment horizontal="right"/>
    </xf>
    <xf numFmtId="0" fontId="26" fillId="0" borderId="0" xfId="17" applyAlignment="1">
      <alignment horizontal="center"/>
    </xf>
    <xf numFmtId="0" fontId="13" fillId="0" borderId="0" xfId="7" quotePrefix="1" applyNumberFormat="1" applyFont="1" applyAlignment="1">
      <alignment horizontal="center"/>
    </xf>
    <xf numFmtId="9" fontId="13" fillId="0" borderId="0" xfId="29" applyFont="1"/>
    <xf numFmtId="0" fontId="13" fillId="0" borderId="0" xfId="17" applyFont="1" applyAlignment="1">
      <alignment horizontal="right"/>
    </xf>
    <xf numFmtId="0" fontId="40" fillId="0" borderId="0" xfId="0" applyFont="1"/>
    <xf numFmtId="169" fontId="14" fillId="0" borderId="0" xfId="47" applyNumberFormat="1" applyFont="1" applyFill="1"/>
    <xf numFmtId="184" fontId="14" fillId="0" borderId="0" xfId="47" applyNumberFormat="1" applyFont="1" applyFill="1"/>
    <xf numFmtId="169" fontId="0" fillId="0" borderId="0" xfId="47" applyNumberFormat="1" applyFont="1" applyFill="1"/>
    <xf numFmtId="169" fontId="14" fillId="0" borderId="4" xfId="47" applyNumberFormat="1" applyFont="1" applyFill="1" applyBorder="1"/>
    <xf numFmtId="184" fontId="14" fillId="0" borderId="4" xfId="47" applyNumberFormat="1" applyFont="1" applyFill="1" applyBorder="1"/>
    <xf numFmtId="49" fontId="14" fillId="0" borderId="0" xfId="0" applyNumberFormat="1" applyFont="1" applyAlignment="1">
      <alignment horizontal="center"/>
    </xf>
    <xf numFmtId="169" fontId="14" fillId="0" borderId="3" xfId="47" applyNumberFormat="1" applyFont="1" applyFill="1" applyBorder="1"/>
    <xf numFmtId="184" fontId="14" fillId="0" borderId="3" xfId="47" applyNumberFormat="1" applyFont="1" applyFill="1" applyBorder="1"/>
    <xf numFmtId="169" fontId="14" fillId="0" borderId="0" xfId="47" applyNumberFormat="1" applyFont="1" applyFill="1" applyBorder="1"/>
    <xf numFmtId="169" fontId="41" fillId="0" borderId="0" xfId="47" applyNumberFormat="1" applyFont="1" applyFill="1" applyBorder="1"/>
    <xf numFmtId="184" fontId="14" fillId="0" borderId="0" xfId="47" applyNumberFormat="1" applyFont="1" applyFill="1" applyBorder="1"/>
    <xf numFmtId="0" fontId="13" fillId="5" borderId="0" xfId="43" applyFont="1" applyFill="1" applyAlignment="1">
      <alignment horizontal="center"/>
    </xf>
    <xf numFmtId="0" fontId="20" fillId="0" borderId="0" xfId="0" applyFont="1" applyAlignment="1">
      <alignment horizontal="left"/>
    </xf>
    <xf numFmtId="0" fontId="12" fillId="0" borderId="0" xfId="17" applyFont="1"/>
    <xf numFmtId="0" fontId="20" fillId="0" borderId="0" xfId="0" applyFont="1"/>
    <xf numFmtId="0" fontId="13" fillId="5" borderId="1" xfId="43" applyFont="1" applyFill="1" applyBorder="1" applyAlignment="1">
      <alignment horizontal="center"/>
    </xf>
    <xf numFmtId="0" fontId="13" fillId="0" borderId="0" xfId="49"/>
    <xf numFmtId="0" fontId="13" fillId="0" borderId="0" xfId="49" applyAlignment="1">
      <alignment horizontal="center"/>
    </xf>
    <xf numFmtId="0" fontId="13" fillId="0" borderId="1" xfId="49" applyBorder="1" applyAlignment="1">
      <alignment horizontal="center"/>
    </xf>
    <xf numFmtId="0" fontId="13" fillId="0" borderId="0" xfId="43" quotePrefix="1" applyFont="1" applyAlignment="1">
      <alignment horizontal="right"/>
    </xf>
    <xf numFmtId="0" fontId="13" fillId="0" borderId="0" xfId="43" quotePrefix="1" applyFont="1" applyAlignment="1">
      <alignment horizontal="left"/>
    </xf>
    <xf numFmtId="0" fontId="14" fillId="0" borderId="0" xfId="46" applyFont="1" applyAlignment="1">
      <alignment horizontal="left"/>
    </xf>
    <xf numFmtId="0" fontId="14" fillId="0" borderId="0" xfId="46" applyFont="1" applyAlignment="1">
      <alignment horizontal="left" indent="1"/>
    </xf>
    <xf numFmtId="0" fontId="14" fillId="0" borderId="0" xfId="46" applyFont="1" applyAlignment="1">
      <alignment horizontal="center"/>
    </xf>
    <xf numFmtId="174" fontId="14" fillId="0" borderId="0" xfId="46" applyNumberFormat="1" applyFont="1" applyAlignment="1">
      <alignment horizontal="center"/>
    </xf>
    <xf numFmtId="0" fontId="14" fillId="0" borderId="0" xfId="46" applyFont="1" applyAlignment="1">
      <alignment horizontal="left" indent="2"/>
    </xf>
    <xf numFmtId="198" fontId="17" fillId="0" borderId="0" xfId="46" applyNumberFormat="1" applyFont="1" applyAlignment="1">
      <alignment horizontal="center"/>
    </xf>
    <xf numFmtId="0" fontId="14" fillId="0" borderId="0" xfId="46" applyFont="1" applyAlignment="1">
      <alignment horizontal="right"/>
    </xf>
    <xf numFmtId="0" fontId="16" fillId="0" borderId="0" xfId="0" applyFont="1"/>
    <xf numFmtId="174" fontId="46" fillId="0" borderId="0" xfId="0" applyNumberFormat="1" applyFont="1"/>
    <xf numFmtId="198" fontId="14" fillId="0" borderId="0" xfId="46" applyNumberFormat="1" applyFont="1"/>
    <xf numFmtId="184" fontId="13" fillId="0" borderId="0" xfId="44" applyNumberFormat="1" applyFont="1" applyFill="1" applyBorder="1"/>
    <xf numFmtId="9" fontId="46" fillId="0" borderId="0" xfId="0" applyNumberFormat="1" applyFont="1"/>
    <xf numFmtId="10" fontId="46" fillId="0" borderId="0" xfId="50" applyNumberFormat="1" applyFont="1" applyFill="1" applyBorder="1"/>
    <xf numFmtId="198" fontId="22" fillId="0" borderId="0" xfId="0" applyNumberFormat="1" applyFont="1"/>
    <xf numFmtId="189" fontId="14" fillId="0" borderId="0" xfId="29" applyNumberFormat="1" applyFont="1" applyFill="1" applyBorder="1"/>
    <xf numFmtId="184" fontId="14" fillId="0" borderId="0" xfId="30" applyNumberFormat="1" applyFont="1" applyFill="1" applyBorder="1"/>
    <xf numFmtId="184" fontId="14" fillId="0" borderId="0" xfId="46" applyNumberFormat="1" applyFont="1"/>
    <xf numFmtId="200" fontId="13" fillId="0" borderId="0" xfId="20" applyNumberFormat="1" applyFont="1" applyFill="1"/>
    <xf numFmtId="200" fontId="13" fillId="0" borderId="0" xfId="20" applyNumberFormat="1" applyFont="1" applyFill="1" applyAlignment="1">
      <alignment horizontal="right"/>
    </xf>
    <xf numFmtId="200" fontId="13" fillId="0" borderId="0" xfId="20" applyNumberFormat="1" applyFont="1" applyFill="1" applyBorder="1"/>
    <xf numFmtId="200" fontId="13" fillId="0" borderId="4" xfId="20" applyNumberFormat="1" applyFont="1" applyFill="1" applyBorder="1"/>
    <xf numFmtId="170" fontId="13" fillId="0" borderId="0" xfId="21" applyNumberFormat="1" applyFont="1"/>
    <xf numFmtId="201" fontId="13" fillId="0" borderId="0" xfId="28" applyNumberFormat="1" applyFont="1"/>
    <xf numFmtId="201" fontId="28" fillId="0" borderId="0" xfId="28" applyNumberFormat="1" applyFont="1"/>
    <xf numFmtId="181" fontId="14" fillId="0" borderId="0" xfId="0" applyNumberFormat="1" applyFont="1"/>
    <xf numFmtId="43" fontId="14" fillId="0" borderId="0" xfId="30" applyFont="1" applyAlignment="1">
      <alignment horizontal="left"/>
    </xf>
    <xf numFmtId="184" fontId="13" fillId="0" borderId="0" xfId="30" applyNumberFormat="1" applyFont="1"/>
    <xf numFmtId="0" fontId="14" fillId="0" borderId="0" xfId="42" applyFont="1"/>
    <xf numFmtId="0" fontId="12" fillId="0" borderId="0" xfId="43" applyFont="1"/>
    <xf numFmtId="196" fontId="13" fillId="0" borderId="4" xfId="43" applyNumberFormat="1" applyFont="1" applyBorder="1"/>
    <xf numFmtId="197" fontId="13" fillId="0" borderId="0" xfId="43" applyNumberFormat="1" applyFont="1"/>
    <xf numFmtId="197" fontId="13" fillId="0" borderId="4" xfId="43" applyNumberFormat="1" applyFont="1" applyBorder="1"/>
    <xf numFmtId="197" fontId="13" fillId="0" borderId="3" xfId="43" applyNumberFormat="1" applyFont="1" applyBorder="1"/>
    <xf numFmtId="184" fontId="14" fillId="0" borderId="0" xfId="42" applyNumberFormat="1" applyFont="1"/>
    <xf numFmtId="169" fontId="14" fillId="0" borderId="0" xfId="42" applyNumberFormat="1" applyFont="1"/>
    <xf numFmtId="169" fontId="29" fillId="0" borderId="0" xfId="43" applyNumberFormat="1" applyFont="1"/>
    <xf numFmtId="184" fontId="38" fillId="0" borderId="0" xfId="43" applyNumberFormat="1" applyFont="1"/>
    <xf numFmtId="42" fontId="13" fillId="0" borderId="0" xfId="43" applyNumberFormat="1" applyFont="1"/>
    <xf numFmtId="169" fontId="13" fillId="0" borderId="3" xfId="44" applyNumberFormat="1" applyFont="1" applyFill="1" applyBorder="1" applyAlignment="1">
      <alignment horizontal="right"/>
    </xf>
    <xf numFmtId="0" fontId="42" fillId="0" borderId="0" xfId="43" applyFont="1" applyAlignment="1">
      <alignment horizontal="center"/>
    </xf>
    <xf numFmtId="10" fontId="29" fillId="0" borderId="0" xfId="45" applyNumberFormat="1" applyFont="1" applyFill="1" applyBorder="1" applyAlignment="1">
      <alignment horizontal="center"/>
    </xf>
    <xf numFmtId="0" fontId="29" fillId="0" borderId="0" xfId="43" applyFont="1"/>
    <xf numFmtId="0" fontId="14" fillId="0" borderId="0" xfId="46" applyFont="1" applyAlignment="1">
      <alignment horizontal="right" indent="2"/>
    </xf>
    <xf numFmtId="0" fontId="12" fillId="0" borderId="0" xfId="43" applyFont="1" applyAlignment="1">
      <alignment horizontal="center"/>
    </xf>
    <xf numFmtId="174" fontId="40" fillId="0" borderId="0" xfId="46" applyNumberFormat="1" applyFont="1" applyAlignment="1">
      <alignment horizontal="center"/>
    </xf>
    <xf numFmtId="0" fontId="29" fillId="0" borderId="0" xfId="43" applyFont="1" applyAlignment="1">
      <alignment horizontal="left" vertical="top" wrapText="1"/>
    </xf>
    <xf numFmtId="10" fontId="13" fillId="0" borderId="0" xfId="43" applyNumberFormat="1" applyFont="1"/>
    <xf numFmtId="0" fontId="13" fillId="0" borderId="0" xfId="42" applyFont="1"/>
    <xf numFmtId="0" fontId="13" fillId="0" borderId="1" xfId="1" applyFont="1" applyBorder="1" applyAlignment="1">
      <alignment horizontal="center" wrapText="1"/>
    </xf>
    <xf numFmtId="43" fontId="14" fillId="0" borderId="0" xfId="30" applyFont="1" applyFill="1" applyAlignment="1">
      <alignment horizontal="left"/>
    </xf>
    <xf numFmtId="197" fontId="13" fillId="0" borderId="3" xfId="42" applyNumberFormat="1" applyFont="1" applyBorder="1"/>
    <xf numFmtId="199" fontId="13" fillId="0" borderId="4" xfId="38" applyNumberFormat="1" applyFont="1" applyBorder="1"/>
    <xf numFmtId="0" fontId="13" fillId="0" borderId="1" xfId="21" applyFont="1" applyBorder="1"/>
    <xf numFmtId="186" fontId="13" fillId="0" borderId="0" xfId="21" applyNumberFormat="1" applyFont="1"/>
    <xf numFmtId="43" fontId="13" fillId="0" borderId="0" xfId="21" applyNumberFormat="1" applyFont="1" applyAlignment="1">
      <alignment horizontal="right"/>
    </xf>
    <xf numFmtId="4" fontId="13" fillId="0" borderId="0" xfId="21" applyNumberFormat="1" applyFont="1"/>
    <xf numFmtId="3" fontId="13" fillId="0" borderId="4" xfId="21" applyNumberFormat="1" applyFont="1" applyBorder="1"/>
    <xf numFmtId="186" fontId="13" fillId="0" borderId="4" xfId="21" applyNumberFormat="1" applyFont="1" applyBorder="1"/>
    <xf numFmtId="43" fontId="13" fillId="0" borderId="4" xfId="21" applyNumberFormat="1" applyFont="1" applyBorder="1" applyAlignment="1">
      <alignment horizontal="right"/>
    </xf>
    <xf numFmtId="200" fontId="13" fillId="0" borderId="4" xfId="21" applyNumberFormat="1" applyFont="1" applyBorder="1"/>
    <xf numFmtId="200" fontId="13" fillId="0" borderId="0" xfId="21" applyNumberFormat="1" applyFont="1"/>
    <xf numFmtId="187" fontId="13" fillId="0" borderId="4" xfId="21" applyNumberFormat="1" applyFont="1" applyBorder="1"/>
    <xf numFmtId="200" fontId="13" fillId="0" borderId="2" xfId="21" applyNumberFormat="1" applyFont="1" applyBorder="1"/>
    <xf numFmtId="3" fontId="13" fillId="0" borderId="0" xfId="21" applyNumberFormat="1" applyFont="1" applyAlignment="1">
      <alignment horizontal="center"/>
    </xf>
    <xf numFmtId="200" fontId="13" fillId="0" borderId="0" xfId="21" applyNumberFormat="1" applyFont="1" applyAlignment="1">
      <alignment horizontal="center"/>
    </xf>
    <xf numFmtId="169" fontId="13" fillId="0" borderId="0" xfId="21" applyNumberFormat="1" applyFont="1" applyAlignment="1">
      <alignment horizontal="right"/>
    </xf>
    <xf numFmtId="169" fontId="13" fillId="0" borderId="0" xfId="25" applyNumberFormat="1" applyFont="1" applyFill="1"/>
    <xf numFmtId="167" fontId="13" fillId="0" borderId="0" xfId="25" applyNumberFormat="1" applyFont="1" applyFill="1"/>
    <xf numFmtId="43" fontId="13" fillId="0" borderId="0" xfId="21" applyNumberFormat="1" applyFont="1" applyAlignment="1">
      <alignment horizontal="center"/>
    </xf>
    <xf numFmtId="43" fontId="13" fillId="0" borderId="4" xfId="21" applyNumberFormat="1" applyFont="1" applyBorder="1"/>
    <xf numFmtId="167" fontId="13" fillId="0" borderId="0" xfId="21" applyNumberFormat="1" applyFont="1"/>
    <xf numFmtId="0" fontId="13" fillId="0" borderId="0" xfId="1" applyFont="1" applyAlignment="1">
      <alignment vertical="top"/>
    </xf>
    <xf numFmtId="0" fontId="20" fillId="0" borderId="0" xfId="10" applyFont="1"/>
    <xf numFmtId="200" fontId="13" fillId="0" borderId="0" xfId="10" applyNumberFormat="1" applyFont="1" applyAlignment="1" applyProtection="1">
      <alignment horizontal="center"/>
      <protection locked="0"/>
    </xf>
    <xf numFmtId="200" fontId="13" fillId="0" borderId="1" xfId="11" applyNumberFormat="1" applyBorder="1" applyAlignment="1" applyProtection="1">
      <alignment horizontal="center"/>
      <protection locked="0"/>
    </xf>
    <xf numFmtId="200" fontId="13" fillId="0" borderId="0" xfId="10" quotePrefix="1" applyNumberFormat="1" applyFont="1" applyAlignment="1" applyProtection="1">
      <alignment horizontal="center"/>
      <protection locked="0"/>
    </xf>
    <xf numFmtId="0" fontId="14" fillId="2" borderId="0" xfId="46" applyFont="1" applyFill="1"/>
    <xf numFmtId="0" fontId="14" fillId="2" borderId="0" xfId="10" applyFont="1" applyFill="1"/>
    <xf numFmtId="0" fontId="12" fillId="0" borderId="0" xfId="1" applyFont="1" applyAlignment="1">
      <alignment horizontal="center"/>
    </xf>
    <xf numFmtId="180" fontId="13" fillId="0" borderId="0" xfId="29" applyNumberFormat="1" applyFont="1"/>
    <xf numFmtId="180" fontId="13" fillId="0" borderId="0" xfId="29" applyNumberFormat="1" applyFont="1" applyFill="1"/>
    <xf numFmtId="180" fontId="13" fillId="0" borderId="0" xfId="29" applyNumberFormat="1" applyFont="1" applyFill="1" applyBorder="1" applyAlignment="1">
      <alignment horizontal="right"/>
    </xf>
    <xf numFmtId="180" fontId="13" fillId="0" borderId="0" xfId="1" applyNumberFormat="1" applyFont="1"/>
    <xf numFmtId="180" fontId="13" fillId="0" borderId="4" xfId="29" applyNumberFormat="1" applyFont="1" applyFill="1" applyBorder="1"/>
    <xf numFmtId="180" fontId="13" fillId="0" borderId="0" xfId="29" applyNumberFormat="1" applyFont="1" applyFill="1" applyBorder="1"/>
    <xf numFmtId="183" fontId="28" fillId="0" borderId="0" xfId="2" applyNumberFormat="1" applyFont="1" applyAlignment="1">
      <alignment horizontal="right"/>
    </xf>
    <xf numFmtId="9" fontId="13" fillId="0" borderId="0" xfId="20" applyFont="1" applyFill="1" applyBorder="1"/>
    <xf numFmtId="180" fontId="13" fillId="0" borderId="4" xfId="29" applyNumberFormat="1" applyFont="1" applyFill="1" applyBorder="1" applyAlignment="1">
      <alignment horizontal="right"/>
    </xf>
    <xf numFmtId="180" fontId="13" fillId="0" borderId="3" xfId="29" applyNumberFormat="1" applyFont="1" applyFill="1" applyBorder="1" applyAlignment="1">
      <alignment horizontal="right"/>
    </xf>
    <xf numFmtId="180" fontId="13" fillId="0" borderId="3" xfId="29" applyNumberFormat="1" applyFont="1" applyFill="1" applyBorder="1"/>
    <xf numFmtId="44" fontId="14" fillId="0" borderId="0" xfId="28" applyFont="1" applyAlignment="1">
      <alignment horizontal="left"/>
    </xf>
    <xf numFmtId="7" fontId="14" fillId="0" borderId="0" xfId="0" applyNumberFormat="1" applyFont="1" applyAlignment="1">
      <alignment horizontal="left"/>
    </xf>
    <xf numFmtId="185" fontId="13" fillId="0" borderId="0" xfId="27" applyNumberFormat="1" applyFont="1" applyFill="1"/>
    <xf numFmtId="169" fontId="14" fillId="0" borderId="0" xfId="35" applyNumberFormat="1" applyFont="1" applyFill="1"/>
    <xf numFmtId="169" fontId="14" fillId="0" borderId="0" xfId="35" applyNumberFormat="1" applyFont="1" applyFill="1" applyBorder="1"/>
    <xf numFmtId="0" fontId="13" fillId="0" borderId="4" xfId="0" applyFont="1" applyBorder="1" applyAlignment="1">
      <alignment horizontal="center"/>
    </xf>
    <xf numFmtId="169" fontId="13" fillId="0" borderId="0" xfId="32" applyNumberFormat="1" applyFont="1" applyFill="1" applyBorder="1"/>
    <xf numFmtId="169" fontId="13" fillId="0" borderId="0" xfId="31" applyNumberFormat="1" applyFont="1"/>
    <xf numFmtId="10" fontId="13" fillId="6" borderId="0" xfId="33" applyNumberFormat="1" applyFont="1" applyFill="1" applyBorder="1"/>
    <xf numFmtId="164" fontId="13" fillId="0" borderId="4" xfId="1" applyNumberFormat="1" applyFont="1" applyBorder="1"/>
    <xf numFmtId="0" fontId="13" fillId="0" borderId="1" xfId="1" applyFont="1" applyBorder="1"/>
    <xf numFmtId="0" fontId="48" fillId="0" borderId="0" xfId="0" applyFont="1"/>
    <xf numFmtId="164" fontId="14" fillId="0" borderId="0" xfId="10" applyNumberFormat="1" applyFont="1" applyAlignment="1">
      <alignment horizontal="right"/>
    </xf>
    <xf numFmtId="164" fontId="13" fillId="0" borderId="4" xfId="4" applyNumberFormat="1" applyFont="1" applyFill="1" applyBorder="1" applyAlignment="1">
      <alignment horizontal="right"/>
    </xf>
    <xf numFmtId="0" fontId="14" fillId="0" borderId="0" xfId="10" applyFont="1" applyAlignment="1">
      <alignment horizontal="right"/>
    </xf>
    <xf numFmtId="9" fontId="13" fillId="0" borderId="0" xfId="29" applyFont="1" applyAlignment="1"/>
    <xf numFmtId="43" fontId="14" fillId="0" borderId="0" xfId="0" applyNumberFormat="1" applyFont="1" applyAlignment="1">
      <alignment horizontal="left"/>
    </xf>
    <xf numFmtId="0" fontId="13" fillId="0" borderId="1" xfId="43" applyFont="1" applyBorder="1" applyAlignment="1">
      <alignment horizontal="right"/>
    </xf>
    <xf numFmtId="0" fontId="13" fillId="0" borderId="0" xfId="43" applyFont="1" applyAlignment="1">
      <alignment horizontal="right"/>
    </xf>
    <xf numFmtId="37" fontId="13" fillId="0" borderId="0" xfId="40" applyFont="1" applyAlignment="1">
      <alignment horizontal="left" indent="1"/>
    </xf>
    <xf numFmtId="37" fontId="13" fillId="0" borderId="0" xfId="40" applyFont="1" applyAlignment="1">
      <alignment horizontal="left" indent="2"/>
    </xf>
    <xf numFmtId="37" fontId="13" fillId="5" borderId="0" xfId="40" applyFont="1" applyFill="1" applyAlignment="1">
      <alignment horizontal="left"/>
    </xf>
    <xf numFmtId="184" fontId="13" fillId="0" borderId="0" xfId="30" applyNumberFormat="1" applyFont="1" applyFill="1"/>
    <xf numFmtId="0" fontId="14" fillId="0" borderId="0" xfId="10" quotePrefix="1" applyFont="1" applyAlignment="1">
      <alignment horizontal="center"/>
    </xf>
    <xf numFmtId="204" fontId="14" fillId="0" borderId="0" xfId="41" applyNumberFormat="1" applyFont="1" applyAlignment="1">
      <alignment horizontal="right"/>
    </xf>
    <xf numFmtId="184" fontId="14" fillId="0" borderId="0" xfId="30" applyNumberFormat="1" applyFont="1" applyFill="1" applyAlignment="1">
      <alignment horizontal="left"/>
    </xf>
    <xf numFmtId="184" fontId="13" fillId="0" borderId="0" xfId="7" applyNumberFormat="1" applyFont="1"/>
    <xf numFmtId="184" fontId="14" fillId="0" borderId="0" xfId="30" applyNumberFormat="1" applyFont="1" applyAlignment="1">
      <alignment horizontal="left"/>
    </xf>
    <xf numFmtId="184" fontId="13" fillId="0" borderId="0" xfId="43" applyNumberFormat="1" applyFont="1"/>
    <xf numFmtId="177" fontId="12" fillId="0" borderId="0" xfId="7" applyNumberFormat="1" applyFont="1"/>
    <xf numFmtId="166" fontId="12" fillId="0" borderId="0" xfId="7" applyFont="1" applyAlignment="1">
      <alignment horizontal="left"/>
    </xf>
    <xf numFmtId="0" fontId="13" fillId="0" borderId="0" xfId="0" applyFont="1" applyAlignment="1">
      <alignment horizontal="left"/>
    </xf>
    <xf numFmtId="169" fontId="14" fillId="0" borderId="0" xfId="46" applyNumberFormat="1" applyFont="1"/>
    <xf numFmtId="0" fontId="13" fillId="0" borderId="1" xfId="10" applyFont="1" applyBorder="1" applyAlignment="1" applyProtection="1">
      <alignment horizontal="center"/>
      <protection locked="0"/>
    </xf>
    <xf numFmtId="0" fontId="13" fillId="0" borderId="1" xfId="43" applyFont="1" applyBorder="1" applyAlignment="1">
      <alignment horizontal="center"/>
    </xf>
    <xf numFmtId="0" fontId="13" fillId="0" borderId="1" xfId="0" applyFont="1" applyBorder="1"/>
    <xf numFmtId="182" fontId="13" fillId="0" borderId="0" xfId="20" applyNumberFormat="1" applyFont="1" applyFill="1" applyBorder="1" applyAlignment="1">
      <alignment horizontal="right"/>
    </xf>
    <xf numFmtId="181" fontId="13" fillId="0" borderId="0" xfId="2" applyNumberFormat="1" applyAlignment="1">
      <alignment horizontal="right"/>
    </xf>
    <xf numFmtId="0" fontId="13" fillId="0" borderId="0" xfId="2" applyAlignment="1">
      <alignment horizontal="left" indent="1"/>
    </xf>
    <xf numFmtId="183" fontId="13" fillId="0" borderId="0" xfId="2" applyNumberFormat="1" applyAlignment="1">
      <alignment horizontal="right"/>
    </xf>
    <xf numFmtId="0" fontId="37" fillId="0" borderId="0" xfId="0" applyFont="1"/>
    <xf numFmtId="164" fontId="13" fillId="0" borderId="3" xfId="2" applyNumberFormat="1" applyBorder="1" applyAlignment="1">
      <alignment horizontal="right"/>
    </xf>
    <xf numFmtId="200" fontId="13" fillId="0" borderId="0" xfId="13" applyNumberFormat="1" applyFont="1" applyAlignment="1">
      <alignment horizontal="right"/>
    </xf>
    <xf numFmtId="200" fontId="13" fillId="0" borderId="4" xfId="13" applyNumberFormat="1" applyFont="1" applyBorder="1" applyAlignment="1">
      <alignment horizontal="right"/>
    </xf>
    <xf numFmtId="200" fontId="13" fillId="0" borderId="0" xfId="13" applyNumberFormat="1" applyFont="1" applyBorder="1" applyAlignment="1">
      <alignment horizontal="right"/>
    </xf>
    <xf numFmtId="0" fontId="20" fillId="0" borderId="0" xfId="10" applyFont="1" applyAlignment="1">
      <alignment horizontal="left"/>
    </xf>
    <xf numFmtId="0" fontId="14" fillId="0" borderId="0" xfId="10" applyFont="1" applyAlignment="1">
      <alignment horizontal="left" indent="1"/>
    </xf>
    <xf numFmtId="169" fontId="14" fillId="0" borderId="0" xfId="12" applyNumberFormat="1" applyFont="1" applyBorder="1"/>
    <xf numFmtId="167" fontId="14" fillId="0" borderId="0" xfId="12" applyNumberFormat="1" applyFont="1" applyBorder="1"/>
    <xf numFmtId="0" fontId="14" fillId="0" borderId="0" xfId="10" applyFont="1" applyAlignment="1">
      <alignment horizontal="left"/>
    </xf>
    <xf numFmtId="43" fontId="14" fillId="0" borderId="0" xfId="10" applyNumberFormat="1" applyFont="1"/>
    <xf numFmtId="43" fontId="14" fillId="0" borderId="0" xfId="12" applyFont="1" applyBorder="1"/>
    <xf numFmtId="0" fontId="12" fillId="0" borderId="0" xfId="10" applyFont="1" applyAlignment="1">
      <alignment horizontal="center"/>
    </xf>
    <xf numFmtId="0" fontId="13" fillId="0" borderId="1" xfId="10" applyFont="1" applyBorder="1"/>
    <xf numFmtId="0" fontId="12" fillId="0" borderId="0" xfId="10" applyFont="1" applyAlignment="1">
      <alignment horizontal="left"/>
    </xf>
    <xf numFmtId="200" fontId="13" fillId="0" borderId="0" xfId="10" applyNumberFormat="1" applyFont="1"/>
    <xf numFmtId="0" fontId="13" fillId="0" borderId="0" xfId="10" applyFont="1" applyAlignment="1">
      <alignment horizontal="left" indent="1"/>
    </xf>
    <xf numFmtId="0" fontId="13" fillId="0" borderId="0" xfId="10" applyFont="1" applyAlignment="1">
      <alignment horizontal="right"/>
    </xf>
    <xf numFmtId="169" fontId="13" fillId="0" borderId="0" xfId="12" applyNumberFormat="1" applyFont="1" applyFill="1" applyBorder="1" applyAlignment="1">
      <alignment horizontal="right"/>
    </xf>
    <xf numFmtId="169" fontId="13" fillId="0" borderId="0" xfId="10" applyNumberFormat="1" applyFont="1" applyAlignment="1">
      <alignment horizontal="right"/>
    </xf>
    <xf numFmtId="0" fontId="13" fillId="0" borderId="0" xfId="10" applyFont="1" applyAlignment="1">
      <alignment horizontal="left"/>
    </xf>
    <xf numFmtId="169" fontId="13" fillId="0" borderId="2" xfId="12" applyNumberFormat="1" applyFont="1" applyBorder="1" applyAlignment="1">
      <alignment horizontal="right"/>
    </xf>
    <xf numFmtId="169" fontId="13" fillId="0" borderId="2" xfId="10" applyNumberFormat="1" applyFont="1" applyBorder="1" applyAlignment="1">
      <alignment horizontal="right"/>
    </xf>
    <xf numFmtId="200" fontId="13" fillId="0" borderId="2" xfId="13" applyNumberFormat="1" applyFont="1" applyBorder="1" applyAlignment="1">
      <alignment horizontal="right"/>
    </xf>
    <xf numFmtId="169" fontId="13" fillId="0" borderId="0" xfId="12" applyNumberFormat="1" applyFont="1" applyAlignment="1">
      <alignment horizontal="right"/>
    </xf>
    <xf numFmtId="200" fontId="13" fillId="0" borderId="0" xfId="10" applyNumberFormat="1" applyFont="1" applyAlignment="1">
      <alignment horizontal="right"/>
    </xf>
    <xf numFmtId="169" fontId="13" fillId="0" borderId="3" xfId="12" applyNumberFormat="1" applyFont="1" applyBorder="1" applyAlignment="1">
      <alignment horizontal="right"/>
    </xf>
    <xf numFmtId="169" fontId="13" fillId="0" borderId="3" xfId="10" applyNumberFormat="1" applyFont="1" applyBorder="1" applyAlignment="1">
      <alignment horizontal="right"/>
    </xf>
    <xf numFmtId="200" fontId="13" fillId="0" borderId="3" xfId="13" applyNumberFormat="1" applyFont="1" applyBorder="1" applyAlignment="1">
      <alignment horizontal="right"/>
    </xf>
    <xf numFmtId="0" fontId="13" fillId="0" borderId="0" xfId="10" quotePrefix="1" applyFont="1"/>
    <xf numFmtId="0" fontId="12" fillId="0" borderId="0" xfId="10" applyFont="1"/>
    <xf numFmtId="164" fontId="13" fillId="0" borderId="0" xfId="10" applyNumberFormat="1" applyFont="1"/>
    <xf numFmtId="164" fontId="13" fillId="0" borderId="4" xfId="10" applyNumberFormat="1" applyFont="1" applyBorder="1" applyAlignment="1">
      <alignment horizontal="right"/>
    </xf>
    <xf numFmtId="164" fontId="13" fillId="0" borderId="0" xfId="10" applyNumberFormat="1" applyFont="1" applyAlignment="1">
      <alignment horizontal="right"/>
    </xf>
    <xf numFmtId="165" fontId="13" fillId="0" borderId="4" xfId="10" applyNumberFormat="1" applyFont="1" applyBorder="1" applyAlignment="1">
      <alignment horizontal="right"/>
    </xf>
    <xf numFmtId="164" fontId="13" fillId="0" borderId="0" xfId="10" applyNumberFormat="1" applyFont="1" applyAlignment="1">
      <alignment horizontal="center"/>
    </xf>
    <xf numFmtId="165" fontId="13" fillId="0" borderId="0" xfId="10" applyNumberFormat="1" applyFont="1" applyAlignment="1">
      <alignment horizontal="right"/>
    </xf>
    <xf numFmtId="169" fontId="13" fillId="0" borderId="0" xfId="30" applyNumberFormat="1" applyFont="1" applyAlignment="1">
      <alignment horizontal="right"/>
    </xf>
    <xf numFmtId="0" fontId="13" fillId="0" borderId="0" xfId="0" applyFont="1" applyAlignment="1">
      <alignment horizontal="left" indent="1"/>
    </xf>
    <xf numFmtId="0" fontId="13" fillId="0" borderId="0" xfId="10" applyFont="1" applyAlignment="1">
      <alignment horizontal="left" indent="2"/>
    </xf>
    <xf numFmtId="164" fontId="13" fillId="0" borderId="3" xfId="10" applyNumberFormat="1" applyFont="1" applyBorder="1"/>
    <xf numFmtId="0" fontId="13" fillId="0" borderId="0" xfId="10" quotePrefix="1" applyFont="1" applyAlignment="1">
      <alignment horizontal="left" wrapText="1"/>
    </xf>
    <xf numFmtId="0" fontId="13" fillId="0" borderId="0" xfId="10" quotePrefix="1" applyFont="1" applyAlignment="1">
      <alignment wrapText="1"/>
    </xf>
    <xf numFmtId="0" fontId="13" fillId="0" borderId="0" xfId="10" quotePrefix="1" applyFont="1" applyAlignment="1">
      <alignment horizontal="center"/>
    </xf>
    <xf numFmtId="171" fontId="14" fillId="0" borderId="0" xfId="10" applyNumberFormat="1" applyFont="1"/>
    <xf numFmtId="175" fontId="13" fillId="0" borderId="0" xfId="10" applyNumberFormat="1" applyFont="1"/>
    <xf numFmtId="0" fontId="14" fillId="3" borderId="0" xfId="10" applyFont="1" applyFill="1"/>
    <xf numFmtId="171" fontId="13" fillId="3" borderId="0" xfId="10" applyNumberFormat="1" applyFont="1" applyFill="1"/>
    <xf numFmtId="174" fontId="14" fillId="3" borderId="0" xfId="10" applyNumberFormat="1" applyFont="1" applyFill="1"/>
    <xf numFmtId="171" fontId="25" fillId="3" borderId="0" xfId="10" applyNumberFormat="1" applyFont="1" applyFill="1"/>
    <xf numFmtId="0" fontId="13" fillId="0" borderId="0" xfId="11" applyProtection="1">
      <protection locked="0"/>
    </xf>
    <xf numFmtId="0" fontId="13" fillId="0" borderId="0" xfId="11" quotePrefix="1" applyAlignment="1" applyProtection="1">
      <alignment horizontal="center"/>
      <protection locked="0"/>
    </xf>
    <xf numFmtId="174" fontId="13" fillId="0" borderId="0" xfId="10" applyNumberFormat="1" applyFont="1"/>
    <xf numFmtId="0" fontId="13" fillId="0" borderId="1" xfId="38" applyFont="1" applyBorder="1" applyAlignment="1">
      <alignment horizontal="center"/>
    </xf>
    <xf numFmtId="0" fontId="13" fillId="0" borderId="0" xfId="38" applyFont="1" applyAlignment="1">
      <alignment horizontal="left" indent="1"/>
    </xf>
    <xf numFmtId="199" fontId="13" fillId="0" borderId="0" xfId="38" applyNumberFormat="1" applyFont="1"/>
    <xf numFmtId="199" fontId="13" fillId="0" borderId="0" xfId="42" applyNumberFormat="1" applyFont="1"/>
    <xf numFmtId="184" fontId="13" fillId="0" borderId="0" xfId="30" applyNumberFormat="1" applyFont="1" applyFill="1" applyBorder="1"/>
    <xf numFmtId="184" fontId="13" fillId="0" borderId="1" xfId="30" applyNumberFormat="1" applyFont="1" applyFill="1" applyBorder="1"/>
    <xf numFmtId="169" fontId="13" fillId="0" borderId="4" xfId="30" applyNumberFormat="1" applyFont="1" applyFill="1" applyBorder="1"/>
    <xf numFmtId="202" fontId="13" fillId="0" borderId="0" xfId="13" applyNumberFormat="1" applyFont="1" applyAlignment="1">
      <alignment horizontal="right"/>
    </xf>
    <xf numFmtId="0" fontId="13" fillId="0" borderId="0" xfId="42" applyFont="1" applyAlignment="1">
      <alignment horizontal="center"/>
    </xf>
    <xf numFmtId="184" fontId="13" fillId="0" borderId="4" xfId="30" applyNumberFormat="1" applyFont="1" applyFill="1" applyBorder="1"/>
    <xf numFmtId="0" fontId="13" fillId="0" borderId="0" xfId="46" applyFont="1"/>
    <xf numFmtId="169" fontId="13" fillId="0" borderId="0" xfId="44" applyNumberFormat="1" applyFont="1" applyFill="1" applyAlignment="1"/>
    <xf numFmtId="10" fontId="13" fillId="0" borderId="0" xfId="50" applyNumberFormat="1" applyFont="1" applyFill="1"/>
    <xf numFmtId="169" fontId="13" fillId="0" borderId="0" xfId="44" applyNumberFormat="1" applyFont="1" applyFill="1" applyAlignment="1">
      <alignment horizontal="right"/>
    </xf>
    <xf numFmtId="0" fontId="23" fillId="0" borderId="0" xfId="0" applyFont="1"/>
    <xf numFmtId="0" fontId="16" fillId="0" borderId="0" xfId="0" applyFont="1" applyAlignment="1">
      <alignment horizontal="center"/>
    </xf>
    <xf numFmtId="0" fontId="16" fillId="0" borderId="0" xfId="0" applyFont="1" applyAlignment="1">
      <alignment horizontal="left" indent="2"/>
    </xf>
    <xf numFmtId="0" fontId="46" fillId="0" borderId="0" xfId="0" applyFont="1"/>
    <xf numFmtId="0" fontId="16" fillId="0" borderId="0" xfId="0" applyFont="1" applyAlignment="1">
      <alignment horizontal="left" indent="1"/>
    </xf>
    <xf numFmtId="17" fontId="14" fillId="0" borderId="0" xfId="46" quotePrefix="1" applyNumberFormat="1" applyFont="1"/>
    <xf numFmtId="43" fontId="14" fillId="0" borderId="0" xfId="30" applyFont="1" applyFill="1" applyBorder="1"/>
    <xf numFmtId="174" fontId="22" fillId="0" borderId="0" xfId="0" applyNumberFormat="1" applyFont="1"/>
    <xf numFmtId="184" fontId="47" fillId="0" borderId="0" xfId="30" applyNumberFormat="1" applyFont="1" applyFill="1" applyBorder="1"/>
    <xf numFmtId="169" fontId="13" fillId="0" borderId="0" xfId="44" applyNumberFormat="1" applyFont="1" applyFill="1" applyAlignment="1">
      <alignment horizontal="left"/>
    </xf>
    <xf numFmtId="0" fontId="13" fillId="0" borderId="0" xfId="45" applyNumberFormat="1" applyFont="1" applyFill="1"/>
    <xf numFmtId="169" fontId="28" fillId="0" borderId="0" xfId="44" applyNumberFormat="1" applyFont="1" applyFill="1" applyAlignment="1">
      <alignment horizontal="left"/>
    </xf>
    <xf numFmtId="169" fontId="28" fillId="0" borderId="0" xfId="44" applyNumberFormat="1" applyFont="1" applyFill="1"/>
    <xf numFmtId="0" fontId="13" fillId="0" borderId="0" xfId="0" quotePrefix="1" applyFont="1" applyAlignment="1">
      <alignment horizontal="center" vertical="top"/>
    </xf>
    <xf numFmtId="10" fontId="13" fillId="0" borderId="0" xfId="45" applyNumberFormat="1" applyFont="1" applyFill="1" applyAlignment="1">
      <alignment horizontal="center"/>
    </xf>
    <xf numFmtId="0" fontId="13" fillId="0" borderId="0" xfId="46" applyFont="1" applyAlignment="1">
      <alignment horizontal="left"/>
    </xf>
    <xf numFmtId="0" fontId="13" fillId="0" borderId="0" xfId="46" applyFont="1" applyAlignment="1">
      <alignment horizontal="left" indent="1"/>
    </xf>
    <xf numFmtId="0" fontId="13" fillId="0" borderId="0" xfId="46" applyFont="1" applyAlignment="1">
      <alignment horizontal="center"/>
    </xf>
    <xf numFmtId="174" fontId="13" fillId="0" borderId="0" xfId="46" applyNumberFormat="1" applyFont="1" applyAlignment="1">
      <alignment horizontal="right"/>
    </xf>
    <xf numFmtId="0" fontId="13" fillId="0" borderId="1" xfId="46" applyFont="1" applyBorder="1" applyAlignment="1">
      <alignment horizontal="center"/>
    </xf>
    <xf numFmtId="0" fontId="13" fillId="0" borderId="0" xfId="46" applyFont="1" applyAlignment="1">
      <alignment horizontal="right" indent="2"/>
    </xf>
    <xf numFmtId="0" fontId="13" fillId="0" borderId="0" xfId="46" applyFont="1" applyAlignment="1">
      <alignment horizontal="left" indent="2"/>
    </xf>
    <xf numFmtId="198" fontId="13" fillId="0" borderId="0" xfId="46" applyNumberFormat="1" applyFont="1" applyAlignment="1">
      <alignment horizontal="center"/>
    </xf>
    <xf numFmtId="174" fontId="13" fillId="0" borderId="0" xfId="46" applyNumberFormat="1" applyFont="1"/>
    <xf numFmtId="174" fontId="13" fillId="0" borderId="3" xfId="46" applyNumberFormat="1" applyFont="1" applyBorder="1" applyAlignment="1">
      <alignment horizontal="right"/>
    </xf>
    <xf numFmtId="3" fontId="14" fillId="0" borderId="0" xfId="46" applyNumberFormat="1" applyFont="1"/>
    <xf numFmtId="0" fontId="20" fillId="0" borderId="0" xfId="46" applyFont="1" applyAlignment="1">
      <alignment horizontal="center"/>
    </xf>
    <xf numFmtId="3" fontId="14" fillId="0" borderId="0" xfId="46" applyNumberFormat="1" applyFont="1" applyAlignment="1">
      <alignment horizontal="right"/>
    </xf>
    <xf numFmtId="3" fontId="28" fillId="0" borderId="0" xfId="2" applyNumberFormat="1" applyFont="1" applyAlignment="1">
      <alignment horizontal="center"/>
    </xf>
    <xf numFmtId="3" fontId="13" fillId="0" borderId="0" xfId="46" applyNumberFormat="1" applyFont="1"/>
    <xf numFmtId="3" fontId="13" fillId="0" borderId="0" xfId="46" applyNumberFormat="1" applyFont="1" applyAlignment="1">
      <alignment horizontal="center"/>
    </xf>
    <xf numFmtId="3" fontId="13" fillId="0" borderId="0" xfId="4" applyNumberFormat="1" applyFont="1" applyFill="1" applyBorder="1" applyAlignment="1">
      <alignment horizontal="right"/>
    </xf>
    <xf numFmtId="201" fontId="13" fillId="0" borderId="0" xfId="4" applyNumberFormat="1" applyFont="1" applyFill="1" applyBorder="1" applyAlignment="1">
      <alignment horizontal="right"/>
    </xf>
    <xf numFmtId="164" fontId="13" fillId="0" borderId="0" xfId="46" applyNumberFormat="1" applyFont="1"/>
    <xf numFmtId="3" fontId="13" fillId="0" borderId="0" xfId="2" applyNumberFormat="1"/>
    <xf numFmtId="201" fontId="13" fillId="0" borderId="0" xfId="2" applyNumberFormat="1"/>
    <xf numFmtId="9" fontId="13" fillId="0" borderId="0" xfId="46" applyNumberFormat="1" applyFont="1"/>
    <xf numFmtId="9" fontId="14" fillId="0" borderId="0" xfId="46" applyNumberFormat="1" applyFont="1"/>
    <xf numFmtId="3" fontId="15" fillId="0" borderId="0" xfId="4" applyNumberFormat="1" applyFont="1" applyFill="1" applyBorder="1" applyAlignment="1">
      <alignment horizontal="right"/>
    </xf>
    <xf numFmtId="201" fontId="15" fillId="0" borderId="0" xfId="4" applyNumberFormat="1" applyFont="1" applyFill="1" applyBorder="1" applyAlignment="1">
      <alignment horizontal="right"/>
    </xf>
    <xf numFmtId="3" fontId="13" fillId="0" borderId="0" xfId="4" applyNumberFormat="1" applyFont="1" applyFill="1" applyBorder="1" applyAlignment="1">
      <alignment horizontal="center"/>
    </xf>
    <xf numFmtId="186" fontId="13" fillId="0" borderId="0" xfId="46" applyNumberFormat="1" applyFont="1"/>
    <xf numFmtId="186" fontId="13" fillId="0" borderId="0" xfId="4" applyNumberFormat="1" applyFont="1" applyFill="1" applyBorder="1" applyAlignment="1">
      <alignment horizontal="right"/>
    </xf>
    <xf numFmtId="187" fontId="13" fillId="0" borderId="0" xfId="2" applyNumberFormat="1"/>
    <xf numFmtId="37" fontId="13" fillId="0" borderId="0" xfId="46" applyNumberFormat="1" applyFont="1"/>
    <xf numFmtId="3" fontId="13" fillId="0" borderId="4" xfId="2" applyNumberFormat="1" applyBorder="1" applyAlignment="1">
      <alignment horizontal="right"/>
    </xf>
    <xf numFmtId="186" fontId="13" fillId="0" borderId="4" xfId="46" applyNumberFormat="1" applyFont="1" applyBorder="1"/>
    <xf numFmtId="3" fontId="13" fillId="0" borderId="4" xfId="46" applyNumberFormat="1" applyFont="1" applyBorder="1"/>
    <xf numFmtId="3" fontId="13" fillId="0" borderId="4" xfId="4" applyNumberFormat="1" applyFont="1" applyFill="1" applyBorder="1" applyAlignment="1">
      <alignment horizontal="right"/>
    </xf>
    <xf numFmtId="3" fontId="13" fillId="0" borderId="4" xfId="2" applyNumberFormat="1" applyBorder="1"/>
    <xf numFmtId="164" fontId="13" fillId="0" borderId="4" xfId="46" applyNumberFormat="1" applyFont="1" applyBorder="1"/>
    <xf numFmtId="187" fontId="13" fillId="0" borderId="4" xfId="2" applyNumberFormat="1" applyBorder="1"/>
    <xf numFmtId="37" fontId="13" fillId="0" borderId="4" xfId="46" applyNumberFormat="1" applyFont="1" applyBorder="1"/>
    <xf numFmtId="182" fontId="13" fillId="0" borderId="4" xfId="50" applyNumberFormat="1" applyFont="1" applyFill="1" applyBorder="1" applyAlignment="1">
      <alignment horizontal="right"/>
    </xf>
    <xf numFmtId="182" fontId="13" fillId="0" borderId="0" xfId="50" applyNumberFormat="1" applyFont="1" applyFill="1" applyBorder="1" applyAlignment="1">
      <alignment horizontal="right"/>
    </xf>
    <xf numFmtId="186" fontId="15" fillId="0" borderId="0" xfId="4" applyNumberFormat="1" applyFont="1" applyFill="1" applyBorder="1" applyAlignment="1">
      <alignment horizontal="right"/>
    </xf>
    <xf numFmtId="3" fontId="13" fillId="0" borderId="4" xfId="46" applyNumberFormat="1" applyFont="1" applyBorder="1" applyAlignment="1">
      <alignment horizontal="right"/>
    </xf>
    <xf numFmtId="9" fontId="13" fillId="0" borderId="4" xfId="46" applyNumberFormat="1" applyFont="1" applyBorder="1"/>
    <xf numFmtId="164" fontId="14" fillId="0" borderId="0" xfId="46" applyNumberFormat="1" applyFont="1"/>
    <xf numFmtId="164" fontId="13" fillId="0" borderId="0" xfId="2" applyNumberFormat="1"/>
    <xf numFmtId="168" fontId="13" fillId="0" borderId="0" xfId="2" applyNumberFormat="1"/>
    <xf numFmtId="186" fontId="13" fillId="0" borderId="4" xfId="4" applyNumberFormat="1" applyFont="1" applyFill="1" applyBorder="1" applyAlignment="1">
      <alignment horizontal="right"/>
    </xf>
    <xf numFmtId="3" fontId="13" fillId="0" borderId="0" xfId="1" applyNumberFormat="1" applyFont="1"/>
    <xf numFmtId="3" fontId="13" fillId="0" borderId="0" xfId="1" applyNumberFormat="1" applyFont="1" applyAlignment="1">
      <alignment horizontal="right"/>
    </xf>
    <xf numFmtId="3" fontId="13" fillId="0" borderId="3" xfId="2" applyNumberFormat="1" applyBorder="1" applyAlignment="1">
      <alignment horizontal="right"/>
    </xf>
    <xf numFmtId="186" fontId="13" fillId="0" borderId="3" xfId="46" applyNumberFormat="1" applyFont="1" applyBorder="1"/>
    <xf numFmtId="3" fontId="13" fillId="0" borderId="3" xfId="46" applyNumberFormat="1" applyFont="1" applyBorder="1"/>
    <xf numFmtId="187" fontId="13" fillId="0" borderId="3" xfId="2" applyNumberFormat="1" applyBorder="1"/>
    <xf numFmtId="9" fontId="13" fillId="0" borderId="3" xfId="46" applyNumberFormat="1" applyFont="1" applyBorder="1"/>
    <xf numFmtId="164" fontId="13" fillId="0" borderId="0" xfId="2" applyNumberFormat="1" applyAlignment="1">
      <alignment horizontal="center"/>
    </xf>
    <xf numFmtId="0" fontId="28" fillId="0" borderId="0" xfId="2" applyFont="1" applyAlignment="1">
      <alignment horizontal="right"/>
    </xf>
    <xf numFmtId="164" fontId="13" fillId="0" borderId="0" xfId="46" applyNumberFormat="1" applyFont="1" applyAlignment="1">
      <alignment horizontal="right"/>
    </xf>
    <xf numFmtId="7" fontId="13" fillId="0" borderId="0" xfId="2" applyNumberFormat="1"/>
    <xf numFmtId="187" fontId="13" fillId="0" borderId="4" xfId="46" applyNumberFormat="1" applyFont="1" applyBorder="1"/>
    <xf numFmtId="168" fontId="13" fillId="0" borderId="4" xfId="1" applyNumberFormat="1" applyFont="1" applyBorder="1"/>
    <xf numFmtId="168" fontId="13" fillId="0" borderId="0" xfId="1" applyNumberFormat="1" applyFont="1"/>
    <xf numFmtId="0" fontId="12" fillId="0" borderId="0" xfId="1" applyFont="1" applyAlignment="1">
      <alignment horizontal="centerContinuous"/>
    </xf>
    <xf numFmtId="164" fontId="12" fillId="0" borderId="0" xfId="1" applyNumberFormat="1" applyFont="1" applyAlignment="1">
      <alignment horizontal="centerContinuous"/>
    </xf>
    <xf numFmtId="164" fontId="13" fillId="0" borderId="0" xfId="2" applyNumberFormat="1" applyAlignment="1">
      <alignment horizontal="centerContinuous"/>
    </xf>
    <xf numFmtId="164" fontId="13" fillId="0" borderId="0" xfId="2" applyNumberFormat="1" applyAlignment="1">
      <alignment horizontal="left"/>
    </xf>
    <xf numFmtId="164" fontId="13" fillId="0" borderId="0" xfId="2" applyNumberFormat="1" applyAlignment="1">
      <alignment horizontal="center" wrapText="1"/>
    </xf>
    <xf numFmtId="187" fontId="13" fillId="0" borderId="3" xfId="46" applyNumberFormat="1" applyFont="1" applyBorder="1"/>
    <xf numFmtId="164" fontId="13" fillId="0" borderId="3" xfId="46" applyNumberFormat="1" applyFont="1" applyBorder="1"/>
    <xf numFmtId="3" fontId="13" fillId="0" borderId="3" xfId="4" applyNumberFormat="1" applyFont="1" applyFill="1" applyBorder="1" applyAlignment="1">
      <alignment horizontal="right"/>
    </xf>
    <xf numFmtId="164" fontId="13" fillId="0" borderId="3" xfId="4" applyNumberFormat="1" applyFont="1" applyFill="1" applyBorder="1" applyAlignment="1">
      <alignment horizontal="right"/>
    </xf>
    <xf numFmtId="168" fontId="13" fillId="0" borderId="3" xfId="2" applyNumberFormat="1" applyBorder="1"/>
    <xf numFmtId="169" fontId="13" fillId="0" borderId="0" xfId="2" applyNumberFormat="1" applyAlignment="1">
      <alignment horizontal="center"/>
    </xf>
    <xf numFmtId="168" fontId="13" fillId="0" borderId="4" xfId="2" applyNumberFormat="1" applyBorder="1"/>
    <xf numFmtId="0" fontId="13" fillId="0" borderId="4" xfId="2" applyBorder="1"/>
    <xf numFmtId="3" fontId="13" fillId="0" borderId="3" xfId="1" applyNumberFormat="1" applyFont="1" applyBorder="1" applyAlignment="1">
      <alignment horizontal="right"/>
    </xf>
    <xf numFmtId="37" fontId="13" fillId="0" borderId="0" xfId="4" applyNumberFormat="1" applyFont="1" applyFill="1" applyBorder="1" applyAlignment="1">
      <alignment horizontal="right"/>
    </xf>
    <xf numFmtId="37" fontId="13" fillId="0" borderId="4" xfId="4" applyNumberFormat="1" applyFont="1" applyFill="1" applyBorder="1" applyAlignment="1">
      <alignment horizontal="right"/>
    </xf>
    <xf numFmtId="187" fontId="13" fillId="0" borderId="0" xfId="2" applyNumberFormat="1" applyAlignment="1">
      <alignment horizontal="right"/>
    </xf>
    <xf numFmtId="164" fontId="13" fillId="0" borderId="4" xfId="46" applyNumberFormat="1" applyFont="1" applyBorder="1" applyAlignment="1">
      <alignment horizontal="right"/>
    </xf>
    <xf numFmtId="9" fontId="13" fillId="0" borderId="0" xfId="46" applyNumberFormat="1" applyFont="1" applyAlignment="1">
      <alignment horizontal="right"/>
    </xf>
    <xf numFmtId="9" fontId="14" fillId="0" borderId="0" xfId="46" applyNumberFormat="1" applyFont="1" applyAlignment="1">
      <alignment horizontal="right"/>
    </xf>
    <xf numFmtId="164" fontId="13" fillId="0" borderId="3" xfId="46" applyNumberFormat="1" applyFont="1" applyBorder="1" applyAlignment="1">
      <alignment horizontal="right"/>
    </xf>
    <xf numFmtId="182" fontId="13" fillId="0" borderId="3" xfId="50" applyNumberFormat="1" applyFont="1" applyFill="1" applyBorder="1" applyAlignment="1">
      <alignment horizontal="right"/>
    </xf>
    <xf numFmtId="0" fontId="13" fillId="0" borderId="0" xfId="2" applyAlignment="1">
      <alignment horizontal="right"/>
    </xf>
    <xf numFmtId="3" fontId="13" fillId="0" borderId="0" xfId="46" applyNumberFormat="1" applyFont="1" applyAlignment="1">
      <alignment horizontal="right"/>
    </xf>
    <xf numFmtId="0" fontId="13" fillId="0" borderId="0" xfId="46" applyFont="1" applyAlignment="1">
      <alignment horizontal="right"/>
    </xf>
    <xf numFmtId="7" fontId="13" fillId="0" borderId="0" xfId="2" applyNumberFormat="1" applyAlignment="1">
      <alignment horizontal="right"/>
    </xf>
    <xf numFmtId="168" fontId="13" fillId="0" borderId="0" xfId="1" applyNumberFormat="1" applyFont="1" applyAlignment="1">
      <alignment horizontal="right"/>
    </xf>
    <xf numFmtId="168" fontId="13" fillId="0" borderId="4" xfId="2" applyNumberFormat="1" applyBorder="1" applyAlignment="1">
      <alignment horizontal="right"/>
    </xf>
    <xf numFmtId="9" fontId="13" fillId="0" borderId="4" xfId="46" applyNumberFormat="1" applyFont="1" applyBorder="1" applyAlignment="1">
      <alignment horizontal="right"/>
    </xf>
    <xf numFmtId="164" fontId="14" fillId="0" borderId="0" xfId="46" applyNumberFormat="1" applyFont="1" applyAlignment="1">
      <alignment horizontal="right"/>
    </xf>
    <xf numFmtId="3" fontId="12" fillId="0" borderId="0" xfId="1" applyNumberFormat="1" applyFont="1" applyAlignment="1">
      <alignment horizontal="centerContinuous"/>
    </xf>
    <xf numFmtId="164" fontId="12" fillId="0" borderId="0" xfId="1" applyNumberFormat="1" applyFont="1" applyAlignment="1">
      <alignment horizontal="right"/>
    </xf>
    <xf numFmtId="187" fontId="12" fillId="0" borderId="0" xfId="1" applyNumberFormat="1" applyFont="1" applyAlignment="1">
      <alignment horizontal="right"/>
    </xf>
    <xf numFmtId="3" fontId="13" fillId="0" borderId="0" xfId="2" applyNumberFormat="1" applyAlignment="1">
      <alignment horizontal="centerContinuous"/>
    </xf>
    <xf numFmtId="9" fontId="13" fillId="0" borderId="3" xfId="46" applyNumberFormat="1" applyFont="1" applyBorder="1" applyAlignment="1">
      <alignment horizontal="right"/>
    </xf>
    <xf numFmtId="3" fontId="13" fillId="0" borderId="0" xfId="2" applyNumberFormat="1" applyAlignment="1">
      <alignment horizontal="left"/>
    </xf>
    <xf numFmtId="187" fontId="13" fillId="0" borderId="0" xfId="2" applyNumberFormat="1" applyAlignment="1">
      <alignment horizontal="left"/>
    </xf>
    <xf numFmtId="169" fontId="13" fillId="0" borderId="0" xfId="2" applyNumberFormat="1" applyAlignment="1">
      <alignment horizontal="right"/>
    </xf>
    <xf numFmtId="164" fontId="13" fillId="0" borderId="4" xfId="2" applyNumberFormat="1" applyBorder="1"/>
    <xf numFmtId="168" fontId="13" fillId="0" borderId="0" xfId="4" applyNumberFormat="1" applyFont="1" applyFill="1" applyBorder="1" applyAlignment="1">
      <alignment horizontal="right"/>
    </xf>
    <xf numFmtId="37" fontId="13" fillId="0" borderId="0" xfId="2" applyNumberFormat="1"/>
    <xf numFmtId="169" fontId="13" fillId="0" borderId="0" xfId="46" applyNumberFormat="1" applyFont="1"/>
    <xf numFmtId="3" fontId="13" fillId="0" borderId="4" xfId="1" applyNumberFormat="1" applyFont="1" applyBorder="1"/>
    <xf numFmtId="3" fontId="13" fillId="0" borderId="0" xfId="2" applyNumberFormat="1" applyAlignment="1">
      <alignment horizontal="right"/>
    </xf>
    <xf numFmtId="187" fontId="13" fillId="0" borderId="0" xfId="46" applyNumberFormat="1" applyFont="1"/>
    <xf numFmtId="3" fontId="28" fillId="0" borderId="0" xfId="2" applyNumberFormat="1" applyFont="1" applyAlignment="1">
      <alignment horizontal="right"/>
    </xf>
    <xf numFmtId="3" fontId="13" fillId="0" borderId="3" xfId="2" applyNumberFormat="1" applyBorder="1"/>
    <xf numFmtId="164" fontId="13" fillId="0" borderId="3" xfId="2" applyNumberFormat="1" applyBorder="1"/>
    <xf numFmtId="9" fontId="13" fillId="0" borderId="3" xfId="2" applyNumberFormat="1" applyBorder="1"/>
    <xf numFmtId="9" fontId="13" fillId="0" borderId="0" xfId="2" applyNumberFormat="1"/>
    <xf numFmtId="7" fontId="13" fillId="0" borderId="0" xfId="1" applyNumberFormat="1" applyFont="1"/>
    <xf numFmtId="187" fontId="13" fillId="0" borderId="0" xfId="1" applyNumberFormat="1" applyFont="1"/>
    <xf numFmtId="37" fontId="13" fillId="0" borderId="0" xfId="1" applyNumberFormat="1" applyFont="1" applyAlignment="1">
      <alignment horizontal="right"/>
    </xf>
    <xf numFmtId="187" fontId="13" fillId="0" borderId="0" xfId="2" applyNumberFormat="1" applyAlignment="1">
      <alignment horizontal="centerContinuous"/>
    </xf>
    <xf numFmtId="187" fontId="13" fillId="0" borderId="4" xfId="2" applyNumberFormat="1" applyBorder="1" applyAlignment="1">
      <alignment horizontal="right"/>
    </xf>
    <xf numFmtId="37" fontId="13" fillId="0" borderId="4" xfId="2" applyNumberFormat="1" applyBorder="1" applyAlignment="1">
      <alignment horizontal="right"/>
    </xf>
    <xf numFmtId="187" fontId="13" fillId="0" borderId="0" xfId="2" applyNumberFormat="1" applyAlignment="1">
      <alignment horizontal="center" wrapText="1"/>
    </xf>
    <xf numFmtId="37" fontId="13" fillId="0" borderId="3" xfId="2" applyNumberFormat="1" applyBorder="1"/>
    <xf numFmtId="206" fontId="13" fillId="0" borderId="4" xfId="2" applyNumberFormat="1" applyBorder="1"/>
    <xf numFmtId="169" fontId="13" fillId="0" borderId="0" xfId="2" applyNumberFormat="1"/>
    <xf numFmtId="206" fontId="13" fillId="0" borderId="4" xfId="2" applyNumberFormat="1" applyBorder="1" applyAlignment="1">
      <alignment horizontal="right"/>
    </xf>
    <xf numFmtId="37" fontId="13" fillId="0" borderId="0" xfId="2" applyNumberFormat="1" applyAlignment="1">
      <alignment horizontal="right"/>
    </xf>
    <xf numFmtId="169" fontId="13" fillId="0" borderId="0" xfId="4" applyNumberFormat="1" applyFont="1" applyFill="1" applyBorder="1" applyAlignment="1">
      <alignment horizontal="right"/>
    </xf>
    <xf numFmtId="169" fontId="13" fillId="0" borderId="0" xfId="1" applyNumberFormat="1" applyFont="1"/>
    <xf numFmtId="169" fontId="13" fillId="0" borderId="4" xfId="2" applyNumberFormat="1" applyBorder="1"/>
    <xf numFmtId="41" fontId="13" fillId="0" borderId="0" xfId="4" applyNumberFormat="1" applyFont="1" applyFill="1" applyBorder="1" applyAlignment="1">
      <alignment horizontal="right"/>
    </xf>
    <xf numFmtId="43" fontId="13" fillId="0" borderId="0" xfId="1" applyNumberFormat="1" applyFont="1"/>
    <xf numFmtId="187" fontId="13" fillId="0" borderId="0" xfId="2" quotePrefix="1" applyNumberFormat="1"/>
    <xf numFmtId="169" fontId="13" fillId="0" borderId="0" xfId="46" applyNumberFormat="1" applyFont="1" applyAlignment="1">
      <alignment horizontal="right"/>
    </xf>
    <xf numFmtId="169" fontId="13" fillId="0" borderId="4" xfId="46" applyNumberFormat="1" applyFont="1" applyBorder="1"/>
    <xf numFmtId="186" fontId="13" fillId="0" borderId="3" xfId="2" applyNumberFormat="1" applyBorder="1"/>
    <xf numFmtId="0" fontId="12" fillId="0" borderId="0" xfId="46" applyFont="1" applyAlignment="1">
      <alignment horizontal="left"/>
    </xf>
    <xf numFmtId="9" fontId="13" fillId="0" borderId="0" xfId="2" applyNumberFormat="1" applyAlignment="1">
      <alignment horizontal="right"/>
    </xf>
    <xf numFmtId="41" fontId="13" fillId="0" borderId="4" xfId="2" applyNumberFormat="1" applyBorder="1"/>
    <xf numFmtId="41" fontId="13" fillId="0" borderId="0" xfId="2" applyNumberFormat="1"/>
    <xf numFmtId="9" fontId="13" fillId="0" borderId="4" xfId="2" applyNumberFormat="1" applyBorder="1"/>
    <xf numFmtId="187" fontId="12" fillId="0" borderId="0" xfId="1" applyNumberFormat="1" applyFont="1" applyAlignment="1">
      <alignment horizontal="centerContinuous"/>
    </xf>
    <xf numFmtId="37" fontId="13" fillId="0" borderId="0" xfId="46" applyNumberFormat="1" applyFont="1" applyAlignment="1">
      <alignment horizontal="right"/>
    </xf>
    <xf numFmtId="3" fontId="13" fillId="0" borderId="0" xfId="2" applyNumberFormat="1" applyAlignment="1">
      <alignment horizontal="center" wrapText="1"/>
    </xf>
    <xf numFmtId="186" fontId="13" fillId="0" borderId="4" xfId="2" applyNumberFormat="1" applyBorder="1" applyAlignment="1">
      <alignment horizontal="right" wrapText="1"/>
    </xf>
    <xf numFmtId="3" fontId="13" fillId="0" borderId="4" xfId="2" applyNumberFormat="1" applyBorder="1" applyAlignment="1">
      <alignment horizontal="right" wrapText="1"/>
    </xf>
    <xf numFmtId="169" fontId="13" fillId="0" borderId="4" xfId="4" applyNumberFormat="1" applyFont="1" applyFill="1" applyBorder="1" applyAlignment="1">
      <alignment horizontal="right"/>
    </xf>
    <xf numFmtId="169" fontId="13" fillId="0" borderId="4" xfId="2" applyNumberFormat="1" applyBorder="1" applyAlignment="1">
      <alignment horizontal="right"/>
    </xf>
    <xf numFmtId="9" fontId="13" fillId="0" borderId="4" xfId="2" applyNumberFormat="1" applyBorder="1" applyAlignment="1">
      <alignment horizontal="right"/>
    </xf>
    <xf numFmtId="3" fontId="13" fillId="0" borderId="0" xfId="2" applyNumberFormat="1" applyAlignment="1">
      <alignment horizontal="center"/>
    </xf>
    <xf numFmtId="207" fontId="13" fillId="0" borderId="4" xfId="2" applyNumberFormat="1" applyBorder="1"/>
    <xf numFmtId="167" fontId="14" fillId="0" borderId="0" xfId="47" applyNumberFormat="1" applyFont="1" applyFill="1"/>
    <xf numFmtId="187" fontId="13" fillId="0" borderId="4" xfId="4" applyNumberFormat="1" applyFont="1" applyFill="1" applyBorder="1" applyAlignment="1">
      <alignment horizontal="right"/>
    </xf>
    <xf numFmtId="167" fontId="14" fillId="0" borderId="0" xfId="46" applyNumberFormat="1" applyFont="1"/>
    <xf numFmtId="186" fontId="13" fillId="0" borderId="0" xfId="1" applyNumberFormat="1" applyFont="1"/>
    <xf numFmtId="188" fontId="13" fillId="0" borderId="0" xfId="46" applyNumberFormat="1" applyFont="1"/>
    <xf numFmtId="208" fontId="13" fillId="0" borderId="0" xfId="46" applyNumberFormat="1" applyFont="1"/>
    <xf numFmtId="208" fontId="13" fillId="0" borderId="4" xfId="46" applyNumberFormat="1" applyFont="1" applyBorder="1"/>
    <xf numFmtId="3" fontId="13" fillId="0" borderId="0" xfId="2" applyNumberFormat="1" applyAlignment="1">
      <alignment horizontal="right" wrapText="1"/>
    </xf>
    <xf numFmtId="164" fontId="13" fillId="0" borderId="0" xfId="2" applyNumberFormat="1" applyAlignment="1">
      <alignment horizontal="right" wrapText="1"/>
    </xf>
    <xf numFmtId="41" fontId="13" fillId="0" borderId="0" xfId="2" applyNumberFormat="1" applyAlignment="1">
      <alignment horizontal="right"/>
    </xf>
    <xf numFmtId="186" fontId="13" fillId="0" borderId="4" xfId="2" applyNumberFormat="1" applyBorder="1"/>
    <xf numFmtId="209" fontId="13" fillId="0" borderId="0" xfId="4" applyNumberFormat="1" applyFont="1" applyFill="1" applyBorder="1" applyAlignment="1">
      <alignment horizontal="right"/>
    </xf>
    <xf numFmtId="209" fontId="13" fillId="0" borderId="0" xfId="2" applyNumberFormat="1"/>
    <xf numFmtId="186" fontId="13" fillId="0" borderId="0" xfId="2" applyNumberFormat="1"/>
    <xf numFmtId="204" fontId="13" fillId="0" borderId="3" xfId="2" applyNumberFormat="1" applyBorder="1"/>
    <xf numFmtId="201" fontId="13" fillId="0" borderId="0" xfId="2" applyNumberFormat="1" applyAlignment="1">
      <alignment horizontal="right"/>
    </xf>
    <xf numFmtId="186" fontId="13" fillId="0" borderId="0" xfId="2" applyNumberFormat="1" applyAlignment="1">
      <alignment horizontal="center" wrapText="1"/>
    </xf>
    <xf numFmtId="187" fontId="13" fillId="0" borderId="0" xfId="4" applyNumberFormat="1" applyFont="1" applyFill="1" applyBorder="1" applyAlignment="1">
      <alignment horizontal="right"/>
    </xf>
    <xf numFmtId="37" fontId="13" fillId="0" borderId="4" xfId="2" applyNumberFormat="1" applyBorder="1"/>
    <xf numFmtId="43" fontId="13" fillId="0" borderId="0" xfId="2" applyNumberFormat="1"/>
    <xf numFmtId="164" fontId="13" fillId="0" borderId="0" xfId="4" applyNumberFormat="1" applyFont="1" applyFill="1" applyBorder="1" applyAlignment="1"/>
    <xf numFmtId="0" fontId="13" fillId="0" borderId="0" xfId="2" applyAlignment="1">
      <alignment wrapText="1"/>
    </xf>
    <xf numFmtId="206" fontId="13" fillId="0" borderId="0" xfId="4" applyNumberFormat="1" applyFont="1" applyFill="1" applyBorder="1" applyAlignment="1">
      <alignment horizontal="right"/>
    </xf>
    <xf numFmtId="210" fontId="13" fillId="0" borderId="0" xfId="4" applyNumberFormat="1" applyFont="1" applyFill="1" applyBorder="1" applyAlignment="1">
      <alignment horizontal="right"/>
    </xf>
    <xf numFmtId="164" fontId="13" fillId="0" borderId="3" xfId="1" applyNumberFormat="1" applyFont="1" applyBorder="1" applyAlignment="1">
      <alignment horizontal="right"/>
    </xf>
    <xf numFmtId="187" fontId="13" fillId="0" borderId="3" xfId="4" applyNumberFormat="1" applyFont="1" applyFill="1" applyBorder="1" applyAlignment="1">
      <alignment horizontal="right"/>
    </xf>
    <xf numFmtId="3" fontId="13" fillId="0" borderId="0" xfId="1" applyNumberFormat="1" applyFont="1" applyAlignment="1">
      <alignment horizontal="centerContinuous"/>
    </xf>
    <xf numFmtId="164" fontId="13" fillId="0" borderId="0" xfId="1" applyNumberFormat="1" applyFont="1" applyAlignment="1">
      <alignment horizontal="centerContinuous"/>
    </xf>
    <xf numFmtId="187" fontId="13" fillId="0" borderId="3" xfId="2" applyNumberFormat="1" applyBorder="1" applyAlignment="1">
      <alignment horizontal="right"/>
    </xf>
    <xf numFmtId="187" fontId="13" fillId="0" borderId="0" xfId="2" applyNumberFormat="1" applyAlignment="1">
      <alignment horizontal="right" wrapText="1"/>
    </xf>
    <xf numFmtId="0" fontId="13" fillId="0" borderId="0" xfId="46" applyFont="1" applyAlignment="1">
      <alignment horizontal="left" indent="3"/>
    </xf>
    <xf numFmtId="0" fontId="13" fillId="0" borderId="0" xfId="46" applyFont="1" applyAlignment="1">
      <alignment horizontal="left" wrapText="1" indent="3"/>
    </xf>
    <xf numFmtId="189" fontId="13" fillId="0" borderId="0" xfId="4" applyNumberFormat="1" applyFont="1" applyFill="1" applyBorder="1" applyAlignment="1">
      <alignment horizontal="right"/>
    </xf>
    <xf numFmtId="189" fontId="15" fillId="0" borderId="0" xfId="4" applyNumberFormat="1" applyFont="1" applyFill="1" applyBorder="1" applyAlignment="1">
      <alignment horizontal="right"/>
    </xf>
    <xf numFmtId="199" fontId="13" fillId="0" borderId="0" xfId="4" applyNumberFormat="1" applyFont="1" applyFill="1" applyBorder="1" applyAlignment="1">
      <alignment horizontal="right"/>
    </xf>
    <xf numFmtId="199" fontId="13" fillId="0" borderId="0" xfId="2" applyNumberFormat="1"/>
    <xf numFmtId="164" fontId="13" fillId="0" borderId="4" xfId="2" applyNumberFormat="1" applyBorder="1" applyAlignment="1">
      <alignment horizontal="center"/>
    </xf>
    <xf numFmtId="41" fontId="13" fillId="0" borderId="3" xfId="47" applyNumberFormat="1" applyFont="1" applyFill="1" applyBorder="1"/>
    <xf numFmtId="0" fontId="13" fillId="0" borderId="0" xfId="53" applyFont="1" applyAlignment="1">
      <alignment horizontal="left" indent="3"/>
    </xf>
    <xf numFmtId="211" fontId="13" fillId="0" borderId="0" xfId="4" applyNumberFormat="1" applyFont="1" applyFill="1" applyBorder="1" applyAlignment="1">
      <alignment horizontal="right"/>
    </xf>
    <xf numFmtId="211" fontId="13" fillId="0" borderId="0" xfId="2" applyNumberFormat="1"/>
    <xf numFmtId="199" fontId="13" fillId="0" borderId="3" xfId="1" applyNumberFormat="1" applyFont="1" applyBorder="1"/>
    <xf numFmtId="3" fontId="13" fillId="0" borderId="3" xfId="1" applyNumberFormat="1" applyFont="1" applyBorder="1"/>
    <xf numFmtId="164" fontId="13" fillId="0" borderId="3" xfId="1" applyNumberFormat="1" applyFont="1" applyBorder="1"/>
    <xf numFmtId="0" fontId="13" fillId="0" borderId="0" xfId="53" applyFont="1" applyAlignment="1">
      <alignment horizontal="left" indent="1"/>
    </xf>
    <xf numFmtId="199" fontId="13" fillId="0" borderId="3" xfId="2" applyNumberFormat="1" applyBorder="1"/>
    <xf numFmtId="0" fontId="12" fillId="0" borderId="0" xfId="46" applyFont="1"/>
    <xf numFmtId="0" fontId="13" fillId="0" borderId="0" xfId="1" quotePrefix="1" applyFont="1" applyAlignment="1">
      <alignment horizontal="left" indent="3"/>
    </xf>
    <xf numFmtId="199" fontId="13" fillId="0" borderId="0" xfId="46" applyNumberFormat="1" applyFont="1"/>
    <xf numFmtId="0" fontId="13" fillId="0" borderId="0" xfId="1" applyFont="1" applyAlignment="1">
      <alignment horizontal="center" vertical="top"/>
    </xf>
    <xf numFmtId="0" fontId="13" fillId="0" borderId="0" xfId="46" applyFont="1" applyAlignment="1">
      <alignment horizontal="left" wrapText="1" indent="2"/>
    </xf>
    <xf numFmtId="0" fontId="13" fillId="0" borderId="0" xfId="1" applyFont="1" applyAlignment="1">
      <alignment horizontal="left" indent="3"/>
    </xf>
    <xf numFmtId="0" fontId="13" fillId="0" borderId="0" xfId="46" applyFont="1" applyAlignment="1">
      <alignment horizontal="left" indent="4"/>
    </xf>
    <xf numFmtId="187" fontId="13" fillId="0" borderId="3" xfId="1" applyNumberFormat="1" applyFont="1" applyBorder="1"/>
    <xf numFmtId="9" fontId="13" fillId="0" borderId="3" xfId="1" applyNumberFormat="1" applyFont="1" applyBorder="1"/>
    <xf numFmtId="9" fontId="13" fillId="0" borderId="0" xfId="1" applyNumberFormat="1" applyFont="1"/>
    <xf numFmtId="0" fontId="12" fillId="0" borderId="0" xfId="1" applyFont="1" applyAlignment="1">
      <alignment horizontal="left"/>
    </xf>
    <xf numFmtId="0" fontId="13" fillId="0" borderId="0" xfId="1" applyFont="1" applyAlignment="1">
      <alignment horizontal="left" wrapText="1" indent="1"/>
    </xf>
    <xf numFmtId="7" fontId="13" fillId="0" borderId="0" xfId="4" applyNumberFormat="1" applyFont="1" applyFill="1" applyBorder="1" applyAlignment="1">
      <alignment horizontal="right"/>
    </xf>
    <xf numFmtId="0" fontId="13" fillId="0" borderId="0" xfId="46" applyFont="1" applyAlignment="1">
      <alignment horizontal="left" vertical="center"/>
    </xf>
    <xf numFmtId="0" fontId="13" fillId="0" borderId="0" xfId="46" quotePrefix="1" applyFont="1"/>
    <xf numFmtId="169" fontId="13" fillId="0" borderId="0" xfId="47" applyNumberFormat="1" applyFont="1" applyFill="1"/>
    <xf numFmtId="43" fontId="13" fillId="0" borderId="0" xfId="46" applyNumberFormat="1" applyFont="1"/>
    <xf numFmtId="0" fontId="12" fillId="0" borderId="0" xfId="46" applyFont="1" applyAlignment="1">
      <alignment horizontal="right"/>
    </xf>
    <xf numFmtId="0" fontId="12" fillId="0" borderId="0" xfId="2" applyFont="1" applyAlignment="1">
      <alignment horizontal="centerContinuous"/>
    </xf>
    <xf numFmtId="0" fontId="28" fillId="0" borderId="0" xfId="1" applyFont="1"/>
    <xf numFmtId="0" fontId="12" fillId="0" borderId="0" xfId="1" applyFont="1" applyAlignment="1">
      <alignment horizontal="left" wrapText="1"/>
    </xf>
    <xf numFmtId="0" fontId="13" fillId="0" borderId="0" xfId="1" applyFont="1" applyAlignment="1">
      <alignment horizontal="left" wrapText="1"/>
    </xf>
    <xf numFmtId="0" fontId="13" fillId="0" borderId="0" xfId="1" quotePrefix="1" applyFont="1" applyAlignment="1">
      <alignment horizontal="right"/>
    </xf>
    <xf numFmtId="187" fontId="14" fillId="0" borderId="0" xfId="46" applyNumberFormat="1" applyFont="1"/>
    <xf numFmtId="0" fontId="20" fillId="0" borderId="0" xfId="46" applyFont="1"/>
    <xf numFmtId="3" fontId="15" fillId="0" borderId="0" xfId="4" applyNumberFormat="1" applyFont="1" applyFill="1" applyBorder="1" applyAlignment="1"/>
    <xf numFmtId="201" fontId="15" fillId="0" borderId="0" xfId="4" applyNumberFormat="1" applyFont="1" applyFill="1" applyBorder="1" applyAlignment="1"/>
    <xf numFmtId="187" fontId="15" fillId="0" borderId="0" xfId="4" applyNumberFormat="1" applyFont="1" applyFill="1" applyBorder="1" applyAlignment="1"/>
    <xf numFmtId="3" fontId="13" fillId="0" borderId="0" xfId="4" applyNumberFormat="1" applyFont="1" applyFill="1" applyBorder="1" applyAlignment="1"/>
    <xf numFmtId="3" fontId="13" fillId="0" borderId="2" xfId="4" applyNumberFormat="1" applyFont="1" applyFill="1" applyBorder="1" applyAlignment="1">
      <alignment horizontal="right"/>
    </xf>
    <xf numFmtId="3" fontId="13" fillId="0" borderId="3" xfId="46" applyNumberFormat="1" applyFont="1" applyBorder="1" applyAlignment="1">
      <alignment horizontal="right"/>
    </xf>
    <xf numFmtId="206" fontId="15" fillId="0" borderId="0" xfId="4" applyNumberFormat="1" applyFont="1" applyFill="1" applyBorder="1" applyAlignment="1"/>
    <xf numFmtId="9" fontId="13" fillId="0" borderId="0" xfId="50" applyFont="1" applyFill="1" applyBorder="1" applyAlignment="1">
      <alignment horizontal="right"/>
    </xf>
    <xf numFmtId="164" fontId="15" fillId="0" borderId="0" xfId="4" applyNumberFormat="1" applyFont="1" applyFill="1" applyBorder="1" applyAlignment="1"/>
    <xf numFmtId="37" fontId="15" fillId="0" borderId="0" xfId="4" applyNumberFormat="1" applyFont="1" applyFill="1" applyBorder="1" applyAlignment="1"/>
    <xf numFmtId="164" fontId="13" fillId="0" borderId="0" xfId="2" quotePrefix="1" applyNumberFormat="1"/>
    <xf numFmtId="164" fontId="13" fillId="0" borderId="0" xfId="50" applyNumberFormat="1" applyFont="1" applyFill="1" applyBorder="1" applyAlignment="1">
      <alignment horizontal="right"/>
    </xf>
    <xf numFmtId="206" fontId="13" fillId="0" borderId="0" xfId="2" applyNumberFormat="1"/>
    <xf numFmtId="3" fontId="13" fillId="0" borderId="4" xfId="2" applyNumberFormat="1" applyBorder="1" applyAlignment="1">
      <alignment horizontal="center" wrapText="1"/>
    </xf>
    <xf numFmtId="37" fontId="13" fillId="0" borderId="0" xfId="2" applyNumberFormat="1" applyAlignment="1">
      <alignment horizontal="right" wrapText="1"/>
    </xf>
    <xf numFmtId="199" fontId="13" fillId="0" borderId="4" xfId="2" applyNumberFormat="1" applyBorder="1"/>
    <xf numFmtId="208" fontId="13" fillId="0" borderId="0" xfId="2" applyNumberFormat="1"/>
    <xf numFmtId="168" fontId="13" fillId="0" borderId="0" xfId="2" applyNumberFormat="1" applyAlignment="1">
      <alignment horizontal="right"/>
    </xf>
    <xf numFmtId="168" fontId="13" fillId="0" borderId="0" xfId="2" applyNumberFormat="1" applyAlignment="1">
      <alignment horizontal="left"/>
    </xf>
    <xf numFmtId="188" fontId="13" fillId="0" borderId="0" xfId="2" applyNumberFormat="1"/>
    <xf numFmtId="168" fontId="13" fillId="0" borderId="0" xfId="2" applyNumberFormat="1" applyAlignment="1">
      <alignment horizontal="center" wrapText="1"/>
    </xf>
    <xf numFmtId="199" fontId="13" fillId="0" borderId="0" xfId="1" applyNumberFormat="1" applyFont="1"/>
    <xf numFmtId="181" fontId="13" fillId="0" borderId="0" xfId="1" applyNumberFormat="1" applyFont="1"/>
    <xf numFmtId="181" fontId="13" fillId="0" borderId="3" xfId="1" applyNumberFormat="1" applyFont="1" applyBorder="1"/>
    <xf numFmtId="211" fontId="13" fillId="0" borderId="0" xfId="1" applyNumberFormat="1" applyFont="1"/>
    <xf numFmtId="181" fontId="13" fillId="0" borderId="3" xfId="2" applyNumberFormat="1" applyBorder="1"/>
    <xf numFmtId="195" fontId="15" fillId="0" borderId="0" xfId="4" applyNumberFormat="1" applyFont="1" applyFill="1" applyBorder="1" applyAlignment="1"/>
    <xf numFmtId="199" fontId="14" fillId="0" borderId="0" xfId="46" applyNumberFormat="1" applyFont="1"/>
    <xf numFmtId="181" fontId="13" fillId="0" borderId="0" xfId="2" applyNumberFormat="1"/>
    <xf numFmtId="195" fontId="13" fillId="0" borderId="0" xfId="4" applyNumberFormat="1" applyFont="1" applyFill="1" applyBorder="1" applyAlignment="1">
      <alignment horizontal="right"/>
    </xf>
    <xf numFmtId="195" fontId="13" fillId="0" borderId="0" xfId="2" applyNumberFormat="1"/>
    <xf numFmtId="195" fontId="13" fillId="0" borderId="3" xfId="1" applyNumberFormat="1" applyFont="1" applyBorder="1"/>
    <xf numFmtId="7" fontId="15" fillId="0" borderId="0" xfId="4" applyNumberFormat="1" applyFont="1" applyFill="1" applyBorder="1" applyAlignment="1"/>
    <xf numFmtId="168" fontId="13" fillId="0" borderId="3" xfId="1" applyNumberFormat="1" applyFont="1" applyBorder="1"/>
    <xf numFmtId="0" fontId="36" fillId="0" borderId="0" xfId="46" applyFont="1"/>
    <xf numFmtId="3" fontId="20" fillId="0" borderId="0" xfId="46" applyNumberFormat="1" applyFont="1"/>
    <xf numFmtId="0" fontId="14" fillId="0" borderId="0" xfId="46" applyFont="1" applyAlignment="1">
      <alignment horizontal="left" indent="3"/>
    </xf>
    <xf numFmtId="0" fontId="20" fillId="0" borderId="0" xfId="46" applyFont="1" applyAlignment="1">
      <alignment horizontal="left"/>
    </xf>
    <xf numFmtId="0" fontId="14" fillId="0" borderId="0" xfId="53" applyFont="1" applyAlignment="1">
      <alignment horizontal="left" indent="3"/>
    </xf>
    <xf numFmtId="0" fontId="14" fillId="0" borderId="0" xfId="53" applyFont="1" applyAlignment="1">
      <alignment horizontal="left" indent="1"/>
    </xf>
    <xf numFmtId="0" fontId="14" fillId="0" borderId="0" xfId="46" quotePrefix="1" applyFont="1"/>
    <xf numFmtId="0" fontId="12" fillId="0" borderId="0" xfId="46" applyFont="1" applyAlignment="1">
      <alignment horizontal="center"/>
    </xf>
    <xf numFmtId="3" fontId="14" fillId="0" borderId="0" xfId="46" applyNumberFormat="1" applyFont="1" applyAlignment="1">
      <alignment horizontal="center"/>
    </xf>
    <xf numFmtId="3" fontId="13" fillId="0" borderId="2" xfId="46" applyNumberFormat="1" applyFont="1" applyBorder="1"/>
    <xf numFmtId="9" fontId="13" fillId="0" borderId="0" xfId="46" applyNumberFormat="1" applyFont="1" applyAlignment="1">
      <alignment horizontal="center"/>
    </xf>
    <xf numFmtId="9" fontId="13" fillId="0" borderId="0" xfId="2" applyNumberFormat="1" applyAlignment="1">
      <alignment horizontal="center"/>
    </xf>
    <xf numFmtId="164" fontId="13" fillId="0" borderId="0" xfId="46" applyNumberFormat="1" applyFont="1" applyAlignment="1">
      <alignment horizontal="center"/>
    </xf>
    <xf numFmtId="168" fontId="13" fillId="0" borderId="0" xfId="46" applyNumberFormat="1" applyFont="1" applyAlignment="1">
      <alignment horizontal="right"/>
    </xf>
    <xf numFmtId="37" fontId="13" fillId="0" borderId="3" xfId="2" applyNumberFormat="1" applyBorder="1" applyAlignment="1">
      <alignment horizontal="right"/>
    </xf>
    <xf numFmtId="187" fontId="13" fillId="0" borderId="4" xfId="2" quotePrefix="1" applyNumberFormat="1" applyBorder="1"/>
    <xf numFmtId="182" fontId="13" fillId="0" borderId="4" xfId="2" applyNumberFormat="1" applyBorder="1"/>
    <xf numFmtId="0" fontId="13" fillId="0" borderId="4" xfId="2" applyBorder="1" applyAlignment="1">
      <alignment horizontal="right" wrapText="1"/>
    </xf>
    <xf numFmtId="1" fontId="13" fillId="0" borderId="0" xfId="46" applyNumberFormat="1" applyFont="1"/>
    <xf numFmtId="0" fontId="13" fillId="0" borderId="4" xfId="4" applyNumberFormat="1" applyFont="1" applyFill="1" applyBorder="1" applyAlignment="1">
      <alignment horizontal="right"/>
    </xf>
    <xf numFmtId="182" fontId="13" fillId="0" borderId="4" xfId="50" applyNumberFormat="1" applyFont="1" applyFill="1" applyBorder="1" applyAlignment="1"/>
    <xf numFmtId="164" fontId="13" fillId="0" borderId="4" xfId="4" applyNumberFormat="1" applyFont="1" applyFill="1" applyBorder="1" applyAlignment="1"/>
    <xf numFmtId="182" fontId="13" fillId="0" borderId="0" xfId="50" applyNumberFormat="1" applyFont="1" applyFill="1" applyBorder="1" applyAlignment="1"/>
    <xf numFmtId="182" fontId="13" fillId="0" borderId="4" xfId="2" applyNumberFormat="1" applyBorder="1" applyAlignment="1">
      <alignment horizontal="right"/>
    </xf>
    <xf numFmtId="182" fontId="13" fillId="0" borderId="0" xfId="2" applyNumberFormat="1" applyAlignment="1">
      <alignment horizontal="right"/>
    </xf>
    <xf numFmtId="187" fontId="13" fillId="0" borderId="0" xfId="1" applyNumberFormat="1" applyFont="1" applyAlignment="1">
      <alignment horizontal="right"/>
    </xf>
    <xf numFmtId="37" fontId="13" fillId="0" borderId="3" xfId="46" applyNumberFormat="1" applyFont="1" applyBorder="1"/>
    <xf numFmtId="9" fontId="13" fillId="0" borderId="3" xfId="2" applyNumberFormat="1" applyBorder="1" applyAlignment="1">
      <alignment horizontal="right"/>
    </xf>
    <xf numFmtId="182" fontId="13" fillId="0" borderId="3" xfId="2" applyNumberFormat="1" applyBorder="1" applyAlignment="1">
      <alignment horizontal="right"/>
    </xf>
    <xf numFmtId="1" fontId="13" fillId="0" borderId="0" xfId="4" applyNumberFormat="1" applyFont="1" applyFill="1" applyBorder="1" applyAlignment="1">
      <alignment horizontal="right"/>
    </xf>
    <xf numFmtId="182" fontId="13" fillId="0" borderId="0" xfId="50" applyNumberFormat="1" applyFont="1" applyFill="1" applyBorder="1" applyAlignment="1">
      <alignment horizontal="center"/>
    </xf>
    <xf numFmtId="182" fontId="13" fillId="0" borderId="0" xfId="2" applyNumberFormat="1"/>
    <xf numFmtId="164" fontId="13" fillId="0" borderId="3" xfId="2" applyNumberFormat="1" applyBorder="1" applyAlignment="1">
      <alignment horizontal="center"/>
    </xf>
    <xf numFmtId="9" fontId="13" fillId="0" borderId="3" xfId="1" applyNumberFormat="1" applyFont="1" applyBorder="1" applyAlignment="1">
      <alignment horizontal="right"/>
    </xf>
    <xf numFmtId="169" fontId="13" fillId="0" borderId="0" xfId="47" applyNumberFormat="1" applyFont="1" applyFill="1" applyBorder="1"/>
    <xf numFmtId="3" fontId="12" fillId="0" borderId="0" xfId="46" applyNumberFormat="1" applyFont="1"/>
    <xf numFmtId="0" fontId="14" fillId="0" borderId="0" xfId="54" applyFont="1"/>
    <xf numFmtId="0" fontId="13" fillId="0" borderId="0" xfId="54" applyFont="1"/>
    <xf numFmtId="0" fontId="1" fillId="0" borderId="0" xfId="54"/>
    <xf numFmtId="0" fontId="13" fillId="0" borderId="0" xfId="54" applyFont="1" applyAlignment="1">
      <alignment horizontal="centerContinuous"/>
    </xf>
    <xf numFmtId="0" fontId="13" fillId="0" borderId="1" xfId="54" applyFont="1" applyBorder="1" applyAlignment="1">
      <alignment horizontal="center"/>
    </xf>
    <xf numFmtId="0" fontId="42" fillId="0" borderId="0" xfId="1" applyFont="1"/>
    <xf numFmtId="0" fontId="29" fillId="0" borderId="0" xfId="1" applyFont="1"/>
    <xf numFmtId="0" fontId="12" fillId="0" borderId="0" xfId="2" applyFont="1" applyAlignment="1">
      <alignment horizontal="left"/>
    </xf>
    <xf numFmtId="0" fontId="29" fillId="0" borderId="0" xfId="1" quotePrefix="1" applyFont="1" applyAlignment="1">
      <alignment horizontal="left" indent="1"/>
    </xf>
    <xf numFmtId="167" fontId="13" fillId="0" borderId="0" xfId="4" applyNumberFormat="1" applyFont="1" applyFill="1" applyBorder="1"/>
    <xf numFmtId="173" fontId="13" fillId="0" borderId="0" xfId="54" applyNumberFormat="1" applyFont="1"/>
    <xf numFmtId="171" fontId="29" fillId="0" borderId="0" xfId="54" applyNumberFormat="1" applyFont="1"/>
    <xf numFmtId="169" fontId="13" fillId="0" borderId="1" xfId="4" applyNumberFormat="1" applyFont="1" applyFill="1" applyBorder="1"/>
    <xf numFmtId="0" fontId="13" fillId="0" borderId="0" xfId="54" applyFont="1" applyAlignment="1">
      <alignment horizontal="left" indent="2"/>
    </xf>
    <xf numFmtId="171" fontId="13" fillId="0" borderId="0" xfId="54" applyNumberFormat="1" applyFont="1"/>
    <xf numFmtId="10" fontId="13" fillId="0" borderId="0" xfId="54" applyNumberFormat="1" applyFont="1"/>
    <xf numFmtId="171" fontId="28" fillId="0" borderId="0" xfId="54" applyNumberFormat="1" applyFont="1"/>
    <xf numFmtId="189" fontId="14" fillId="0" borderId="0" xfId="50" applyNumberFormat="1" applyFont="1" applyFill="1" applyBorder="1"/>
    <xf numFmtId="169" fontId="13" fillId="0" borderId="1" xfId="47" applyNumberFormat="1" applyFont="1" applyFill="1" applyBorder="1"/>
    <xf numFmtId="173" fontId="13" fillId="0" borderId="4" xfId="54" applyNumberFormat="1" applyFont="1" applyBorder="1"/>
    <xf numFmtId="0" fontId="13" fillId="0" borderId="0" xfId="54" applyFont="1" applyAlignment="1">
      <alignment horizontal="left" indent="1"/>
    </xf>
    <xf numFmtId="0" fontId="36" fillId="0" borderId="0" xfId="54" applyFont="1"/>
    <xf numFmtId="189" fontId="13" fillId="0" borderId="0" xfId="50" applyNumberFormat="1" applyFont="1" applyFill="1"/>
    <xf numFmtId="189" fontId="13" fillId="0" borderId="1" xfId="50" applyNumberFormat="1" applyFont="1" applyFill="1" applyBorder="1"/>
    <xf numFmtId="189" fontId="13" fillId="0" borderId="0" xfId="50" applyNumberFormat="1" applyFont="1" applyFill="1" applyBorder="1"/>
    <xf numFmtId="189" fontId="13" fillId="0" borderId="4" xfId="50" applyNumberFormat="1" applyFont="1" applyFill="1" applyBorder="1"/>
    <xf numFmtId="189" fontId="13" fillId="0" borderId="0" xfId="50" quotePrefix="1" applyNumberFormat="1" applyFont="1" applyFill="1" applyBorder="1"/>
    <xf numFmtId="0" fontId="14" fillId="0" borderId="0" xfId="54" applyFont="1" applyAlignment="1">
      <alignment horizontal="left" indent="1"/>
    </xf>
    <xf numFmtId="9" fontId="13" fillId="0" borderId="0" xfId="50" applyFont="1" applyFill="1" applyBorder="1"/>
    <xf numFmtId="173" fontId="29" fillId="0" borderId="0" xfId="54" applyNumberFormat="1" applyFont="1"/>
    <xf numFmtId="212" fontId="13" fillId="0" borderId="0" xfId="55" applyNumberFormat="1" applyFont="1" applyFill="1" applyAlignment="1">
      <alignment horizontal="right"/>
    </xf>
    <xf numFmtId="189" fontId="13" fillId="0" borderId="2" xfId="50" applyNumberFormat="1" applyFont="1" applyFill="1" applyBorder="1"/>
    <xf numFmtId="180" fontId="13" fillId="0" borderId="0" xfId="50" applyNumberFormat="1" applyFont="1" applyFill="1" applyBorder="1"/>
    <xf numFmtId="212" fontId="13" fillId="0" borderId="1" xfId="55" applyNumberFormat="1" applyFont="1" applyFill="1" applyBorder="1" applyAlignment="1">
      <alignment horizontal="right"/>
    </xf>
    <xf numFmtId="169" fontId="13" fillId="0" borderId="0" xfId="50" applyNumberFormat="1" applyFont="1" applyFill="1"/>
    <xf numFmtId="213" fontId="13" fillId="0" borderId="1" xfId="28" applyNumberFormat="1" applyFont="1" applyFill="1" applyBorder="1"/>
    <xf numFmtId="214" fontId="13" fillId="0" borderId="0" xfId="54" applyNumberFormat="1" applyFont="1"/>
    <xf numFmtId="173" fontId="13" fillId="0" borderId="2" xfId="54" applyNumberFormat="1" applyFont="1" applyBorder="1"/>
    <xf numFmtId="173" fontId="13" fillId="0" borderId="1" xfId="54" applyNumberFormat="1" applyFont="1" applyBorder="1"/>
    <xf numFmtId="173" fontId="14" fillId="0" borderId="0" xfId="54" applyNumberFormat="1" applyFont="1"/>
    <xf numFmtId="0" fontId="13" fillId="0" borderId="0" xfId="54" applyFont="1" applyAlignment="1">
      <alignment horizontal="left"/>
    </xf>
    <xf numFmtId="0" fontId="29" fillId="0" borderId="0" xfId="54" applyFont="1"/>
    <xf numFmtId="9" fontId="13" fillId="0" borderId="0" xfId="56" applyFont="1" applyFill="1"/>
    <xf numFmtId="9" fontId="13" fillId="0" borderId="0" xfId="56" applyFont="1" applyFill="1" applyBorder="1"/>
    <xf numFmtId="174" fontId="16" fillId="0" borderId="0" xfId="0" applyNumberFormat="1" applyFont="1"/>
    <xf numFmtId="10" fontId="16" fillId="0" borderId="0" xfId="50" applyNumberFormat="1" applyFont="1" applyFill="1" applyBorder="1"/>
    <xf numFmtId="173" fontId="13" fillId="0" borderId="1" xfId="1" applyNumberFormat="1" applyFont="1" applyBorder="1"/>
    <xf numFmtId="0" fontId="14" fillId="0" borderId="0" xfId="54" applyFont="1" applyAlignment="1">
      <alignment horizontal="centerContinuous"/>
    </xf>
    <xf numFmtId="0" fontId="14" fillId="0" borderId="0" xfId="54" applyFont="1" applyAlignment="1">
      <alignment horizontal="center"/>
    </xf>
    <xf numFmtId="215" fontId="13" fillId="0" borderId="0" xfId="54" applyNumberFormat="1" applyFont="1"/>
    <xf numFmtId="215" fontId="13" fillId="0" borderId="0" xfId="1" applyNumberFormat="1" applyFont="1"/>
    <xf numFmtId="215" fontId="13" fillId="0" borderId="2" xfId="54" applyNumberFormat="1" applyFont="1" applyBorder="1"/>
    <xf numFmtId="215" fontId="13" fillId="0" borderId="4" xfId="54" applyNumberFormat="1" applyFont="1" applyBorder="1"/>
    <xf numFmtId="10" fontId="29" fillId="0" borderId="0" xfId="0" applyNumberFormat="1" applyFont="1"/>
    <xf numFmtId="10" fontId="27" fillId="0" borderId="0" xfId="50" applyNumberFormat="1" applyFont="1" applyFill="1" applyBorder="1"/>
    <xf numFmtId="189" fontId="50" fillId="0" borderId="0" xfId="0" applyNumberFormat="1" applyFont="1"/>
    <xf numFmtId="10" fontId="14" fillId="0" borderId="0" xfId="0" applyNumberFormat="1" applyFont="1"/>
    <xf numFmtId="189" fontId="28" fillId="0" borderId="0" xfId="0" applyNumberFormat="1" applyFont="1"/>
    <xf numFmtId="0" fontId="22" fillId="0" borderId="0" xfId="0" applyFont="1" applyAlignment="1">
      <alignment horizontal="center"/>
    </xf>
    <xf numFmtId="0" fontId="22" fillId="0" borderId="0" xfId="0" applyFont="1"/>
    <xf numFmtId="189" fontId="13" fillId="0" borderId="0" xfId="0" applyNumberFormat="1" applyFont="1"/>
    <xf numFmtId="216" fontId="13" fillId="0" borderId="0" xfId="0" applyNumberFormat="1" applyFont="1"/>
    <xf numFmtId="0" fontId="51" fillId="0" borderId="0" xfId="0" applyFont="1"/>
    <xf numFmtId="189" fontId="40" fillId="0" borderId="0" xfId="0" applyNumberFormat="1" applyFont="1"/>
    <xf numFmtId="0" fontId="12" fillId="0" borderId="0" xfId="54" applyFont="1" applyAlignment="1">
      <alignment horizontal="centerContinuous"/>
    </xf>
    <xf numFmtId="43" fontId="13" fillId="0" borderId="1" xfId="4" applyFont="1" applyFill="1" applyBorder="1" applyAlignment="1">
      <alignment vertical="center"/>
    </xf>
    <xf numFmtId="173" fontId="13" fillId="0" borderId="0" xfId="1" applyNumberFormat="1" applyFont="1"/>
    <xf numFmtId="0" fontId="12" fillId="0" borderId="0" xfId="0" applyFont="1"/>
    <xf numFmtId="0" fontId="13" fillId="0" borderId="0" xfId="0" applyFont="1" applyAlignment="1">
      <alignment horizontal="left" indent="2"/>
    </xf>
    <xf numFmtId="174" fontId="13" fillId="0" borderId="0" xfId="0" applyNumberFormat="1" applyFont="1"/>
    <xf numFmtId="9" fontId="13" fillId="0" borderId="0" xfId="0" applyNumberFormat="1" applyFont="1"/>
    <xf numFmtId="174" fontId="13" fillId="0" borderId="4" xfId="0" applyNumberFormat="1" applyFont="1" applyBorder="1"/>
    <xf numFmtId="198" fontId="13" fillId="0" borderId="0" xfId="0" applyNumberFormat="1" applyFont="1"/>
    <xf numFmtId="198" fontId="13" fillId="0" borderId="4" xfId="0" applyNumberFormat="1" applyFont="1" applyBorder="1"/>
    <xf numFmtId="0" fontId="22" fillId="0" borderId="0" xfId="54" quotePrefix="1" applyFont="1" applyAlignment="1">
      <alignment horizontal="center"/>
    </xf>
    <xf numFmtId="0" fontId="22" fillId="0" borderId="0" xfId="54" applyFont="1" applyAlignment="1">
      <alignment horizontal="center"/>
    </xf>
    <xf numFmtId="0" fontId="12" fillId="0" borderId="0" xfId="54" applyFont="1" applyAlignment="1">
      <alignment horizontal="left" indent="1"/>
    </xf>
    <xf numFmtId="189" fontId="13" fillId="0" borderId="0" xfId="56" applyNumberFormat="1" applyFont="1" applyFill="1" applyBorder="1"/>
    <xf numFmtId="184" fontId="13" fillId="0" borderId="0" xfId="4" applyNumberFormat="1" applyFont="1" applyFill="1" applyBorder="1"/>
    <xf numFmtId="184" fontId="13" fillId="0" borderId="1" xfId="4" applyNumberFormat="1" applyFont="1" applyFill="1" applyBorder="1"/>
    <xf numFmtId="167" fontId="13" fillId="0" borderId="1" xfId="4" applyNumberFormat="1" applyFont="1" applyFill="1" applyBorder="1"/>
    <xf numFmtId="184" fontId="13" fillId="0" borderId="0" xfId="2" applyNumberFormat="1"/>
    <xf numFmtId="184" fontId="13" fillId="0" borderId="4" xfId="4" applyNumberFormat="1" applyFont="1" applyFill="1" applyBorder="1"/>
    <xf numFmtId="0" fontId="13" fillId="0" borderId="0" xfId="1" quotePrefix="1" applyFont="1" applyAlignment="1">
      <alignment horizontal="center" vertical="top"/>
    </xf>
    <xf numFmtId="169" fontId="14" fillId="0" borderId="3" xfId="0" applyNumberFormat="1" applyFont="1" applyBorder="1"/>
    <xf numFmtId="169" fontId="14" fillId="0" borderId="4" xfId="0" applyNumberFormat="1" applyFont="1" applyBorder="1"/>
    <xf numFmtId="169" fontId="14" fillId="0" borderId="4" xfId="30" applyNumberFormat="1" applyFont="1" applyFill="1" applyBorder="1"/>
    <xf numFmtId="217" fontId="14" fillId="0" borderId="0" xfId="0" quotePrefix="1" applyNumberFormat="1" applyFont="1" applyAlignment="1">
      <alignment horizontal="center"/>
    </xf>
    <xf numFmtId="0" fontId="14" fillId="0" borderId="1" xfId="0" applyFont="1" applyBorder="1"/>
    <xf numFmtId="0" fontId="14" fillId="0" borderId="0" xfId="0" applyFont="1" applyAlignment="1">
      <alignment horizontal="centerContinuous"/>
    </xf>
    <xf numFmtId="0" fontId="17" fillId="0" borderId="0" xfId="0" applyFont="1"/>
    <xf numFmtId="169" fontId="14" fillId="0" borderId="0" xfId="30" applyNumberFormat="1" applyFont="1"/>
    <xf numFmtId="167" fontId="14" fillId="0" borderId="0" xfId="30" applyNumberFormat="1" applyFont="1"/>
    <xf numFmtId="173" fontId="14" fillId="0" borderId="0" xfId="0" applyNumberFormat="1" applyFont="1"/>
    <xf numFmtId="173" fontId="13" fillId="0" borderId="0" xfId="0" applyNumberFormat="1" applyFont="1"/>
    <xf numFmtId="215" fontId="13" fillId="0" borderId="0" xfId="0" applyNumberFormat="1" applyFont="1"/>
    <xf numFmtId="0" fontId="12" fillId="0" borderId="0" xfId="54" applyFont="1" applyAlignment="1">
      <alignment horizontal="left"/>
    </xf>
    <xf numFmtId="169" fontId="13" fillId="0" borderId="3" xfId="30" applyNumberFormat="1" applyFont="1" applyBorder="1"/>
    <xf numFmtId="167" fontId="13" fillId="0" borderId="0" xfId="30" applyNumberFormat="1" applyFont="1"/>
    <xf numFmtId="171" fontId="13" fillId="0" borderId="0" xfId="0" applyNumberFormat="1" applyFont="1"/>
    <xf numFmtId="167" fontId="13" fillId="0" borderId="0" xfId="30" applyNumberFormat="1" applyFont="1" applyBorder="1"/>
    <xf numFmtId="167" fontId="13" fillId="0" borderId="0" xfId="30" applyNumberFormat="1" applyFont="1" applyFill="1"/>
    <xf numFmtId="0" fontId="13" fillId="0" borderId="0" xfId="0" applyFont="1" applyAlignment="1">
      <alignment horizontal="left" indent="3"/>
    </xf>
    <xf numFmtId="218" fontId="13" fillId="0" borderId="0" xfId="0" applyNumberFormat="1" applyFont="1"/>
    <xf numFmtId="201" fontId="13" fillId="0" borderId="0" xfId="30" applyNumberFormat="1" applyFont="1"/>
    <xf numFmtId="201" fontId="13" fillId="0" borderId="0" xfId="0" applyNumberFormat="1" applyFont="1"/>
    <xf numFmtId="43" fontId="13" fillId="0" borderId="0" xfId="0" applyNumberFormat="1" applyFont="1"/>
    <xf numFmtId="169" fontId="13" fillId="0" borderId="0" xfId="30" applyNumberFormat="1" applyFont="1" applyBorder="1"/>
    <xf numFmtId="215" fontId="13" fillId="0" borderId="0" xfId="30" applyNumberFormat="1" applyFont="1"/>
    <xf numFmtId="215" fontId="13" fillId="0" borderId="0" xfId="30" applyNumberFormat="1" applyFont="1" applyFill="1"/>
    <xf numFmtId="201" fontId="13" fillId="0" borderId="0" xfId="28" applyNumberFormat="1" applyFont="1" applyFill="1"/>
    <xf numFmtId="43" fontId="13" fillId="0" borderId="0" xfId="28" applyNumberFormat="1" applyFont="1"/>
    <xf numFmtId="43" fontId="13" fillId="0" borderId="0" xfId="28" applyNumberFormat="1" applyFont="1" applyFill="1"/>
    <xf numFmtId="38" fontId="13" fillId="0" borderId="0" xfId="57" applyNumberFormat="1" applyFont="1" applyAlignment="1">
      <alignment horizontal="right"/>
    </xf>
    <xf numFmtId="187" fontId="13" fillId="0" borderId="0" xfId="0" applyNumberFormat="1" applyFont="1"/>
    <xf numFmtId="169" fontId="13" fillId="0" borderId="1" xfId="30" applyNumberFormat="1" applyFont="1" applyBorder="1"/>
    <xf numFmtId="169" fontId="13" fillId="0" borderId="2" xfId="30" applyNumberFormat="1" applyFont="1" applyBorder="1"/>
    <xf numFmtId="219" fontId="13" fillId="0" borderId="0" xfId="0" applyNumberFormat="1" applyFont="1"/>
    <xf numFmtId="220" fontId="13" fillId="0" borderId="0" xfId="0" applyNumberFormat="1" applyFont="1"/>
    <xf numFmtId="221" fontId="13" fillId="0" borderId="0" xfId="30" applyNumberFormat="1" applyFont="1"/>
    <xf numFmtId="222" fontId="13" fillId="0" borderId="0" xfId="0" applyNumberFormat="1" applyFont="1"/>
    <xf numFmtId="169" fontId="13" fillId="0" borderId="3" xfId="30" applyNumberFormat="1" applyFont="1" applyFill="1" applyBorder="1"/>
    <xf numFmtId="167" fontId="13" fillId="0" borderId="0" xfId="30" applyNumberFormat="1" applyFont="1" applyFill="1" applyBorder="1"/>
    <xf numFmtId="169" fontId="13" fillId="0" borderId="1" xfId="30" applyNumberFormat="1" applyFont="1" applyFill="1" applyBorder="1"/>
    <xf numFmtId="223" fontId="13" fillId="0" borderId="0" xfId="30" applyNumberFormat="1" applyFont="1"/>
    <xf numFmtId="0" fontId="13" fillId="0" borderId="0" xfId="0" quotePrefix="1" applyFont="1" applyAlignment="1">
      <alignment horizontal="left" indent="1"/>
    </xf>
    <xf numFmtId="4" fontId="13" fillId="0" borderId="0" xfId="0" applyNumberFormat="1" applyFont="1"/>
    <xf numFmtId="184" fontId="14" fillId="0" borderId="0" xfId="0" applyNumberFormat="1" applyFont="1"/>
    <xf numFmtId="167" fontId="14" fillId="0" borderId="0" xfId="0" applyNumberFormat="1" applyFont="1"/>
    <xf numFmtId="169" fontId="14" fillId="0" borderId="4" xfId="30" applyNumberFormat="1" applyFont="1" applyBorder="1"/>
    <xf numFmtId="0" fontId="52" fillId="0" borderId="0" xfId="0" applyFont="1" applyAlignment="1">
      <alignment horizontal="center"/>
    </xf>
    <xf numFmtId="0" fontId="52" fillId="0" borderId="0" xfId="0" applyFont="1"/>
    <xf numFmtId="0" fontId="14" fillId="0" borderId="1" xfId="0" quotePrefix="1" applyFont="1" applyBorder="1" applyAlignment="1">
      <alignment horizontal="center"/>
    </xf>
    <xf numFmtId="0" fontId="20" fillId="0" borderId="0" xfId="0" applyFont="1" applyAlignment="1">
      <alignment horizontal="centerContinuous"/>
    </xf>
    <xf numFmtId="0" fontId="14" fillId="0" borderId="0" xfId="0" applyFont="1" applyAlignment="1">
      <alignment horizontal="left" indent="4"/>
    </xf>
    <xf numFmtId="1" fontId="14" fillId="0" borderId="0" xfId="46" applyNumberFormat="1" applyFont="1"/>
    <xf numFmtId="170" fontId="14" fillId="0" borderId="0" xfId="46" applyNumberFormat="1" applyFont="1" applyAlignment="1">
      <alignment wrapText="1"/>
    </xf>
    <xf numFmtId="0" fontId="13" fillId="0" borderId="0" xfId="58" applyAlignment="1">
      <alignment horizontal="center"/>
    </xf>
    <xf numFmtId="0" fontId="13" fillId="0" borderId="0" xfId="58" applyAlignment="1">
      <alignment horizontal="left"/>
    </xf>
    <xf numFmtId="0" fontId="14" fillId="0" borderId="0" xfId="46" quotePrefix="1" applyFont="1" applyAlignment="1">
      <alignment horizontal="center"/>
    </xf>
    <xf numFmtId="224" fontId="14" fillId="0" borderId="3" xfId="46" applyNumberFormat="1" applyFont="1" applyBorder="1" applyAlignment="1">
      <alignment horizontal="right" wrapText="1"/>
    </xf>
    <xf numFmtId="224" fontId="14" fillId="0" borderId="0" xfId="46" applyNumberFormat="1" applyFont="1" applyAlignment="1">
      <alignment horizontal="right" wrapText="1"/>
    </xf>
    <xf numFmtId="1" fontId="13" fillId="0" borderId="0" xfId="58" applyNumberFormat="1" applyAlignment="1">
      <alignment horizontal="center"/>
    </xf>
    <xf numFmtId="170" fontId="14" fillId="0" borderId="0" xfId="46" applyNumberFormat="1" applyFont="1" applyAlignment="1">
      <alignment horizontal="right" wrapText="1"/>
    </xf>
    <xf numFmtId="205" fontId="13" fillId="0" borderId="0" xfId="58" applyNumberFormat="1" applyAlignment="1">
      <alignment horizontal="right"/>
    </xf>
    <xf numFmtId="225" fontId="13" fillId="0" borderId="0" xfId="58" applyNumberFormat="1" applyAlignment="1">
      <alignment horizontal="right"/>
    </xf>
    <xf numFmtId="0" fontId="13" fillId="0" borderId="0" xfId="58" applyAlignment="1">
      <alignment horizontal="right"/>
    </xf>
    <xf numFmtId="224" fontId="14" fillId="0" borderId="4" xfId="46" applyNumberFormat="1" applyFont="1" applyBorder="1" applyAlignment="1">
      <alignment horizontal="right" wrapText="1"/>
    </xf>
    <xf numFmtId="224" fontId="14" fillId="0" borderId="1" xfId="46" applyNumberFormat="1" applyFont="1" applyBorder="1" applyAlignment="1">
      <alignment horizontal="right" wrapText="1"/>
    </xf>
    <xf numFmtId="225" fontId="13" fillId="0" borderId="4" xfId="58" applyNumberFormat="1" applyBorder="1" applyAlignment="1">
      <alignment horizontal="right"/>
    </xf>
    <xf numFmtId="43" fontId="14" fillId="0" borderId="0" xfId="47" applyFont="1"/>
    <xf numFmtId="0" fontId="13" fillId="0" borderId="0" xfId="58"/>
    <xf numFmtId="205" fontId="13" fillId="0" borderId="0" xfId="58" applyNumberFormat="1" applyAlignment="1">
      <alignment horizontal="center"/>
    </xf>
    <xf numFmtId="1" fontId="13" fillId="0" borderId="0" xfId="58" applyNumberFormat="1"/>
    <xf numFmtId="205" fontId="13" fillId="0" borderId="0" xfId="58" quotePrefix="1" applyNumberFormat="1" applyAlignment="1">
      <alignment horizontal="center"/>
    </xf>
    <xf numFmtId="205" fontId="13" fillId="0" borderId="1" xfId="58" applyNumberFormat="1" applyBorder="1" applyAlignment="1">
      <alignment horizontal="center"/>
    </xf>
    <xf numFmtId="0" fontId="13" fillId="0" borderId="1" xfId="58" applyBorder="1" applyAlignment="1">
      <alignment horizontal="center"/>
    </xf>
    <xf numFmtId="0" fontId="13" fillId="0" borderId="1" xfId="58" applyBorder="1" applyAlignment="1">
      <alignment horizontal="left"/>
    </xf>
    <xf numFmtId="1" fontId="13" fillId="0" borderId="1" xfId="58" applyNumberFormat="1" applyBorder="1" applyAlignment="1">
      <alignment horizontal="center"/>
    </xf>
    <xf numFmtId="205" fontId="13" fillId="0" borderId="0" xfId="58" applyNumberFormat="1"/>
    <xf numFmtId="0" fontId="14" fillId="0" borderId="0" xfId="46" applyFont="1" applyAlignment="1">
      <alignment horizontal="right" vertical="center"/>
    </xf>
    <xf numFmtId="0" fontId="40" fillId="0" borderId="0" xfId="46" applyFont="1"/>
    <xf numFmtId="224" fontId="14" fillId="0" borderId="0" xfId="46" applyNumberFormat="1" applyFont="1" applyAlignment="1">
      <alignment horizontal="right"/>
    </xf>
    <xf numFmtId="170" fontId="14" fillId="0" borderId="0" xfId="47" applyNumberFormat="1" applyFont="1" applyFill="1" applyBorder="1" applyAlignment="1">
      <alignment horizontal="right"/>
    </xf>
    <xf numFmtId="170" fontId="14" fillId="0" borderId="0" xfId="47" applyNumberFormat="1" applyFont="1" applyFill="1" applyAlignment="1">
      <alignment horizontal="right"/>
    </xf>
    <xf numFmtId="0" fontId="13" fillId="0" borderId="0" xfId="58" applyAlignment="1">
      <alignment horizontal="left" indent="2"/>
    </xf>
    <xf numFmtId="224" fontId="13" fillId="0" borderId="0" xfId="46" applyNumberFormat="1" applyFont="1" applyAlignment="1">
      <alignment horizontal="right" wrapText="1"/>
    </xf>
    <xf numFmtId="226" fontId="13" fillId="0" borderId="0" xfId="58" applyNumberFormat="1" applyAlignment="1">
      <alignment horizontal="left" vertical="top" indent="2"/>
    </xf>
    <xf numFmtId="1" fontId="12" fillId="0" borderId="0" xfId="58" applyNumberFormat="1" applyFont="1" applyAlignment="1">
      <alignment horizontal="left"/>
    </xf>
    <xf numFmtId="179" fontId="14" fillId="0" borderId="0" xfId="46" applyNumberFormat="1" applyFont="1" applyAlignment="1">
      <alignment horizontal="right"/>
    </xf>
    <xf numFmtId="169" fontId="14" fillId="0" borderId="3" xfId="47" applyNumberFormat="1" applyFont="1" applyBorder="1"/>
    <xf numFmtId="169" fontId="14" fillId="0" borderId="0" xfId="47" quotePrefix="1" applyNumberFormat="1" applyFont="1" applyBorder="1"/>
    <xf numFmtId="169" fontId="14" fillId="0" borderId="0" xfId="47" quotePrefix="1" applyNumberFormat="1" applyFont="1" applyBorder="1" applyAlignment="1">
      <alignment horizontal="left"/>
    </xf>
    <xf numFmtId="169" fontId="14" fillId="0" borderId="0" xfId="47" applyNumberFormat="1" applyFont="1" applyBorder="1" applyAlignment="1">
      <alignment horizontal="center"/>
    </xf>
    <xf numFmtId="169" fontId="14" fillId="0" borderId="3" xfId="47" applyNumberFormat="1" applyFont="1" applyBorder="1" applyAlignment="1">
      <alignment horizontal="center"/>
    </xf>
    <xf numFmtId="184" fontId="14" fillId="0" borderId="0" xfId="47" applyNumberFormat="1" applyFont="1"/>
    <xf numFmtId="184" fontId="14" fillId="0" borderId="0" xfId="47" applyNumberFormat="1" applyFont="1" applyBorder="1"/>
    <xf numFmtId="169" fontId="14" fillId="0" borderId="0" xfId="46" applyNumberFormat="1" applyFont="1" applyAlignment="1">
      <alignment horizontal="center"/>
    </xf>
    <xf numFmtId="169" fontId="14" fillId="0" borderId="0" xfId="47" applyNumberFormat="1" applyFont="1" applyAlignment="1">
      <alignment horizontal="center"/>
    </xf>
    <xf numFmtId="170" fontId="14" fillId="0" borderId="0" xfId="47" applyNumberFormat="1" applyFont="1" applyAlignment="1">
      <alignment horizontal="center"/>
    </xf>
    <xf numFmtId="0" fontId="14" fillId="0" borderId="0" xfId="46" applyFont="1" applyAlignment="1">
      <alignment horizontal="left" vertical="center" indent="1"/>
    </xf>
    <xf numFmtId="0" fontId="14" fillId="0" borderId="0" xfId="46" quotePrefix="1" applyFont="1" applyAlignment="1">
      <alignment horizontal="center" wrapText="1"/>
    </xf>
    <xf numFmtId="0" fontId="14" fillId="0" borderId="1" xfId="46" applyFont="1" applyBorder="1" applyAlignment="1">
      <alignment horizontal="center" wrapText="1"/>
    </xf>
    <xf numFmtId="0" fontId="14" fillId="0" borderId="0" xfId="46" applyFont="1" applyAlignment="1">
      <alignment horizontal="center" wrapText="1"/>
    </xf>
    <xf numFmtId="0" fontId="14" fillId="0" borderId="1" xfId="46" applyFont="1" applyBorder="1" applyAlignment="1">
      <alignment wrapText="1"/>
    </xf>
    <xf numFmtId="0" fontId="14" fillId="0" borderId="1" xfId="46" applyFont="1" applyBorder="1" applyAlignment="1">
      <alignment horizontal="center"/>
    </xf>
    <xf numFmtId="169" fontId="14" fillId="0" borderId="3" xfId="47" applyNumberFormat="1" applyFont="1" applyFill="1" applyBorder="1" applyAlignment="1">
      <alignment horizontal="center"/>
    </xf>
    <xf numFmtId="0" fontId="14" fillId="0" borderId="0" xfId="47" quotePrefix="1" applyNumberFormat="1" applyFont="1" applyFill="1" applyBorder="1" applyAlignment="1">
      <alignment horizontal="center"/>
    </xf>
    <xf numFmtId="0" fontId="14" fillId="0" borderId="0" xfId="47" quotePrefix="1" applyNumberFormat="1" applyFont="1" applyFill="1" applyBorder="1" applyAlignment="1">
      <alignment horizontal="left"/>
    </xf>
    <xf numFmtId="169" fontId="14" fillId="0" borderId="0" xfId="47" applyNumberFormat="1" applyFont="1" applyFill="1" applyBorder="1" applyAlignment="1">
      <alignment horizontal="center"/>
    </xf>
    <xf numFmtId="169" fontId="14" fillId="0" borderId="4" xfId="46" applyNumberFormat="1" applyFont="1" applyBorder="1" applyAlignment="1">
      <alignment horizontal="center"/>
    </xf>
    <xf numFmtId="169" fontId="14" fillId="0" borderId="0" xfId="47" applyNumberFormat="1" applyFont="1" applyFill="1" applyAlignment="1">
      <alignment horizontal="center"/>
    </xf>
    <xf numFmtId="0" fontId="13" fillId="0" borderId="0" xfId="46" applyFont="1" applyAlignment="1">
      <alignment horizontal="left" vertical="center" indent="1"/>
    </xf>
    <xf numFmtId="0" fontId="13" fillId="0" borderId="0" xfId="46" applyFont="1" applyAlignment="1">
      <alignment vertical="center"/>
    </xf>
    <xf numFmtId="0" fontId="53" fillId="0" borderId="0" xfId="46" applyFont="1" applyAlignment="1">
      <alignment horizontal="center" wrapText="1"/>
    </xf>
    <xf numFmtId="0" fontId="13" fillId="0" borderId="1" xfId="46" applyFont="1" applyBorder="1" applyAlignment="1">
      <alignment horizontal="center" wrapText="1"/>
    </xf>
    <xf numFmtId="6" fontId="13" fillId="0" borderId="1" xfId="46" quotePrefix="1" applyNumberFormat="1" applyFont="1" applyBorder="1" applyAlignment="1">
      <alignment horizontal="center" wrapText="1"/>
    </xf>
    <xf numFmtId="6" fontId="53" fillId="0" borderId="0" xfId="46" quotePrefix="1" applyNumberFormat="1" applyFont="1" applyAlignment="1">
      <alignment horizontal="center" wrapText="1"/>
    </xf>
    <xf numFmtId="6" fontId="14" fillId="0" borderId="0" xfId="46" quotePrefix="1" applyNumberFormat="1" applyFont="1" applyAlignment="1">
      <alignment horizontal="center" wrapText="1"/>
    </xf>
    <xf numFmtId="0" fontId="14" fillId="0" borderId="0" xfId="46" applyFont="1" applyAlignment="1">
      <alignment wrapText="1"/>
    </xf>
    <xf numFmtId="0" fontId="29" fillId="0" borderId="0" xfId="46" applyFont="1" applyAlignment="1">
      <alignment horizontal="center"/>
    </xf>
    <xf numFmtId="227" fontId="14" fillId="0" borderId="0" xfId="46" applyNumberFormat="1" applyFont="1" applyAlignment="1">
      <alignment horizontal="center"/>
    </xf>
    <xf numFmtId="169" fontId="14" fillId="0" borderId="4" xfId="47" applyNumberFormat="1" applyFont="1" applyBorder="1" applyAlignment="1">
      <alignment horizontal="center"/>
    </xf>
    <xf numFmtId="169" fontId="14" fillId="0" borderId="2" xfId="47" applyNumberFormat="1" applyFont="1" applyBorder="1" applyAlignment="1">
      <alignment horizontal="center"/>
    </xf>
    <xf numFmtId="169" fontId="14" fillId="0" borderId="2" xfId="46" applyNumberFormat="1" applyFont="1" applyBorder="1" applyAlignment="1">
      <alignment horizontal="center"/>
    </xf>
    <xf numFmtId="167" fontId="14" fillId="0" borderId="0" xfId="47" applyNumberFormat="1" applyFont="1" applyFill="1" applyAlignment="1">
      <alignment horizontal="center"/>
    </xf>
    <xf numFmtId="169" fontId="14" fillId="0" borderId="2" xfId="47" applyNumberFormat="1" applyFont="1" applyFill="1" applyBorder="1" applyAlignment="1">
      <alignment horizontal="center"/>
    </xf>
    <xf numFmtId="43" fontId="14" fillId="0" borderId="0" xfId="46" applyNumberFormat="1" applyFont="1"/>
    <xf numFmtId="0" fontId="14" fillId="0" borderId="2" xfId="46" quotePrefix="1" applyFont="1" applyBorder="1" applyAlignment="1">
      <alignment horizontal="center" wrapText="1"/>
    </xf>
    <xf numFmtId="0" fontId="14" fillId="0" borderId="1" xfId="46" quotePrefix="1" applyFont="1" applyBorder="1" applyAlignment="1">
      <alignment horizontal="center" wrapText="1"/>
    </xf>
    <xf numFmtId="167" fontId="14" fillId="0" borderId="0" xfId="47" applyNumberFormat="1" applyFont="1"/>
    <xf numFmtId="167" fontId="14" fillId="0" borderId="0" xfId="47" applyNumberFormat="1" applyFont="1" applyBorder="1"/>
    <xf numFmtId="167" fontId="14" fillId="0" borderId="0" xfId="47" applyNumberFormat="1" applyFont="1" applyBorder="1" applyAlignment="1"/>
    <xf numFmtId="169" fontId="14" fillId="0" borderId="0" xfId="47" applyNumberFormat="1" applyFont="1" applyBorder="1"/>
    <xf numFmtId="167" fontId="14" fillId="0" borderId="0" xfId="47" quotePrefix="1" applyNumberFormat="1" applyFont="1" applyBorder="1" applyAlignment="1">
      <alignment horizontal="center"/>
    </xf>
    <xf numFmtId="167" fontId="14" fillId="0" borderId="0" xfId="47" applyNumberFormat="1" applyFont="1" applyBorder="1" applyAlignment="1">
      <alignment horizontal="center"/>
    </xf>
    <xf numFmtId="169" fontId="14" fillId="0" borderId="0" xfId="47" applyNumberFormat="1" applyFont="1"/>
    <xf numFmtId="167" fontId="14" fillId="0" borderId="0" xfId="47" applyNumberFormat="1" applyFont="1" applyAlignment="1"/>
    <xf numFmtId="200" fontId="14" fillId="0" borderId="0" xfId="55" applyNumberFormat="1" applyFont="1" applyFill="1"/>
    <xf numFmtId="43" fontId="14" fillId="0" borderId="0" xfId="47" applyFont="1" applyFill="1"/>
    <xf numFmtId="167" fontId="14" fillId="0" borderId="0" xfId="47" applyNumberFormat="1" applyFont="1" applyFill="1" applyAlignment="1"/>
    <xf numFmtId="167" fontId="14" fillId="0" borderId="0" xfId="47" applyNumberFormat="1" applyFont="1" applyAlignment="1">
      <alignment horizontal="center"/>
    </xf>
    <xf numFmtId="167" fontId="14" fillId="0" borderId="0" xfId="47" quotePrefix="1" applyNumberFormat="1" applyFont="1" applyAlignment="1">
      <alignment horizontal="center" wrapText="1"/>
    </xf>
    <xf numFmtId="167" fontId="14" fillId="0" borderId="0" xfId="47" quotePrefix="1" applyNumberFormat="1" applyFont="1" applyAlignment="1">
      <alignment horizontal="center"/>
    </xf>
    <xf numFmtId="0" fontId="14" fillId="0" borderId="1" xfId="46" quotePrefix="1" applyFont="1" applyBorder="1" applyAlignment="1">
      <alignment horizontal="center"/>
    </xf>
    <xf numFmtId="167" fontId="14" fillId="0" borderId="1" xfId="47" applyNumberFormat="1" applyFont="1" applyBorder="1" applyAlignment="1">
      <alignment horizontal="center"/>
    </xf>
    <xf numFmtId="169" fontId="13" fillId="0" borderId="0" xfId="25" applyNumberFormat="1" applyFont="1" applyFill="1" applyAlignment="1">
      <alignment horizontal="center"/>
    </xf>
    <xf numFmtId="169" fontId="13" fillId="0" borderId="1" xfId="25" applyNumberFormat="1" applyFont="1" applyFill="1" applyBorder="1" applyAlignment="1">
      <alignment horizontal="center"/>
    </xf>
    <xf numFmtId="169" fontId="13" fillId="0" borderId="4" xfId="22" applyNumberFormat="1" applyFont="1" applyFill="1" applyBorder="1" applyAlignment="1">
      <alignment horizontal="center"/>
    </xf>
    <xf numFmtId="200" fontId="13" fillId="0" borderId="0" xfId="29" applyNumberFormat="1" applyFont="1" applyFill="1"/>
    <xf numFmtId="200" fontId="13" fillId="0" borderId="4" xfId="29" applyNumberFormat="1" applyFont="1" applyFill="1" applyBorder="1"/>
    <xf numFmtId="182" fontId="13" fillId="0" borderId="4" xfId="50" applyNumberFormat="1" applyFont="1" applyBorder="1"/>
    <xf numFmtId="0" fontId="13" fillId="0" borderId="0" xfId="54" applyFont="1" applyAlignment="1">
      <alignment horizontal="center"/>
    </xf>
    <xf numFmtId="224" fontId="14" fillId="0" borderId="4" xfId="46" applyNumberFormat="1" applyFont="1" applyBorder="1" applyAlignment="1">
      <alignment horizontal="right"/>
    </xf>
    <xf numFmtId="0" fontId="13" fillId="0" borderId="0" xfId="43" applyFont="1" applyAlignment="1">
      <alignment vertical="top" wrapText="1"/>
    </xf>
    <xf numFmtId="0" fontId="14" fillId="0" borderId="0" xfId="46" applyFont="1" applyAlignment="1">
      <alignment vertical="top" wrapText="1"/>
    </xf>
    <xf numFmtId="200" fontId="13" fillId="0" borderId="0" xfId="20" applyNumberFormat="1" applyFont="1" applyAlignment="1">
      <alignment horizontal="right"/>
    </xf>
    <xf numFmtId="180" fontId="13" fillId="0" borderId="0" xfId="20" applyNumberFormat="1" applyFont="1"/>
    <xf numFmtId="200" fontId="13" fillId="0" borderId="0" xfId="20" applyNumberFormat="1" applyFont="1"/>
    <xf numFmtId="0" fontId="20" fillId="0" borderId="0" xfId="21" applyFont="1" applyAlignment="1">
      <alignment horizontal="center"/>
    </xf>
    <xf numFmtId="0" fontId="14" fillId="0" borderId="1" xfId="21" applyFont="1" applyBorder="1" applyAlignment="1">
      <alignment horizontal="center" wrapText="1"/>
    </xf>
    <xf numFmtId="0" fontId="14" fillId="0" borderId="0" xfId="21" applyFont="1" applyAlignment="1">
      <alignment horizontal="center" wrapText="1"/>
    </xf>
    <xf numFmtId="0" fontId="14" fillId="0" borderId="1" xfId="21" applyFont="1" applyBorder="1" applyAlignment="1">
      <alignment wrapText="1"/>
    </xf>
    <xf numFmtId="0" fontId="14" fillId="0" borderId="0" xfId="21" applyFont="1" applyAlignment="1">
      <alignment wrapText="1"/>
    </xf>
    <xf numFmtId="0" fontId="14" fillId="0" borderId="0" xfId="21" quotePrefix="1" applyFont="1" applyAlignment="1">
      <alignment horizontal="center" wrapText="1"/>
    </xf>
    <xf numFmtId="0" fontId="20" fillId="0" borderId="0" xfId="21" applyFont="1"/>
    <xf numFmtId="184" fontId="14" fillId="0" borderId="0" xfId="25" applyNumberFormat="1" applyFont="1" applyFill="1" applyAlignment="1">
      <alignment horizontal="center"/>
    </xf>
    <xf numFmtId="169" fontId="14" fillId="0" borderId="0" xfId="25" applyNumberFormat="1" applyFont="1" applyFill="1" applyAlignment="1">
      <alignment horizontal="center"/>
    </xf>
    <xf numFmtId="169" fontId="14" fillId="0" borderId="0" xfId="25" applyNumberFormat="1" applyFont="1" applyFill="1" applyBorder="1" applyAlignment="1">
      <alignment horizontal="center"/>
    </xf>
    <xf numFmtId="170" fontId="14" fillId="0" borderId="0" xfId="25" applyNumberFormat="1" applyFont="1" applyFill="1" applyAlignment="1">
      <alignment horizontal="center"/>
    </xf>
    <xf numFmtId="184" fontId="14" fillId="0" borderId="0" xfId="25" applyNumberFormat="1" applyFont="1" applyFill="1"/>
    <xf numFmtId="170" fontId="14" fillId="0" borderId="0" xfId="25" applyNumberFormat="1" applyFont="1" applyFill="1" applyBorder="1" applyAlignment="1">
      <alignment horizontal="center"/>
    </xf>
    <xf numFmtId="170" fontId="14" fillId="0" borderId="0" xfId="25" quotePrefix="1" applyNumberFormat="1" applyFont="1" applyFill="1" applyAlignment="1">
      <alignment horizontal="center"/>
    </xf>
    <xf numFmtId="170" fontId="14" fillId="0" borderId="0" xfId="25" quotePrefix="1" applyNumberFormat="1" applyFont="1" applyFill="1" applyBorder="1" applyAlignment="1">
      <alignment horizontal="center"/>
    </xf>
    <xf numFmtId="170" fontId="14" fillId="0" borderId="1" xfId="25" applyNumberFormat="1" applyFont="1" applyFill="1" applyBorder="1" applyAlignment="1">
      <alignment horizontal="center"/>
    </xf>
    <xf numFmtId="170" fontId="14" fillId="0" borderId="2" xfId="25" applyNumberFormat="1" applyFont="1" applyFill="1" applyBorder="1" applyAlignment="1">
      <alignment horizontal="center"/>
    </xf>
    <xf numFmtId="170" fontId="14" fillId="0" borderId="0" xfId="21" applyNumberFormat="1" applyFont="1" applyAlignment="1">
      <alignment horizontal="center"/>
    </xf>
    <xf numFmtId="170" fontId="14" fillId="0" borderId="3" xfId="25" applyNumberFormat="1" applyFont="1" applyFill="1" applyBorder="1" applyAlignment="1">
      <alignment horizontal="center"/>
    </xf>
    <xf numFmtId="184" fontId="14" fillId="0" borderId="0" xfId="25" applyNumberFormat="1" applyFont="1" applyFill="1" applyAlignment="1">
      <alignment horizontal="left"/>
    </xf>
    <xf numFmtId="0" fontId="20" fillId="0" borderId="0" xfId="21" applyFont="1" applyAlignment="1">
      <alignment horizontal="left"/>
    </xf>
    <xf numFmtId="0" fontId="14" fillId="0" borderId="0" xfId="21" applyFont="1" applyAlignment="1">
      <alignment horizontal="center" vertical="top"/>
    </xf>
    <xf numFmtId="0" fontId="14" fillId="0" borderId="0" xfId="21" applyFont="1" applyAlignment="1">
      <alignment horizontal="left" vertical="top" wrapText="1"/>
    </xf>
    <xf numFmtId="0" fontId="14" fillId="0" borderId="0" xfId="21" applyFont="1" applyAlignment="1">
      <alignment horizontal="left" vertical="top" indent="2"/>
    </xf>
    <xf numFmtId="170" fontId="14" fillId="0" borderId="0" xfId="21" applyNumberFormat="1" applyFont="1" applyAlignment="1">
      <alignment horizontal="center" vertical="top"/>
    </xf>
    <xf numFmtId="43" fontId="14" fillId="0" borderId="4" xfId="21" applyNumberFormat="1" applyFont="1" applyBorder="1" applyAlignment="1">
      <alignment horizontal="center" vertical="top"/>
    </xf>
    <xf numFmtId="0" fontId="14" fillId="0" borderId="0" xfId="21" applyFont="1" applyAlignment="1">
      <alignment vertical="top" wrapText="1"/>
    </xf>
    <xf numFmtId="0" fontId="14" fillId="0" borderId="0" xfId="21" applyFont="1" applyAlignment="1">
      <alignment horizontal="left" indent="2"/>
    </xf>
    <xf numFmtId="170" fontId="14" fillId="0" borderId="0" xfId="21" applyNumberFormat="1" applyFont="1"/>
    <xf numFmtId="43" fontId="14" fillId="0" borderId="0" xfId="21" applyNumberFormat="1" applyFont="1" applyAlignment="1">
      <alignment horizontal="center" vertical="top"/>
    </xf>
    <xf numFmtId="170" fontId="14" fillId="0" borderId="4" xfId="21" applyNumberFormat="1" applyFont="1" applyBorder="1" applyAlignment="1">
      <alignment horizontal="center" vertical="top"/>
    </xf>
    <xf numFmtId="205" fontId="14" fillId="0" borderId="0" xfId="21" applyNumberFormat="1" applyFont="1" applyAlignment="1">
      <alignment horizontal="center"/>
    </xf>
    <xf numFmtId="0" fontId="41" fillId="0" borderId="0" xfId="0" applyFont="1"/>
    <xf numFmtId="0" fontId="12" fillId="0" borderId="0" xfId="54" applyFont="1" applyAlignment="1">
      <alignment horizontal="center"/>
    </xf>
    <xf numFmtId="0" fontId="13" fillId="0" borderId="0" xfId="1" applyFont="1" applyAlignment="1">
      <alignment wrapText="1"/>
    </xf>
    <xf numFmtId="228" fontId="13" fillId="0" borderId="0" xfId="1" applyNumberFormat="1" applyFont="1" applyAlignment="1">
      <alignment horizontal="center" vertical="top"/>
    </xf>
    <xf numFmtId="0" fontId="14" fillId="0" borderId="0" xfId="0" applyFont="1" applyAlignment="1">
      <alignment horizontal="center" vertical="top" wrapText="1"/>
    </xf>
    <xf numFmtId="0" fontId="14" fillId="0" borderId="1" xfId="0" applyFont="1" applyBorder="1" applyAlignment="1">
      <alignment horizontal="center" wrapText="1"/>
    </xf>
    <xf numFmtId="0" fontId="14" fillId="0" borderId="1" xfId="0" applyFont="1" applyBorder="1" applyAlignment="1">
      <alignment wrapText="1"/>
    </xf>
    <xf numFmtId="0" fontId="14" fillId="0" borderId="0" xfId="0" applyFont="1" applyAlignment="1">
      <alignment vertical="top"/>
    </xf>
    <xf numFmtId="0" fontId="14" fillId="0" borderId="1" xfId="48" applyFont="1" applyBorder="1" applyAlignment="1">
      <alignment horizontal="center" wrapText="1"/>
    </xf>
    <xf numFmtId="0" fontId="14" fillId="0" borderId="0" xfId="48" applyFont="1" applyAlignment="1">
      <alignment horizontal="center" wrapText="1"/>
    </xf>
    <xf numFmtId="0" fontId="14" fillId="0" borderId="0" xfId="0" applyFont="1" applyAlignment="1">
      <alignment horizontal="center" vertical="top"/>
    </xf>
    <xf numFmtId="0" fontId="14" fillId="0" borderId="1" xfId="48" quotePrefix="1" applyFont="1" applyBorder="1" applyAlignment="1">
      <alignment horizontal="center" wrapText="1"/>
    </xf>
    <xf numFmtId="0" fontId="14" fillId="0" borderId="0" xfId="48" quotePrefix="1" applyFont="1" applyAlignment="1">
      <alignment horizontal="center" wrapText="1"/>
    </xf>
    <xf numFmtId="0" fontId="0" fillId="0" borderId="0" xfId="0" applyAlignment="1">
      <alignment vertical="top"/>
    </xf>
    <xf numFmtId="0" fontId="14" fillId="0" borderId="0" xfId="0" applyFont="1" applyAlignment="1">
      <alignment vertical="top" wrapText="1"/>
    </xf>
    <xf numFmtId="0" fontId="40" fillId="0" borderId="0" xfId="0" applyFont="1" applyAlignment="1">
      <alignment horizontal="center"/>
    </xf>
    <xf numFmtId="0" fontId="39" fillId="0" borderId="0" xfId="0" applyFont="1"/>
    <xf numFmtId="49" fontId="14" fillId="0" borderId="0" xfId="0" applyNumberFormat="1" applyFont="1"/>
    <xf numFmtId="0" fontId="45" fillId="0" borderId="0" xfId="0" applyFont="1" applyAlignment="1">
      <alignment horizontal="center"/>
    </xf>
    <xf numFmtId="0" fontId="45" fillId="0" borderId="0" xfId="0" applyFont="1"/>
    <xf numFmtId="0" fontId="0" fillId="0" borderId="0" xfId="0" applyAlignment="1">
      <alignment horizontal="center"/>
    </xf>
    <xf numFmtId="170" fontId="14" fillId="0" borderId="0" xfId="25" applyNumberFormat="1" applyFont="1" applyFill="1" applyBorder="1"/>
    <xf numFmtId="194" fontId="14" fillId="0" borderId="0" xfId="21" applyNumberFormat="1" applyFont="1"/>
    <xf numFmtId="43" fontId="14" fillId="0" borderId="0" xfId="21" applyNumberFormat="1" applyFont="1"/>
    <xf numFmtId="193" fontId="14" fillId="0" borderId="0" xfId="21" applyNumberFormat="1" applyFont="1"/>
    <xf numFmtId="184" fontId="14" fillId="0" borderId="0" xfId="21" applyNumberFormat="1" applyFont="1"/>
    <xf numFmtId="43" fontId="29" fillId="0" borderId="0" xfId="25" applyFont="1" applyFill="1" applyBorder="1"/>
    <xf numFmtId="170" fontId="29" fillId="0" borderId="0" xfId="25" applyNumberFormat="1" applyFont="1" applyFill="1" applyBorder="1"/>
    <xf numFmtId="170" fontId="13" fillId="0" borderId="0" xfId="25" applyNumberFormat="1" applyFont="1" applyFill="1" applyBorder="1"/>
    <xf numFmtId="43" fontId="14" fillId="0" borderId="0" xfId="25" applyFont="1" applyFill="1" applyBorder="1"/>
    <xf numFmtId="184" fontId="14" fillId="0" borderId="0" xfId="21" applyNumberFormat="1" applyFont="1" applyAlignment="1">
      <alignment horizontal="center"/>
    </xf>
    <xf numFmtId="0" fontId="14" fillId="0" borderId="0" xfId="21" quotePrefix="1" applyFont="1"/>
    <xf numFmtId="184" fontId="14" fillId="0" borderId="0" xfId="25" applyNumberFormat="1" applyFont="1" applyFill="1" applyBorder="1"/>
    <xf numFmtId="199" fontId="14" fillId="0" borderId="0" xfId="21" applyNumberFormat="1" applyFont="1" applyAlignment="1">
      <alignment horizontal="center"/>
    </xf>
    <xf numFmtId="0" fontId="34" fillId="0" borderId="0" xfId="0" applyFont="1" applyAlignment="1">
      <alignment vertical="center"/>
    </xf>
    <xf numFmtId="170" fontId="14" fillId="0" borderId="0" xfId="30" applyNumberFormat="1" applyFont="1" applyFill="1" applyBorder="1" applyAlignment="1">
      <alignment horizontal="center"/>
    </xf>
    <xf numFmtId="0" fontId="35" fillId="0" borderId="0" xfId="0" applyFont="1" applyAlignment="1">
      <alignment horizontal="left" vertical="center" indent="2"/>
    </xf>
    <xf numFmtId="185" fontId="54" fillId="0" borderId="0" xfId="51" applyNumberFormat="1" applyFont="1"/>
    <xf numFmtId="0" fontId="14" fillId="0" borderId="0" xfId="34" applyFont="1" applyAlignment="1">
      <alignment horizontal="center"/>
    </xf>
    <xf numFmtId="0" fontId="14" fillId="0" borderId="1" xfId="34" applyFont="1" applyBorder="1" applyAlignment="1">
      <alignment horizontal="center"/>
    </xf>
    <xf numFmtId="169" fontId="14" fillId="0" borderId="1" xfId="35" applyNumberFormat="1" applyFont="1" applyFill="1" applyBorder="1" applyAlignment="1">
      <alignment horizontal="left"/>
    </xf>
    <xf numFmtId="169" fontId="14" fillId="0" borderId="1" xfId="35" applyNumberFormat="1" applyFont="1" applyFill="1" applyBorder="1" applyAlignment="1">
      <alignment horizontal="center"/>
    </xf>
    <xf numFmtId="169" fontId="14" fillId="0" borderId="0" xfId="35" applyNumberFormat="1" applyFont="1" applyFill="1" applyAlignment="1">
      <alignment horizontal="center"/>
    </xf>
    <xf numFmtId="169" fontId="14" fillId="0" borderId="0" xfId="35" applyNumberFormat="1" applyFont="1" applyFill="1" applyBorder="1" applyAlignment="1">
      <alignment horizontal="center"/>
    </xf>
    <xf numFmtId="0" fontId="20" fillId="0" borderId="0" xfId="34" applyFont="1"/>
    <xf numFmtId="0" fontId="14" fillId="0" borderId="0" xfId="34" applyFont="1" applyAlignment="1">
      <alignment horizontal="left" indent="1"/>
    </xf>
    <xf numFmtId="0" fontId="14" fillId="0" borderId="0" xfId="34" applyFont="1" applyAlignment="1">
      <alignment horizontal="left" indent="3"/>
    </xf>
    <xf numFmtId="169" fontId="14" fillId="0" borderId="0" xfId="34" applyNumberFormat="1" applyFont="1"/>
    <xf numFmtId="0" fontId="14" fillId="0" borderId="0" xfId="34" applyFont="1" applyAlignment="1">
      <alignment horizontal="left" indent="2"/>
    </xf>
    <xf numFmtId="170" fontId="14" fillId="0" borderId="4" xfId="35" applyNumberFormat="1" applyFont="1" applyFill="1" applyBorder="1"/>
    <xf numFmtId="184" fontId="14" fillId="0" borderId="0" xfId="35" applyNumberFormat="1" applyFont="1" applyFill="1"/>
    <xf numFmtId="0" fontId="14" fillId="0" borderId="0" xfId="34" applyFont="1" applyAlignment="1">
      <alignment horizontal="left" indent="4"/>
    </xf>
    <xf numFmtId="10" fontId="14" fillId="0" borderId="0" xfId="34" applyNumberFormat="1" applyFont="1"/>
    <xf numFmtId="0" fontId="20" fillId="0" borderId="0" xfId="34" applyFont="1" applyAlignment="1">
      <alignment horizontal="center"/>
    </xf>
    <xf numFmtId="0" fontId="14" fillId="0" borderId="0" xfId="34" quotePrefix="1" applyFont="1" applyAlignment="1">
      <alignment horizontal="center"/>
    </xf>
    <xf numFmtId="203" fontId="13" fillId="0" borderId="0" xfId="1" applyNumberFormat="1" applyFont="1"/>
    <xf numFmtId="0" fontId="12" fillId="0" borderId="0" xfId="2" applyFont="1" applyAlignment="1">
      <alignment horizontal="center"/>
    </xf>
    <xf numFmtId="203" fontId="13" fillId="0" borderId="0" xfId="1" applyNumberFormat="1" applyFont="1" applyAlignment="1">
      <alignment horizontal="center" wrapText="1"/>
    </xf>
    <xf numFmtId="203" fontId="13" fillId="0" borderId="0" xfId="11" applyNumberFormat="1" applyAlignment="1" applyProtection="1">
      <alignment horizontal="center"/>
      <protection locked="0"/>
    </xf>
    <xf numFmtId="203" fontId="13" fillId="0" borderId="1" xfId="11" applyNumberFormat="1" applyBorder="1" applyAlignment="1" applyProtection="1">
      <alignment horizontal="center"/>
      <protection locked="0"/>
    </xf>
    <xf numFmtId="183" fontId="13" fillId="0" borderId="0" xfId="29" applyNumberFormat="1" applyFont="1" applyFill="1" applyAlignment="1">
      <alignment horizontal="right"/>
    </xf>
    <xf numFmtId="183" fontId="13" fillId="0" borderId="4" xfId="29" applyNumberFormat="1" applyFont="1" applyFill="1" applyBorder="1" applyAlignment="1">
      <alignment horizontal="right"/>
    </xf>
    <xf numFmtId="183" fontId="13" fillId="0" borderId="0" xfId="1" applyNumberFormat="1" applyFont="1"/>
    <xf numFmtId="183" fontId="13" fillId="0" borderId="3" xfId="29" applyNumberFormat="1" applyFont="1" applyFill="1" applyBorder="1" applyAlignment="1">
      <alignment horizontal="right"/>
    </xf>
    <xf numFmtId="203" fontId="13" fillId="0" borderId="0" xfId="1" applyNumberFormat="1" applyFont="1" applyAlignment="1">
      <alignment horizontal="left"/>
    </xf>
    <xf numFmtId="164" fontId="21" fillId="0" borderId="0" xfId="1" applyNumberFormat="1" applyFont="1"/>
    <xf numFmtId="203" fontId="13" fillId="0" borderId="0" xfId="29" applyNumberFormat="1" applyFont="1" applyFill="1" applyAlignment="1">
      <alignment horizontal="right"/>
    </xf>
    <xf numFmtId="0" fontId="20" fillId="0" borderId="0" xfId="21" applyFont="1" applyAlignment="1">
      <alignment horizontal="center"/>
    </xf>
    <xf numFmtId="0" fontId="14" fillId="0" borderId="1" xfId="21" applyFont="1" applyBorder="1" applyAlignment="1">
      <alignment horizontal="center"/>
    </xf>
    <xf numFmtId="0" fontId="20" fillId="0" borderId="0" xfId="34" applyFont="1" applyAlignment="1">
      <alignment horizontal="center"/>
    </xf>
    <xf numFmtId="0" fontId="14" fillId="0" borderId="0" xfId="34" applyFont="1" applyAlignment="1">
      <alignment horizontal="left" wrapText="1"/>
    </xf>
    <xf numFmtId="0" fontId="12" fillId="0" borderId="0" xfId="2" applyFont="1" applyAlignment="1">
      <alignment horizontal="center"/>
    </xf>
    <xf numFmtId="0" fontId="12" fillId="0" borderId="0" xfId="1" applyFont="1" applyAlignment="1">
      <alignment horizontal="center"/>
    </xf>
    <xf numFmtId="0" fontId="13" fillId="0" borderId="1" xfId="2" applyBorder="1" applyAlignment="1">
      <alignment horizontal="center"/>
    </xf>
    <xf numFmtId="0" fontId="13" fillId="0" borderId="0" xfId="2" applyAlignment="1">
      <alignment horizontal="center"/>
    </xf>
    <xf numFmtId="0" fontId="13" fillId="0" borderId="1" xfId="1" applyFont="1" applyBorder="1" applyAlignment="1">
      <alignment horizontal="center"/>
    </xf>
    <xf numFmtId="0" fontId="13" fillId="0" borderId="0" xfId="1" applyFont="1" applyAlignment="1">
      <alignment horizontal="center"/>
    </xf>
    <xf numFmtId="0" fontId="12" fillId="0" borderId="0" xfId="46" applyFont="1" applyAlignment="1">
      <alignment horizontal="center"/>
    </xf>
    <xf numFmtId="0" fontId="13" fillId="0" borderId="1" xfId="2" applyBorder="1" applyAlignment="1">
      <alignment horizontal="center" wrapText="1"/>
    </xf>
    <xf numFmtId="3" fontId="14" fillId="0" borderId="0" xfId="46" applyNumberFormat="1" applyFont="1" applyAlignment="1">
      <alignment horizontal="center"/>
    </xf>
    <xf numFmtId="3" fontId="13" fillId="0" borderId="0" xfId="4" applyNumberFormat="1" applyFont="1" applyFill="1" applyBorder="1" applyAlignment="1">
      <alignment horizontal="center"/>
    </xf>
    <xf numFmtId="0" fontId="13" fillId="0" borderId="0" xfId="1" applyFont="1" applyAlignment="1">
      <alignment horizontal="center" wrapText="1"/>
    </xf>
    <xf numFmtId="0" fontId="13" fillId="0" borderId="1" xfId="1" applyFont="1" applyBorder="1" applyAlignment="1">
      <alignment horizontal="center" wrapText="1"/>
    </xf>
    <xf numFmtId="166" fontId="12" fillId="0" borderId="0" xfId="7" quotePrefix="1" applyFont="1" applyAlignment="1">
      <alignment horizontal="center"/>
    </xf>
    <xf numFmtId="166" fontId="12" fillId="0" borderId="0" xfId="7" applyFont="1" applyAlignment="1">
      <alignment horizontal="center"/>
    </xf>
    <xf numFmtId="166" fontId="13" fillId="0" borderId="1" xfId="7" applyFont="1" applyBorder="1" applyAlignment="1">
      <alignment horizontal="center"/>
    </xf>
    <xf numFmtId="0" fontId="13" fillId="0" borderId="0" xfId="1" applyFont="1" applyAlignment="1">
      <alignment horizontal="left" vertical="top" wrapText="1"/>
    </xf>
    <xf numFmtId="0" fontId="12" fillId="0" borderId="0" xfId="54" applyFont="1" applyAlignment="1">
      <alignment horizontal="center"/>
    </xf>
    <xf numFmtId="189" fontId="13" fillId="0" borderId="0" xfId="50" quotePrefix="1" applyNumberFormat="1" applyFont="1" applyFill="1" applyBorder="1" applyAlignment="1">
      <alignment horizontal="left" vertical="top" wrapText="1"/>
    </xf>
    <xf numFmtId="0" fontId="13" fillId="0" borderId="0" xfId="54" applyFont="1" applyAlignment="1">
      <alignment horizontal="center"/>
    </xf>
    <xf numFmtId="0" fontId="12" fillId="0" borderId="0" xfId="10" applyFont="1" applyAlignment="1">
      <alignment horizontal="center"/>
    </xf>
    <xf numFmtId="0" fontId="13" fillId="0" borderId="0" xfId="10" quotePrefix="1" applyFont="1" applyAlignment="1">
      <alignment horizontal="left" wrapText="1"/>
    </xf>
    <xf numFmtId="0" fontId="13" fillId="0" borderId="0" xfId="10" quotePrefix="1" applyFont="1" applyAlignment="1">
      <alignment horizontal="left"/>
    </xf>
    <xf numFmtId="0" fontId="13" fillId="0" borderId="0" xfId="0" applyFont="1" applyAlignment="1">
      <alignment horizontal="left" vertical="top" wrapText="1"/>
    </xf>
    <xf numFmtId="0" fontId="20" fillId="0" borderId="0" xfId="10" applyFont="1" applyAlignment="1">
      <alignment horizontal="center"/>
    </xf>
    <xf numFmtId="0" fontId="13" fillId="0" borderId="1" xfId="10" applyFont="1" applyBorder="1" applyAlignment="1" applyProtection="1">
      <alignment horizontal="center"/>
      <protection locked="0"/>
    </xf>
    <xf numFmtId="0" fontId="12" fillId="0" borderId="0" xfId="31" applyFont="1" applyAlignment="1">
      <alignment horizontal="center"/>
    </xf>
    <xf numFmtId="0" fontId="13" fillId="0" borderId="1" xfId="31" applyFont="1" applyBorder="1" applyAlignment="1">
      <alignment horizontal="center"/>
    </xf>
    <xf numFmtId="0" fontId="20" fillId="0" borderId="0" xfId="0" applyFont="1" applyAlignment="1">
      <alignment horizontal="center"/>
    </xf>
    <xf numFmtId="0" fontId="14" fillId="0" borderId="0" xfId="38" applyFont="1" applyAlignment="1">
      <alignment horizontal="left" wrapText="1"/>
    </xf>
    <xf numFmtId="0" fontId="14" fillId="0" borderId="1" xfId="38" applyFont="1" applyBorder="1" applyAlignment="1">
      <alignment horizontal="center"/>
    </xf>
    <xf numFmtId="0" fontId="14" fillId="0" borderId="0" xfId="38" applyFont="1" applyAlignment="1">
      <alignment vertical="top" wrapText="1"/>
    </xf>
    <xf numFmtId="0" fontId="13" fillId="0" borderId="0" xfId="21" applyFont="1" applyAlignment="1">
      <alignment horizontal="left"/>
    </xf>
    <xf numFmtId="0" fontId="13" fillId="0" borderId="0" xfId="21" quotePrefix="1" applyFont="1" applyAlignment="1">
      <alignment horizontal="left" vertical="top" wrapText="1"/>
    </xf>
    <xf numFmtId="0" fontId="13" fillId="0" borderId="0" xfId="21" applyFont="1" applyAlignment="1">
      <alignment horizontal="left" vertical="top" wrapText="1"/>
    </xf>
    <xf numFmtId="0" fontId="12" fillId="0" borderId="0" xfId="21" applyFont="1" applyAlignment="1">
      <alignment horizontal="center"/>
    </xf>
    <xf numFmtId="0" fontId="13" fillId="0" borderId="1" xfId="21" applyFont="1" applyBorder="1" applyAlignment="1">
      <alignment horizontal="center"/>
    </xf>
    <xf numFmtId="0" fontId="13" fillId="0" borderId="0" xfId="21"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1" fillId="0" borderId="0" xfId="0" applyFont="1" applyAlignment="1">
      <alignment horizontal="center"/>
    </xf>
    <xf numFmtId="0" fontId="12" fillId="0" borderId="0" xfId="58" applyFont="1" applyAlignment="1">
      <alignment horizontal="center"/>
    </xf>
    <xf numFmtId="205" fontId="13" fillId="0" borderId="0" xfId="58" applyNumberFormat="1" applyAlignment="1">
      <alignment horizontal="left"/>
    </xf>
    <xf numFmtId="0" fontId="20" fillId="0" borderId="0" xfId="46" applyFont="1" applyAlignment="1">
      <alignment horizontal="center"/>
    </xf>
    <xf numFmtId="0" fontId="14" fillId="0" borderId="1" xfId="46" applyFont="1" applyBorder="1" applyAlignment="1">
      <alignment horizontal="center"/>
    </xf>
    <xf numFmtId="0" fontId="14" fillId="0" borderId="0" xfId="46" applyFont="1" applyAlignment="1">
      <alignment horizontal="center" wrapText="1"/>
    </xf>
    <xf numFmtId="0" fontId="14" fillId="0" borderId="1" xfId="46" applyFont="1" applyBorder="1" applyAlignment="1">
      <alignment horizontal="center" wrapText="1"/>
    </xf>
    <xf numFmtId="0" fontId="1" fillId="0" borderId="1" xfId="46" applyBorder="1" applyAlignment="1">
      <alignment horizontal="center"/>
    </xf>
    <xf numFmtId="0" fontId="14" fillId="0" borderId="0" xfId="46" applyFont="1" applyAlignment="1">
      <alignment horizontal="center"/>
    </xf>
    <xf numFmtId="0" fontId="12" fillId="0" borderId="0" xfId="42" applyFont="1" applyAlignment="1">
      <alignment horizontal="center"/>
    </xf>
    <xf numFmtId="0" fontId="13" fillId="0" borderId="0" xfId="42" applyFont="1" applyAlignment="1">
      <alignment horizontal="left" wrapText="1"/>
    </xf>
    <xf numFmtId="0" fontId="14" fillId="0" borderId="0" xfId="42" applyFont="1" applyAlignment="1">
      <alignment horizontal="left" wrapText="1"/>
    </xf>
    <xf numFmtId="0" fontId="13" fillId="0" borderId="1" xfId="43" applyFont="1" applyBorder="1" applyAlignment="1">
      <alignment horizontal="center"/>
    </xf>
    <xf numFmtId="0" fontId="29" fillId="0" borderId="0" xfId="43" applyFont="1" applyAlignment="1">
      <alignment horizontal="left" vertical="top" wrapText="1"/>
    </xf>
    <xf numFmtId="0" fontId="12" fillId="0" borderId="0" xfId="43" applyFont="1" applyAlignment="1">
      <alignment horizontal="center"/>
    </xf>
    <xf numFmtId="0" fontId="14" fillId="0" borderId="0" xfId="46" applyFont="1" applyAlignment="1">
      <alignment horizontal="left" vertical="top" wrapText="1"/>
    </xf>
    <xf numFmtId="0" fontId="14" fillId="0" borderId="0" xfId="0" applyFont="1" applyAlignment="1"/>
    <xf numFmtId="0" fontId="13" fillId="0" borderId="0" xfId="0" applyFont="1" applyAlignment="1"/>
  </cellXfs>
  <cellStyles count="59">
    <cellStyle name="Comma" xfId="30" builtinId="3"/>
    <cellStyle name="Comma [0]" xfId="57" builtinId="6"/>
    <cellStyle name="Comma 10" xfId="4" xr:uid="{4CBC1743-77DF-440D-B373-B77889E74BF9}"/>
    <cellStyle name="Comma 10 2 2" xfId="25" xr:uid="{9931FD68-8BCF-49F7-9804-0266E2A97468}"/>
    <cellStyle name="Comma 2" xfId="9" xr:uid="{F3886326-8B4B-4A54-A7FB-18D2272DC416}"/>
    <cellStyle name="Comma 2 2" xfId="14" xr:uid="{FD168003-7689-4A2C-8BC7-516C59D64177}"/>
    <cellStyle name="Comma 2 3" xfId="44" xr:uid="{01046946-B19B-4E7A-8298-9970B509BCCB}"/>
    <cellStyle name="Comma 3" xfId="12" xr:uid="{F70FFBB9-88F3-4803-AB64-7C465C6AE874}"/>
    <cellStyle name="Comma 4" xfId="19" xr:uid="{6747BDEF-B1F0-461E-8B56-3C5DB7FC149B}"/>
    <cellStyle name="Comma 5" xfId="22" xr:uid="{70AE3375-56FC-4ACB-AB13-DF38ABBAE5C4}"/>
    <cellStyle name="Comma 6" xfId="32" xr:uid="{C3E119DC-3670-49BE-AB6F-383AE214CFE1}"/>
    <cellStyle name="Comma 7" xfId="35" xr:uid="{9FF4978E-6B14-40CA-A0C2-95ED631E0727}"/>
    <cellStyle name="Comma 8" xfId="39" xr:uid="{4724B324-375A-4AA5-8AED-33FCA1E7D78F}"/>
    <cellStyle name="Comma 9" xfId="47" xr:uid="{74B4E411-BBB7-4B9F-B388-141B2E401D5D}"/>
    <cellStyle name="Currency" xfId="28" builtinId="4"/>
    <cellStyle name="Currency 2" xfId="3" xr:uid="{6E12A933-3006-433A-A971-44C8AC7239A5}"/>
    <cellStyle name="Currency 3" xfId="8" xr:uid="{483F91B0-FCFA-4CBA-BF95-EEFC4AC34BF0}"/>
    <cellStyle name="Currency 4" xfId="27" xr:uid="{3627E9A4-8C55-4125-A5AE-4D988C6A0E3F}"/>
    <cellStyle name="Currency 5" xfId="36" xr:uid="{150E50DB-B444-4B1F-9B16-77F91A5C1DEC}"/>
    <cellStyle name="Currency 6" xfId="52" xr:uid="{7FB56510-FD7C-4084-9F4E-37F0A09302D6}"/>
    <cellStyle name="Normal" xfId="0" builtinId="0"/>
    <cellStyle name="Normal 10" xfId="16" xr:uid="{979F6442-BD60-4B30-8A4F-8DAEA6EAF2E2}"/>
    <cellStyle name="Normal 11" xfId="46" xr:uid="{4C04A544-D31B-476C-BA51-C7CB3A039260}"/>
    <cellStyle name="Normal 12" xfId="51" xr:uid="{3D2CD1C5-9B9B-4B78-B823-01A9F19BFD4C}"/>
    <cellStyle name="Normal 14" xfId="48" xr:uid="{0E76D5A5-9DAE-4E73-A603-2B65D9E8D527}"/>
    <cellStyle name="Normal 2" xfId="5" xr:uid="{6B1619FE-0AB3-48D4-8D7F-4114B3EB7C85}"/>
    <cellStyle name="Normal 2 2" xfId="41" xr:uid="{0D4FCA72-0E23-4A40-9349-51FAEA0B210B}"/>
    <cellStyle name="Normal 2 2 2" xfId="15" xr:uid="{4F678938-1FD5-4878-B96D-8C8DAA2675DA}"/>
    <cellStyle name="Normal 3" xfId="10" xr:uid="{F7B2F69E-CD90-4146-9A09-A40634B9C5E2}"/>
    <cellStyle name="Normal 4" xfId="17" xr:uid="{8B3CA28E-2C57-4F01-8B04-DF52B0219F77}"/>
    <cellStyle name="Normal 4 3" xfId="1" xr:uid="{41B09C6C-13D9-489E-97ED-B1979A7A95E1}"/>
    <cellStyle name="Normal 5" xfId="21" xr:uid="{5EB56012-A512-4CDB-BDF8-3475DA755E0D}"/>
    <cellStyle name="Normal 5 2" xfId="54" xr:uid="{EF3D2F93-A04D-4FED-9782-1650B43947EB}"/>
    <cellStyle name="Normal 59" xfId="53" xr:uid="{50F54FFF-F3D0-4511-B67C-2C302E8B9663}"/>
    <cellStyle name="Normal 6" xfId="31" xr:uid="{C39F04CB-311F-44B3-BDF0-89AD2E4106BB}"/>
    <cellStyle name="Normal 60" xfId="2" xr:uid="{410FDDB2-F4AC-4F77-BB61-F4AA517988A9}"/>
    <cellStyle name="Normal 7" xfId="34" xr:uid="{6D6E939C-FAAD-4E9D-B346-E40BCBEB9286}"/>
    <cellStyle name="Normal 7 2" xfId="58" xr:uid="{DC63A7C3-DDFC-4746-878F-9A745458159E}"/>
    <cellStyle name="Normal 7 3 4" xfId="26" xr:uid="{E8A2C2A7-06BD-4FDA-9EEF-4A57FA186AA1}"/>
    <cellStyle name="Normal 8" xfId="38" xr:uid="{FBD2EB7F-8D5C-4059-9A7A-CD8D836B1016}"/>
    <cellStyle name="Normal 9" xfId="42" xr:uid="{BB2AB9BF-22B7-4B73-AE95-E447B72FB280}"/>
    <cellStyle name="Normal_2004 model BP" xfId="11" xr:uid="{5CCD963E-B5FF-4372-8E57-272557F26622}"/>
    <cellStyle name="Normal_C 1" xfId="23" xr:uid="{C896BDEF-0F7D-4201-8F3D-129351BA7000}"/>
    <cellStyle name="Normal_C2007_Deferral Account Disposition" xfId="43" xr:uid="{D5B41848-A02D-4E2D-ABDE-4696DF2F58DC}"/>
    <cellStyle name="Normal_Decision Land Rights Allocators_from Nancy T_Oct 26 2004" xfId="49" xr:uid="{752543BE-7D86-4B9C-AC6F-27C3E9F66BC6}"/>
    <cellStyle name="Normal_EXH-H" xfId="7" xr:uid="{97150A0E-EC5E-4872-BBDA-19BF204CDE76}"/>
    <cellStyle name="Normal_H3T2S4+S6_1" xfId="40" xr:uid="{DA9536DC-0739-4B14-9032-EFE50D63E467}"/>
    <cellStyle name="Normal_M 13" xfId="24" xr:uid="{347BDD02-5816-42D5-8017-E84D5C09F2DE}"/>
    <cellStyle name="Percent" xfId="29" builtinId="5"/>
    <cellStyle name="Percent 2" xfId="6" xr:uid="{A70CD037-4CCD-4E3C-87D3-0B87DACC0E33}"/>
    <cellStyle name="Percent 2 2" xfId="45" xr:uid="{D3DDDCB9-493B-4272-B147-548F3F0D6895}"/>
    <cellStyle name="Percent 3" xfId="13" xr:uid="{285D55AC-1532-4B43-BAF6-DE94F8BCF2E5}"/>
    <cellStyle name="Percent 3 2" xfId="55" xr:uid="{C9951D99-8676-4892-A3B4-623DD2D04D5F}"/>
    <cellStyle name="Percent 4" xfId="18" xr:uid="{6A98BB31-A1E3-4339-A9BC-131A0F70E9C0}"/>
    <cellStyle name="Percent 5" xfId="20" xr:uid="{41F33CFD-5F38-46C8-A361-661F0FB28116}"/>
    <cellStyle name="Percent 5 2" xfId="56" xr:uid="{092A2A6F-B0AA-4470-AFCE-3DC8C6022F20}"/>
    <cellStyle name="Percent 6" xfId="33" xr:uid="{31F1CAC9-869B-4D43-AAD4-203AFBBEE1BE}"/>
    <cellStyle name="Percent 7" xfId="37" xr:uid="{562D15CE-0363-4E5F-A207-8FE8147ED52A}"/>
    <cellStyle name="Percent 8" xfId="50" xr:uid="{F749FD55-59C8-4FF3-B091-46976B5C975D}"/>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RDESIGN\EB-2017-0086%20(2018)\QRAM\EB%202018-0249%20Q4\Exhibits\BOARD%20FILING%20EB-0249%20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4%20Rebasing/2024%20Cost%20of%20Service/1.%20Prefiled%20Evidence%20-%20Nov%202022/11.%20Nov%2030%20Filing%20-%20Models/2022-11-15%202024%20Exfran%20Model%20-%2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yusers\yeungm2\Users\hluchaj1\AppData\Local\Microsoft\Windows\Temporary%20Internet%20Files\Content.Outlook\IR35GVUZ\2012%20Uplift%20Tables%20for%20Draft%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Working%20Papers/2023-03-08%20-%208.2.8_Working%20Papers%20Current%20Class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4%20Rebasing/2024%20Cost%20of%20Service/1.%20Prefiled%20Evidence%20-%20Nov%202022/5.%20Written%20Evidence%20Support/8.2.8_Working%20Papers%20Current%20Class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yteamsites.cnpl.enbridge.com/sites/FinJun/CollaborationCenter/Reporting%20Information%20Submissions/COMBINED%20-%20CADDE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yusers\chand6\Energy%20Port%20Strat%20&amp;%20Mgmt\Asset%20Valuation\Market\Models\DOCUME~1\santamej\LOCALS~1\Temp\RatingAgencyBU12-05%20Cin%20Curve%20Base%20Cas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ates/QRAM/2024/1%20-%20January/Union%20RZ/2024%20DM%20-%20Jan%2024%20QRA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yusers\yeungm2\Accounting\Financial%20Reporting\2014\Khalix%20&amp;%20Analysis\MEP\MEP%20Financial%20Statements\Segments\2%20-%202014%20Reportable%20Segment%20Table%20&amp;%20Sup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teamsites.egd.enbridge.com/Documents%20and%20Settings/kanchars/My%20Documents/b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prgrenier\Local%20Settings\Temp\flowchart%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ystem\TETCOControl\Plant_Accounting\afudc_2001\TETCO\0301%20TETCO%20afudc-adj%20&amp;%20reversals%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teamsites.egd.enbridge.com/vpc/Documents%20and%20Settings/kanchars/My%20Documents/bp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ites.enbridge.com/FinRpt/Needs%20-%20%20Data%20Request/Quarterly%20Data%20Request/Energy%20Services/EnSer_Q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In-Franchise/2023-03-08%20Detail%20Model%20-%20Current%20Class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Annual%20Rates/2023/Union%20RZ/2023%20Rates%20DM%20(Apr%2022%20QRA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Ex-franchise/2023-03-08%202024%20Exfran%20Model%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ed Rates"/>
      <sheetName val="Proposed Rates"/>
      <sheetName val="T1 S1.1 (old)"/>
      <sheetName val="T1 S1.1 (DTS)"/>
      <sheetName val="T1 S1.1T (Not Necessary)"/>
      <sheetName val="T1 S1.2(Old)"/>
      <sheetName val="T1 S1.2 (DTS)"/>
      <sheetName val="T2 S1.1"/>
      <sheetName val="T3 S1.1"/>
      <sheetName val="T3 S1.2"/>
      <sheetName val="T3 S1.3"/>
      <sheetName val="T3 S1.4"/>
      <sheetName val="T4 S1.1-2"/>
      <sheetName val="T4 S1.3"/>
      <sheetName val="T4 S1. p4"/>
      <sheetName val="T5 S1.1"/>
      <sheetName val="T5 S1.2"/>
      <sheetName val="T5 S1.3"/>
      <sheetName val="T5 S1.4"/>
      <sheetName val="T5 S1.5"/>
      <sheetName val="T5 S1.6"/>
      <sheetName val="T5 S1.7"/>
      <sheetName val="T7 S1.1"/>
      <sheetName val="T7 S1.2"/>
      <sheetName val="T7 S1.3"/>
      <sheetName val="T7 S1.4"/>
      <sheetName val="T7 S1.5"/>
      <sheetName val="T7 S1.6"/>
      <sheetName val="T7 S1.7"/>
      <sheetName val="T7 S1.8"/>
      <sheetName val="T7 S1.1 (SRC)"/>
      <sheetName val="T7 S1.2 (SRC)"/>
      <sheetName val="T7 S1.3 (SRC)"/>
      <sheetName val="T7 S1.4 (SRC)"/>
      <sheetName val="T7 S1.5 (SRC)"/>
      <sheetName val="T7 S1.6 (SRC)"/>
      <sheetName val="T7 S1.7 (SRC)"/>
      <sheetName val="T7 S1.8 (SR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chedule - 2024"/>
      <sheetName val="Source Files"/>
      <sheetName val="Index"/>
      <sheetName val="Inputs"/>
      <sheetName val="Cost Input"/>
      <sheetName val="Revenue"/>
      <sheetName val="Forecast"/>
      <sheetName val="Harmonized DM"/>
      <sheetName val="Detail Model"/>
      <sheetName val="S&amp;T Margin p.1"/>
      <sheetName val="Harm. Appendix A"/>
      <sheetName val="OR Rates"/>
      <sheetName val="Appendix A"/>
      <sheetName val="Summary Rates"/>
      <sheetName val="S&amp;T Margin p.2"/>
      <sheetName val="M17 Demand"/>
      <sheetName val="M12 - BA"/>
      <sheetName val="M12 - Proposed"/>
      <sheetName val="M12 p.2"/>
      <sheetName val="F24-T"/>
      <sheetName val="M13"/>
      <sheetName val="M16 Cust"/>
      <sheetName val="M16 Comm"/>
      <sheetName val="M16 East Dem"/>
      <sheetName val="M17 Cust"/>
      <sheetName val="C1 Ojib Demand BA"/>
      <sheetName val="D-D Vector"/>
      <sheetName val="Heritage - HTLP"/>
      <sheetName val="PDCI"/>
      <sheetName val="2022-11-15 2024 Exfran Model -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Comprehensive Income Statement"/>
      <sheetName val="Statement of Cash Flows"/>
      <sheetName val="Statement of Financial Position"/>
      <sheetName val="Partners Capital"/>
      <sheetName val="Sheet1"/>
      <sheetName val="Inventory Table"/>
      <sheetName val="PPE Table"/>
      <sheetName val="Intangibles Table"/>
      <sheetName val="Derivatives Gain_Loss Table"/>
      <sheetName val="Derivative Positions Table_1"/>
      <sheetName val="Commodity Price Risk Table #1_1"/>
      <sheetName val="Commodity Price Risk Table #2_1"/>
      <sheetName val="Interest Rate Risk Table_1"/>
      <sheetName val="Fair Value Debt Table"/>
      <sheetName val="Effect of Derivatives on I_1"/>
      <sheetName val="Credit Facilities Table_1"/>
      <sheetName val="A1 Term Note Table_1"/>
      <sheetName val="Counterparty Credit Table_1"/>
      <sheetName val="Credit Concentration Table_1"/>
      <sheetName val="EDA Table_1"/>
      <sheetName val="Equity Issuances_1"/>
      <sheetName val="Derivative Activities Table - 2"/>
      <sheetName val="A1 Term Note Maturities Table_1"/>
      <sheetName val="Distribution SERIES AC_2"/>
      <sheetName val="Level 3 FMV - Table_1"/>
      <sheetName val="Distribution Table"/>
      <sheetName val="EPU Table"/>
      <sheetName val="Distribution Partners Table"/>
      <sheetName val="Effect of Derivatives on B_1"/>
      <sheetName val="Inputs to Fair Value Table"/>
      <sheetName val="Segment Table CY"/>
      <sheetName val="Segment Table PY"/>
      <sheetName val="Segment Table PY2"/>
      <sheetName val="Availability Liquidity Table"/>
      <sheetName val="Cash Flow Analysis Table"/>
      <sheetName val="Financing Activity Table"/>
      <sheetName val="Corporate Interest Table - CY"/>
      <sheetName val="Statement of Partners' Captial"/>
      <sheetName val="Ownership Interest Table"/>
      <sheetName val="Debt Summary Table"/>
      <sheetName val="Debt Maturities Table"/>
      <sheetName val="Future Minimum Commit. Table"/>
      <sheetName val="NEO Performance Measures T_1"/>
      <sheetName val="NEO Performance Measures T_2"/>
      <sheetName val="NEO Performance Measures T_3"/>
      <sheetName val="Incentive Target Table"/>
      <sheetName val="Actual NEO Perform. Multip_1"/>
      <sheetName val="Actual NEO STIP Table"/>
      <sheetName val="FN to Table - Stock Award_1"/>
      <sheetName val="FN to Table - Option Award_1"/>
      <sheetName val="FN to Table - Option Award_2"/>
      <sheetName val="FN to Table - Option Award_3"/>
      <sheetName val="Other Comp. Table"/>
      <sheetName val="Outstanding Award Table"/>
      <sheetName val="Lakehead Tariffs Table"/>
      <sheetName val="FN to Table - Award Grants_1"/>
      <sheetName val="Interest of GP in Partnership"/>
      <sheetName val="(SD) Purchase Commitments"/>
      <sheetName val="Capital Spending"/>
      <sheetName val="Result of Ops Corporate"/>
      <sheetName val="Results of Ops - Liquids"/>
      <sheetName val="NEO Performance Measures T_4"/>
      <sheetName val="NEO Performance Measures T_5"/>
      <sheetName val="Line 6B Cost Table"/>
      <sheetName val="Effect of Derivatives on I_S"/>
      <sheetName val="Gross to Net Reconciliatio_1"/>
      <sheetName val="Level 3 Roll Forward Table"/>
      <sheetName val="Supplemental Cash Flow Table"/>
      <sheetName val="Results of Operations Table"/>
      <sheetName val="Derivative Activities Table - 1"/>
      <sheetName val="Results of Ops Natural Gas"/>
      <sheetName val="NG Deriv Gain_Loss Table - CY"/>
      <sheetName val="Results of Ops Marketing"/>
      <sheetName val="ARO Table"/>
      <sheetName val="Senior Notes Table"/>
      <sheetName val="Interest Table"/>
      <sheetName val="Equity Issuances - Related_1"/>
      <sheetName val="Quarterly Financial Data Table"/>
      <sheetName val="Income Tax Table"/>
      <sheetName val="Debt Risk Table"/>
      <sheetName val="Distribution Partners Table_1"/>
      <sheetName val="Future Minimum Commit. Table_1"/>
      <sheetName val="Percentage of Op Results Table"/>
      <sheetName val="Performance Multiplier Table"/>
      <sheetName val="Long-Term Incentive Table"/>
      <sheetName val="Summary Comp. Table"/>
      <sheetName val="Awards Grant Table"/>
      <sheetName val="FN to Table - Exercise Pri_1"/>
      <sheetName val="Option Exercise Table"/>
      <sheetName val="Pension Entitlement Table"/>
      <sheetName val="Pension Benefit Table"/>
      <sheetName val="Termination Table"/>
      <sheetName val="Director Comp. Table"/>
      <sheetName val="Insurance Type"/>
      <sheetName val="Lakehead Volumes Table"/>
      <sheetName val="North Dakota Tariffs Table"/>
      <sheetName val="Unit Price Table"/>
      <sheetName val="Selected Financial Data Table"/>
      <sheetName val="FN to Finan. Data Table - Acq."/>
      <sheetName val="FN to Finan. Data Table -_1"/>
      <sheetName val="FN to Finan. Data Table -_2"/>
      <sheetName val="FN to Finan. Data Table -_3"/>
      <sheetName val="Audit Fee Table"/>
      <sheetName val="Glossary"/>
      <sheetName val="Director &amp; Officers"/>
      <sheetName val="Security Ownership - Benef_1"/>
      <sheetName val="Security Ownership - Manag_1"/>
      <sheetName val="Cash Distributions Table"/>
      <sheetName val="Trucking &amp; NGL Marketing Table"/>
      <sheetName val="Trucking &amp; NGL Marketing T_1"/>
      <sheetName val="Mid-Continent Tariffs Table"/>
      <sheetName val="Unrecognized Tax Benefits"/>
      <sheetName val="Corporate Interest Table - PY"/>
      <sheetName val="NG Deriv Gain_Loss Table - PY"/>
      <sheetName val="Future Prospects - Table"/>
      <sheetName val="NG-Future Prospects Table"/>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8 - Attach 1"/>
      <sheetName val="8.2.8 - Attach 2"/>
      <sheetName val="8.2.8 - Attach 3"/>
      <sheetName val="8.2.8 - Attach 4"/>
      <sheetName val="8.2.8 - Attach 4 p. 11-15"/>
      <sheetName val="8.2.8 - Attach 5 p.1"/>
      <sheetName val="8.2.8 - Attach 5 p.2"/>
      <sheetName val="8.2.8 - Attach 6"/>
      <sheetName val="8.2.8 - Attach 7"/>
      <sheetName val="8.2.8 - Attach 8"/>
      <sheetName val="8.2.8 - Attach 9"/>
      <sheetName val="8.2.8.10 pg 1-3"/>
      <sheetName val="8.2.8.10 pg 4-5"/>
      <sheetName val="8.2.8.10 pg 6-9"/>
      <sheetName val="8.2.8 - Attach 11"/>
      <sheetName val="8.2.8 - Attach 12 p.1-2"/>
      <sheetName val="8.2.8 - Attach 12 p.3"/>
      <sheetName val="8.2.8 - Attach 13"/>
      <sheetName val="8.2.8 - Attach 14"/>
      <sheetName val="8.2.8 - Attach 15"/>
      <sheetName val="8.2.8 - Attach 16"/>
      <sheetName val="8.2.8 - Attach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8.2.8 - Attach 1"/>
      <sheetName val="8.2.8 - Attach 2"/>
      <sheetName val="8.2.8 - Attach 3"/>
      <sheetName val="8.2.8 - Attach 4 (DNU)"/>
      <sheetName val="8.2.8 - Attach 4 p. 11-15"/>
      <sheetName val="8.2.8 - Attach 5 p.1"/>
      <sheetName val="8.2.8 - Attach 5 p.2"/>
      <sheetName val="8.2.8 - Attach 6"/>
      <sheetName val="8.2.8 - Attach 7"/>
      <sheetName val="8.2.8 - Attach 8"/>
      <sheetName val="8.2.8 - Attach 9"/>
      <sheetName val="8.2.8 - Attach 10"/>
      <sheetName val="Ex-fran-&gt;"/>
      <sheetName val="8.2.8 - Attach 11"/>
      <sheetName val="8.2.8 - Attach 12 p.1"/>
      <sheetName val="8.2.8 - Attach 12 p.2"/>
      <sheetName val="8.2.8 - Attach 13"/>
      <sheetName val="8.2.8 - Attach 14"/>
      <sheetName val="8.2.8 - Attach 15"/>
      <sheetName val="8.2.8 - Attach 16"/>
      <sheetName val="8.2.8 - Attach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Upload"/>
      <sheetName val="Sheet1"/>
      <sheetName val="Sheet1 (2)"/>
      <sheetName val="Sheet2"/>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 val="Selections"/>
      <sheetName val="Depr"/>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etail Model"/>
      <sheetName val="DSM UR"/>
      <sheetName val="PDO UR"/>
      <sheetName val="ICM Rider"/>
      <sheetName val="Sch.6"/>
      <sheetName val="GasComm"/>
      <sheetName val="Supplementals"/>
      <sheetName val="Overrun"/>
      <sheetName val="Riders"/>
      <sheetName val="Pivots"/>
      <sheetName val="N-R20+Stor"/>
      <sheetName val="N-R100"/>
      <sheetName val="NorthVols"/>
      <sheetName val="U2"/>
      <sheetName val="Banner"/>
      <sheetName val="SouthDist"/>
      <sheetName val="SouthT"/>
      <sheetName val="North"/>
      <sheetName val="2024 DM - Jan 24 Q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 Segment Table Q4-2013"/>
      <sheetName val="Xa - Adjstmnt &amp; IC COS smry "/>
      <sheetName val="X1 - Summary"/>
      <sheetName val="Interco COS smry elim"/>
      <sheetName val="X2 - North Texas"/>
      <sheetName val="X3 - East Texas"/>
      <sheetName val="X4 - Anadarko - Elk City"/>
      <sheetName val="X5 - Other"/>
      <sheetName val="X6 - EMUS"/>
      <sheetName val="X7 - EEM"/>
      <sheetName val="X8 - ELTM"/>
      <sheetName val="X10a - Corporate"/>
      <sheetName val="X9 - IS_1402YTD"/>
      <sheetName val="X12 - Intersegment Elims"/>
      <sheetName val="X12.1 - NTX "/>
      <sheetName val="X12.1a - NTX"/>
      <sheetName val="X12.2 - ETX"/>
      <sheetName val="X12.2a - ETX"/>
      <sheetName val="x12.3 - Anadarko"/>
      <sheetName val="x12.3a - Anadarko"/>
      <sheetName val="x12.4 - EMUS"/>
      <sheetName val="x12.4a - EMUS"/>
      <sheetName val="x12.5 - EEM"/>
      <sheetName val="x12.5a - EEM"/>
      <sheetName val="X12.6 - ELTM "/>
      <sheetName val="x12.6a - ELTM"/>
      <sheetName val="X13 - BS Summary"/>
      <sheetName val="X13.1 - North Texas"/>
      <sheetName val="X13.2 - East Texas"/>
      <sheetName val="X13.3 - Anadarko - Elk City"/>
      <sheetName val="X13.4 - Other"/>
      <sheetName val="X13.5 - EMUS"/>
      <sheetName val="X13.6 - EEM"/>
      <sheetName val="X13.7 - ELTM"/>
      <sheetName val="X13.8 - Corporate"/>
      <sheetName val="X13.9 -BS_13.12YTD"/>
      <sheetName val="X14-Summary"/>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ase Year"/>
      <sheetName val="Assumptions"/>
      <sheetName val="Income Statement"/>
      <sheetName val="Balance Sheet"/>
      <sheetName val="Cash Flow"/>
      <sheetName val="Income Statement Chart"/>
      <sheetName val="Balance Sheet Chart"/>
      <sheetName val="Cash Flow Chart"/>
      <sheetName val="Cumulative Free Cash Flow Chart"/>
      <sheetName val="MyDialog"/>
      <sheetName val="VDlg"/>
      <sheetName val="Module1"/>
      <sheetName val="bp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Business Segments"/>
      <sheetName val="summary"/>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 Detail"/>
      <sheetName val="AFUDC  REVERSALS"/>
      <sheetName val="TETCO"/>
      <sheetName val="TETCO JV COVER"/>
      <sheetName val="P8 TETCO"/>
      <sheetName val="P8 DETAIL"/>
      <sheetName val="076ID8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ase Year"/>
      <sheetName val="Assumptions"/>
      <sheetName val="Income Statement"/>
      <sheetName val="Balance Sheet"/>
      <sheetName val="Cash Flow"/>
      <sheetName val="Income Statement Chart"/>
      <sheetName val="Balance Sheet Chart"/>
      <sheetName val="Cash Flow Chart"/>
      <sheetName val="Cumulative Free Cash Flow Chart"/>
      <sheetName val="MyDialog"/>
      <sheetName val="VDlg"/>
      <sheetName val="Module1"/>
      <sheetName val="bp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_EQUITY_Field Serv"/>
      <sheetName val="Needs Dates"/>
      <sheetName val="Executive Summary"/>
    </sheetNames>
    <sheetDataSet>
      <sheetData sheetId="0" refreshError="1"/>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chedule - 2023"/>
      <sheetName val="Rate Schedule - 2024"/>
      <sheetName val="Total"/>
      <sheetName val="Distribution"/>
      <sheetName val="Gas Cost"/>
      <sheetName val="Total Adj"/>
      <sheetName val="Distribution Adj"/>
      <sheetName val="Gas Cost Adj"/>
      <sheetName val="Infran Output"/>
      <sheetName val="customer charge"/>
      <sheetName val="Transportation"/>
      <sheetName val="Fuel Ratios"/>
      <sheetName val="Supplementals"/>
      <sheetName val="calculations"/>
      <sheetName val="ExFran Margin"/>
      <sheetName val="PanH Gas Supply"/>
      <sheetName val="2023-03-08 Detail Model - Cur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etail Model"/>
      <sheetName val="DSM UR"/>
      <sheetName val="PDO UR"/>
      <sheetName val="ICM Rider"/>
      <sheetName val="Sch.6"/>
      <sheetName val="GasComm"/>
      <sheetName val="Supplementals"/>
      <sheetName val="Overrun"/>
      <sheetName val="Riders"/>
      <sheetName val="Pivots"/>
      <sheetName val="N-R20+Stor"/>
      <sheetName val="N-R100"/>
      <sheetName val="NorthVols"/>
      <sheetName val="U2"/>
      <sheetName val="Banner"/>
      <sheetName val="SouthDist"/>
      <sheetName val="SouthT"/>
      <sheetName val="North"/>
      <sheetName val="2023 Rates DM (Apr 22 Q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chedule - 2024"/>
      <sheetName val="Source Files"/>
      <sheetName val="Index"/>
      <sheetName val="Inputs"/>
      <sheetName val="Cost Input"/>
      <sheetName val="Revenue"/>
      <sheetName val="Forecast"/>
      <sheetName val="Harmonized DM"/>
      <sheetName val="Detail Model"/>
      <sheetName val="S&amp;T Margin p.1"/>
      <sheetName val="Harm. Appendix A"/>
      <sheetName val="OR Rates"/>
      <sheetName val="Appendix A"/>
      <sheetName val="Summary Rates"/>
      <sheetName val="S&amp;T Margin p.2"/>
      <sheetName val="M17 Demand"/>
      <sheetName val="M12 - BA"/>
      <sheetName val="M12 - Proposed"/>
      <sheetName val="M12 p.2"/>
      <sheetName val="F24-T"/>
      <sheetName val="M13"/>
      <sheetName val="M16 Cust"/>
      <sheetName val="M16 Comm"/>
      <sheetName val="M16 East Dem"/>
      <sheetName val="M17 Cust"/>
      <sheetName val="C1 Ojib Demand BA"/>
      <sheetName val="D-D Vector"/>
      <sheetName val="Heritage - HTLP"/>
      <sheetName val="PDCI"/>
      <sheetName val="2023-03-08 2024 Exfran Model -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75D51-3D33-4BCF-AC1A-F9907DB754A3}">
  <dimension ref="A1:AC58"/>
  <sheetViews>
    <sheetView zoomScale="90" zoomScaleNormal="90" zoomScaleSheetLayoutView="115" zoomScalePageLayoutView="80" workbookViewId="0">
      <selection activeCell="C6" sqref="C6"/>
    </sheetView>
  </sheetViews>
  <sheetFormatPr defaultColWidth="8.125" defaultRowHeight="12.6"/>
  <cols>
    <col min="1" max="1" width="5" style="225" customWidth="1"/>
    <col min="2" max="2" width="1.5" style="225" customWidth="1"/>
    <col min="3" max="3" width="33.125" style="225" customWidth="1"/>
    <col min="4" max="4" width="9" style="225" customWidth="1"/>
    <col min="5" max="5" width="8.125" style="225" customWidth="1"/>
    <col min="6" max="6" width="10.125" style="225" customWidth="1"/>
    <col min="7" max="7" width="1.5" style="225" customWidth="1"/>
    <col min="8" max="8" width="7.625" style="225" customWidth="1"/>
    <col min="9" max="9" width="4.625" style="225" customWidth="1"/>
    <col min="10" max="10" width="8.5" style="225" customWidth="1"/>
    <col min="11" max="11" width="3.5" style="225" customWidth="1"/>
    <col min="12" max="12" width="8.75" style="225" customWidth="1"/>
    <col min="13" max="13" width="1.5" style="225" customWidth="1"/>
    <col min="14" max="14" width="10.625" style="225" customWidth="1"/>
    <col min="15" max="15" width="10" style="225" customWidth="1"/>
    <col min="16" max="16" width="9.625" style="66" customWidth="1"/>
    <col min="17" max="17" width="9.5" style="66" customWidth="1"/>
    <col min="18" max="18" width="10.5" style="66" bestFit="1" customWidth="1"/>
    <col min="19" max="19" width="14.75" style="66" customWidth="1"/>
    <col min="20" max="20" width="9" style="66" bestFit="1" customWidth="1"/>
    <col min="21" max="21" width="8.125" style="66"/>
    <col min="22" max="22" width="9.625" style="66" bestFit="1" customWidth="1"/>
    <col min="23" max="23" width="9.125" style="66" bestFit="1" customWidth="1"/>
    <col min="24" max="25" width="8.125" style="66"/>
    <col min="26" max="26" width="10" style="66" bestFit="1" customWidth="1"/>
    <col min="27" max="27" width="8.125" style="66"/>
    <col min="28" max="28" width="9" style="66" bestFit="1" customWidth="1"/>
    <col min="29" max="16384" width="8.125" style="66"/>
  </cols>
  <sheetData>
    <row r="1" spans="1:29">
      <c r="P1" s="93"/>
    </row>
    <row r="2" spans="1:29">
      <c r="P2" s="93"/>
    </row>
    <row r="3" spans="1:29">
      <c r="P3" s="93"/>
    </row>
    <row r="4" spans="1:29">
      <c r="P4" s="93"/>
    </row>
    <row r="5" spans="1:29">
      <c r="P5" s="70"/>
    </row>
    <row r="6" spans="1:29">
      <c r="P6" s="70"/>
    </row>
    <row r="7" spans="1:29" ht="12.75" customHeight="1">
      <c r="A7" s="1146" t="s">
        <v>0</v>
      </c>
      <c r="B7" s="1146"/>
      <c r="C7" s="1146"/>
      <c r="D7" s="1146"/>
      <c r="E7" s="1146"/>
      <c r="F7" s="1146"/>
      <c r="G7" s="1146"/>
      <c r="H7" s="1146"/>
      <c r="I7" s="1146"/>
      <c r="J7" s="1146"/>
      <c r="K7" s="1146"/>
      <c r="L7" s="1146"/>
      <c r="M7" s="1146"/>
      <c r="N7" s="1146"/>
      <c r="O7" s="1146"/>
      <c r="P7" s="1146"/>
    </row>
    <row r="8" spans="1:29" ht="12.75" customHeight="1">
      <c r="A8" s="1047"/>
      <c r="B8" s="1047"/>
      <c r="C8" s="1047"/>
      <c r="D8" s="1047"/>
      <c r="E8" s="1047"/>
      <c r="F8" s="1047"/>
      <c r="G8" s="1047"/>
      <c r="H8" s="1047"/>
      <c r="I8" s="1047"/>
      <c r="J8" s="1047"/>
      <c r="K8" s="1047"/>
      <c r="L8" s="1047"/>
      <c r="M8" s="1047"/>
      <c r="N8" s="1047"/>
      <c r="O8" s="1047"/>
      <c r="P8" s="1047"/>
    </row>
    <row r="9" spans="1:29" ht="12.75" customHeight="1">
      <c r="D9" s="1147" t="s">
        <v>1</v>
      </c>
      <c r="E9" s="1147"/>
      <c r="F9" s="1147"/>
      <c r="H9" s="1147" t="s">
        <v>2</v>
      </c>
      <c r="I9" s="1147"/>
      <c r="J9" s="1147"/>
      <c r="K9" s="1147"/>
      <c r="L9" s="1147"/>
      <c r="N9" s="1147" t="s">
        <v>3</v>
      </c>
      <c r="O9" s="1147"/>
      <c r="P9" s="1147"/>
    </row>
    <row r="10" spans="1:29" ht="24.95">
      <c r="A10" s="1048" t="s">
        <v>4</v>
      </c>
      <c r="B10" s="1049"/>
      <c r="C10" s="1050" t="s">
        <v>5</v>
      </c>
      <c r="D10" s="1048" t="s">
        <v>6</v>
      </c>
      <c r="E10" s="1048" t="s">
        <v>7</v>
      </c>
      <c r="F10" s="1048" t="s">
        <v>8</v>
      </c>
      <c r="G10" s="1049"/>
      <c r="H10" s="1048" t="s">
        <v>6</v>
      </c>
      <c r="I10" s="1049"/>
      <c r="J10" s="1048" t="s">
        <v>7</v>
      </c>
      <c r="K10" s="1049"/>
      <c r="L10" s="1048" t="s">
        <v>8</v>
      </c>
      <c r="M10" s="1049"/>
      <c r="N10" s="1048" t="s">
        <v>6</v>
      </c>
      <c r="O10" s="1048" t="s">
        <v>7</v>
      </c>
      <c r="P10" s="1048" t="s">
        <v>8</v>
      </c>
    </row>
    <row r="11" spans="1:29" ht="12.75" customHeight="1">
      <c r="A11" s="1049"/>
      <c r="B11" s="1049"/>
      <c r="C11" s="1051"/>
      <c r="D11" s="1052" t="s">
        <v>9</v>
      </c>
      <c r="E11" s="1052" t="s">
        <v>10</v>
      </c>
      <c r="F11" s="1052" t="s">
        <v>11</v>
      </c>
      <c r="G11" s="1052"/>
      <c r="H11" s="1052" t="s">
        <v>12</v>
      </c>
      <c r="I11" s="1052"/>
      <c r="J11" s="1052" t="s">
        <v>13</v>
      </c>
      <c r="K11" s="1052"/>
      <c r="L11" s="1052" t="s">
        <v>14</v>
      </c>
      <c r="M11" s="1052"/>
      <c r="N11" s="1052" t="s">
        <v>15</v>
      </c>
      <c r="O11" s="1052" t="s">
        <v>16</v>
      </c>
      <c r="P11" s="1052" t="s">
        <v>17</v>
      </c>
      <c r="U11" s="1053"/>
      <c r="Z11" s="1047"/>
      <c r="AA11" s="1100"/>
      <c r="AB11" s="1100"/>
      <c r="AC11" s="1100"/>
    </row>
    <row r="12" spans="1:29" ht="12.75" customHeight="1">
      <c r="Z12" s="1100"/>
      <c r="AA12" s="1100"/>
      <c r="AB12" s="1100"/>
      <c r="AC12" s="1100"/>
    </row>
    <row r="13" spans="1:29" ht="12.75" customHeight="1">
      <c r="A13" s="66"/>
      <c r="B13" s="66"/>
      <c r="C13" s="1053" t="s">
        <v>18</v>
      </c>
      <c r="P13" s="1053"/>
      <c r="Z13" s="1100"/>
      <c r="AA13" s="1100"/>
      <c r="AB13" s="1100"/>
      <c r="AC13" s="1100"/>
    </row>
    <row r="14" spans="1:29" ht="12.75" customHeight="1">
      <c r="A14" s="66"/>
      <c r="B14" s="66"/>
      <c r="C14" s="66"/>
      <c r="D14" s="1054"/>
      <c r="E14" s="1055"/>
      <c r="F14" s="1054"/>
      <c r="G14" s="1056"/>
      <c r="H14" s="1055"/>
      <c r="I14" s="1055"/>
      <c r="J14" s="1055"/>
      <c r="K14" s="1056"/>
      <c r="L14" s="1055"/>
      <c r="M14" s="1056"/>
      <c r="N14" s="1057"/>
      <c r="O14" s="1057"/>
      <c r="P14" s="1058"/>
      <c r="Z14" s="1100"/>
      <c r="AA14" s="1100"/>
      <c r="AB14" s="1100"/>
      <c r="AC14" s="1100"/>
    </row>
    <row r="15" spans="1:29" ht="12.75" customHeight="1">
      <c r="A15" s="225">
        <v>1</v>
      </c>
      <c r="B15" s="66"/>
      <c r="C15" s="66" t="s">
        <v>19</v>
      </c>
      <c r="D15" s="1057">
        <v>2670.1097329999998</v>
      </c>
      <c r="E15" s="1057">
        <v>3110.0512610000001</v>
      </c>
      <c r="F15" s="1057">
        <f>SUM(D15:E15)</f>
        <v>5780.1609939999998</v>
      </c>
      <c r="G15" s="1059"/>
      <c r="H15" s="1057">
        <f>F44</f>
        <v>-2.9975801668116584</v>
      </c>
      <c r="I15" s="1060" t="s">
        <v>20</v>
      </c>
      <c r="J15" s="1057">
        <f>F50</f>
        <v>5.3082511639303602</v>
      </c>
      <c r="K15" s="1061" t="s">
        <v>21</v>
      </c>
      <c r="L15" s="1057">
        <f>H15+J15</f>
        <v>2.3106709971187018</v>
      </c>
      <c r="M15" s="1059"/>
      <c r="N15" s="1057">
        <f>+D15+H15</f>
        <v>2667.1121528331882</v>
      </c>
      <c r="O15" s="1057">
        <f>+E15+J15</f>
        <v>3115.3595121639305</v>
      </c>
      <c r="P15" s="1057">
        <f>SUM(N15:O15)</f>
        <v>5782.4716649971188</v>
      </c>
      <c r="R15" s="1101"/>
      <c r="S15" s="1102"/>
      <c r="Z15" s="1100"/>
      <c r="AA15" s="1100"/>
      <c r="AB15" s="1100"/>
      <c r="AC15" s="1100"/>
    </row>
    <row r="16" spans="1:29" ht="12.75" customHeight="1">
      <c r="A16" s="225">
        <f>A15+1</f>
        <v>2</v>
      </c>
      <c r="B16" s="66"/>
      <c r="C16" s="66" t="s">
        <v>22</v>
      </c>
      <c r="D16" s="1057">
        <v>162.64238709</v>
      </c>
      <c r="E16" s="1057">
        <v>2.53899009</v>
      </c>
      <c r="F16" s="1057">
        <f>SUM(D16:E16)</f>
        <v>165.18137718</v>
      </c>
      <c r="G16" s="1059"/>
      <c r="H16" s="1057">
        <f>F39+F45</f>
        <v>-18.356181772118468</v>
      </c>
      <c r="I16" s="1060" t="s">
        <v>23</v>
      </c>
      <c r="J16" s="1057">
        <f>F51</f>
        <v>19.966741140277019</v>
      </c>
      <c r="K16" s="1061" t="s">
        <v>21</v>
      </c>
      <c r="L16" s="1057">
        <f>H16+J16</f>
        <v>1.6105593681585511</v>
      </c>
      <c r="M16" s="1059"/>
      <c r="N16" s="1057">
        <f>+D16+H16</f>
        <v>144.28620531788152</v>
      </c>
      <c r="O16" s="1057">
        <f t="shared" ref="O16:O17" si="0">+E16+J16</f>
        <v>22.505731230277018</v>
      </c>
      <c r="P16" s="1057">
        <f>SUM(N16:O16)</f>
        <v>166.79193654815853</v>
      </c>
      <c r="R16" s="1075"/>
      <c r="S16" s="1102"/>
      <c r="Z16" s="1100"/>
      <c r="AA16" s="1100"/>
      <c r="AB16" s="1100"/>
      <c r="AC16" s="1100"/>
    </row>
    <row r="17" spans="1:29" ht="12.75" customHeight="1">
      <c r="A17" s="225">
        <f>A16+1</f>
        <v>3</v>
      </c>
      <c r="B17" s="66"/>
      <c r="C17" s="66" t="s">
        <v>24</v>
      </c>
      <c r="D17" s="1057">
        <v>64.279665700703788</v>
      </c>
      <c r="E17" s="1057">
        <v>0</v>
      </c>
      <c r="F17" s="1057">
        <f>SUM(D17:E17)</f>
        <v>64.279665700703788</v>
      </c>
      <c r="G17" s="1059"/>
      <c r="H17" s="1062">
        <f>F40+F46</f>
        <v>21.353761938930127</v>
      </c>
      <c r="I17" s="1061" t="s">
        <v>23</v>
      </c>
      <c r="J17" s="1057">
        <v>0</v>
      </c>
      <c r="K17" s="1061"/>
      <c r="L17" s="1057">
        <f t="shared" ref="L17" si="1">H17+J17</f>
        <v>21.353761938930127</v>
      </c>
      <c r="M17" s="1059"/>
      <c r="N17" s="1057">
        <f>+D17+H17</f>
        <v>85.633427639633908</v>
      </c>
      <c r="O17" s="1057">
        <f t="shared" si="0"/>
        <v>0</v>
      </c>
      <c r="P17" s="1057">
        <f t="shared" ref="P17" si="2">SUM(N17:O17)</f>
        <v>85.633427639633908</v>
      </c>
      <c r="Z17" s="1100"/>
      <c r="AA17" s="1100"/>
      <c r="AB17" s="1100"/>
      <c r="AC17" s="1100"/>
    </row>
    <row r="18" spans="1:29" ht="12.75" customHeight="1">
      <c r="A18" s="225">
        <f>A17+1</f>
        <v>4</v>
      </c>
      <c r="B18" s="66"/>
      <c r="C18" s="66" t="s">
        <v>25</v>
      </c>
      <c r="D18" s="1063">
        <f>SUM(D15:D17)</f>
        <v>2897.0317857907035</v>
      </c>
      <c r="E18" s="1063">
        <f t="shared" ref="E18:F18" si="3">SUM(E15:E17)</f>
        <v>3112.59025109</v>
      </c>
      <c r="F18" s="1063">
        <f t="shared" si="3"/>
        <v>6009.6220368807035</v>
      </c>
      <c r="G18" s="1059"/>
      <c r="H18" s="1057">
        <f>SUM(H15:H17)</f>
        <v>0</v>
      </c>
      <c r="I18" s="1059"/>
      <c r="J18" s="1063">
        <f>SUM(J15:J17)</f>
        <v>25.27499230420738</v>
      </c>
      <c r="K18" s="1059"/>
      <c r="L18" s="1063">
        <f>SUM(L15:L17)</f>
        <v>25.27499230420738</v>
      </c>
      <c r="M18" s="1059"/>
      <c r="N18" s="1063">
        <f>SUM(N15:N17)</f>
        <v>2897.0317857907035</v>
      </c>
      <c r="O18" s="1063">
        <f t="shared" ref="O18:P18" si="4">SUM(O15:O17)</f>
        <v>3137.8652433942075</v>
      </c>
      <c r="P18" s="1063">
        <f t="shared" si="4"/>
        <v>6034.8970291849109</v>
      </c>
      <c r="S18" s="233"/>
      <c r="Z18" s="1100"/>
      <c r="AA18" s="1100"/>
      <c r="AB18" s="1100"/>
      <c r="AC18" s="1100"/>
    </row>
    <row r="19" spans="1:29" ht="12.75" customHeight="1">
      <c r="B19" s="66"/>
      <c r="C19" s="66"/>
      <c r="D19" s="1057"/>
      <c r="E19" s="1057"/>
      <c r="F19" s="1057"/>
      <c r="G19" s="1059"/>
      <c r="H19" s="1057"/>
      <c r="I19" s="1059"/>
      <c r="J19" s="1057"/>
      <c r="K19" s="1059"/>
      <c r="L19" s="1057"/>
      <c r="M19" s="1059"/>
      <c r="N19" s="1057"/>
      <c r="O19" s="1057"/>
      <c r="P19" s="1057"/>
      <c r="Z19" s="1100"/>
      <c r="AA19" s="1100"/>
      <c r="AB19" s="1100"/>
      <c r="AC19" s="1100"/>
    </row>
    <row r="20" spans="1:29" ht="12.75" customHeight="1">
      <c r="B20" s="66"/>
      <c r="C20" s="1053" t="s">
        <v>26</v>
      </c>
      <c r="D20" s="1057"/>
      <c r="E20" s="1057"/>
      <c r="F20" s="1057"/>
      <c r="G20" s="1059"/>
      <c r="H20" s="1057"/>
      <c r="I20" s="1059"/>
      <c r="J20" s="1057"/>
      <c r="K20" s="1059"/>
      <c r="L20" s="1057"/>
      <c r="M20" s="1059"/>
      <c r="N20" s="1057"/>
      <c r="O20" s="1057"/>
      <c r="P20" s="1057"/>
      <c r="Z20" s="1100"/>
      <c r="AA20" s="1100"/>
      <c r="AB20" s="1100"/>
      <c r="AC20" s="1100"/>
    </row>
    <row r="21" spans="1:29" ht="12.75" customHeight="1">
      <c r="B21" s="66"/>
      <c r="C21" s="66"/>
      <c r="D21" s="1057"/>
      <c r="E21" s="1057"/>
      <c r="F21" s="1057"/>
      <c r="G21" s="1059"/>
      <c r="H21" s="1057"/>
      <c r="I21" s="1059"/>
      <c r="J21" s="1057"/>
      <c r="K21" s="1059"/>
      <c r="L21" s="1057"/>
      <c r="M21" s="1059"/>
      <c r="N21" s="1057"/>
      <c r="O21" s="1057"/>
      <c r="P21" s="1057"/>
      <c r="R21" s="1053"/>
      <c r="S21" s="1053"/>
      <c r="Z21" s="1100"/>
      <c r="AA21" s="1100"/>
      <c r="AB21" s="1100"/>
      <c r="AC21" s="1100"/>
    </row>
    <row r="22" spans="1:29" ht="12.75" customHeight="1">
      <c r="A22" s="225">
        <f>A18+1</f>
        <v>5</v>
      </c>
      <c r="B22" s="66"/>
      <c r="C22" s="66" t="s">
        <v>27</v>
      </c>
      <c r="D22" s="1057">
        <v>14.701929</v>
      </c>
      <c r="E22" s="1057">
        <v>3117.0240076999999</v>
      </c>
      <c r="F22" s="1057">
        <f>SUM(D22:E22)</f>
        <v>3131.7259366999997</v>
      </c>
      <c r="G22" s="1059"/>
      <c r="H22" s="1057">
        <v>-0.55168399056645856</v>
      </c>
      <c r="I22" s="1061" t="s">
        <v>28</v>
      </c>
      <c r="J22" s="1057">
        <f>F52</f>
        <v>25.27499230420738</v>
      </c>
      <c r="K22" s="1061" t="s">
        <v>21</v>
      </c>
      <c r="L22" s="1057">
        <f>H22+J22</f>
        <v>24.723308313640921</v>
      </c>
      <c r="M22" s="1059"/>
      <c r="N22" s="1057">
        <f>+D22+H22</f>
        <v>14.150245009433542</v>
      </c>
      <c r="O22" s="1057">
        <f>+E22+J22</f>
        <v>3142.2990000042073</v>
      </c>
      <c r="P22" s="1057">
        <f>SUM(N22:O22)</f>
        <v>3156.4492450136408</v>
      </c>
      <c r="R22" s="1100"/>
      <c r="S22" s="233"/>
      <c r="Z22" s="1100"/>
      <c r="AA22" s="1100"/>
      <c r="AB22" s="1100"/>
      <c r="AC22" s="1100"/>
    </row>
    <row r="23" spans="1:29" ht="12.75" customHeight="1">
      <c r="A23" s="225">
        <f>A22+1</f>
        <v>6</v>
      </c>
      <c r="B23" s="66"/>
      <c r="C23" s="66" t="s">
        <v>29</v>
      </c>
      <c r="D23" s="1057">
        <v>1054.891748</v>
      </c>
      <c r="E23" s="1057">
        <v>0</v>
      </c>
      <c r="F23" s="1057">
        <f>SUM(D23:E23)</f>
        <v>1054.891748</v>
      </c>
      <c r="G23" s="1059"/>
      <c r="H23" s="1057">
        <v>0</v>
      </c>
      <c r="I23" s="1059"/>
      <c r="J23" s="1057">
        <v>0</v>
      </c>
      <c r="K23" s="1059"/>
      <c r="L23" s="1057">
        <f t="shared" ref="L23:L26" si="5">H23+J23</f>
        <v>0</v>
      </c>
      <c r="M23" s="1059"/>
      <c r="N23" s="1057">
        <f>+D23+H23</f>
        <v>1054.891748</v>
      </c>
      <c r="O23" s="1057">
        <f>+E23+J23</f>
        <v>0</v>
      </c>
      <c r="P23" s="1057">
        <f t="shared" ref="P23:P26" si="6">SUM(N23:O23)</f>
        <v>1054.891748</v>
      </c>
      <c r="S23" s="1103"/>
      <c r="Z23" s="1100"/>
      <c r="AB23" s="1100"/>
      <c r="AC23" s="1100"/>
    </row>
    <row r="24" spans="1:29" ht="12.75" customHeight="1">
      <c r="A24" s="225">
        <f t="shared" ref="A24:A27" si="7">A23+1</f>
        <v>7</v>
      </c>
      <c r="B24" s="66"/>
      <c r="C24" s="66" t="s">
        <v>30</v>
      </c>
      <c r="D24" s="1057">
        <v>730.15800000000002</v>
      </c>
      <c r="E24" s="1057">
        <v>0</v>
      </c>
      <c r="F24" s="1057">
        <f>SUM(D24:E24)</f>
        <v>730.15800000000002</v>
      </c>
      <c r="G24" s="1059"/>
      <c r="H24" s="1057">
        <v>0</v>
      </c>
      <c r="I24" s="1059"/>
      <c r="J24" s="1057">
        <v>0</v>
      </c>
      <c r="K24" s="1059"/>
      <c r="L24" s="1057">
        <f t="shared" si="5"/>
        <v>0</v>
      </c>
      <c r="M24" s="1059"/>
      <c r="N24" s="1057">
        <f>+D24+H24</f>
        <v>730.15800000000002</v>
      </c>
      <c r="O24" s="1057">
        <f>+E24+J24</f>
        <v>0</v>
      </c>
      <c r="P24" s="1057">
        <f t="shared" si="6"/>
        <v>730.15800000000002</v>
      </c>
      <c r="S24" s="1102"/>
      <c r="Z24" s="1100"/>
      <c r="AA24" s="1100"/>
      <c r="AB24" s="1100"/>
      <c r="AC24" s="1100"/>
    </row>
    <row r="25" spans="1:29" ht="12.75" customHeight="1">
      <c r="A25" s="225">
        <f t="shared" si="7"/>
        <v>8</v>
      </c>
      <c r="B25" s="66"/>
      <c r="C25" s="66" t="s">
        <v>31</v>
      </c>
      <c r="D25" s="1057">
        <v>4</v>
      </c>
      <c r="E25" s="1057">
        <v>0</v>
      </c>
      <c r="F25" s="1057">
        <f>SUM(D25:E25)</f>
        <v>4</v>
      </c>
      <c r="G25" s="1059"/>
      <c r="H25" s="1057">
        <v>0</v>
      </c>
      <c r="I25" s="1059"/>
      <c r="J25" s="1057">
        <v>0</v>
      </c>
      <c r="K25" s="1059"/>
      <c r="L25" s="1057">
        <f t="shared" si="5"/>
        <v>0</v>
      </c>
      <c r="M25" s="1059"/>
      <c r="N25" s="1057">
        <f>+D25+H25</f>
        <v>4</v>
      </c>
      <c r="O25" s="1057">
        <f>+E25+J25</f>
        <v>0</v>
      </c>
      <c r="P25" s="1057">
        <f t="shared" si="6"/>
        <v>4</v>
      </c>
      <c r="Z25" s="1075"/>
      <c r="AB25" s="1104"/>
    </row>
    <row r="26" spans="1:29" ht="12.75" customHeight="1">
      <c r="A26" s="225">
        <f t="shared" si="7"/>
        <v>9</v>
      </c>
      <c r="B26" s="66"/>
      <c r="C26" s="66" t="s">
        <v>32</v>
      </c>
      <c r="D26" s="1057">
        <v>125.583</v>
      </c>
      <c r="E26" s="1057">
        <v>0</v>
      </c>
      <c r="F26" s="1057">
        <f>SUM(D26:E26)</f>
        <v>125.583</v>
      </c>
      <c r="G26" s="1059"/>
      <c r="H26" s="1057">
        <v>0</v>
      </c>
      <c r="I26" s="1059"/>
      <c r="J26" s="1057">
        <v>0</v>
      </c>
      <c r="K26" s="1059"/>
      <c r="L26" s="1057">
        <f t="shared" si="5"/>
        <v>0</v>
      </c>
      <c r="M26" s="1059"/>
      <c r="N26" s="1057">
        <f>+D26+H26</f>
        <v>125.583</v>
      </c>
      <c r="O26" s="1057">
        <f>+E26+J26</f>
        <v>0</v>
      </c>
      <c r="P26" s="1057">
        <f t="shared" si="6"/>
        <v>125.583</v>
      </c>
    </row>
    <row r="27" spans="1:29" ht="12.75" customHeight="1">
      <c r="A27" s="225">
        <f t="shared" si="7"/>
        <v>10</v>
      </c>
      <c r="B27" s="66"/>
      <c r="C27" s="66" t="s">
        <v>33</v>
      </c>
      <c r="D27" s="1063">
        <f>SUM(D22:D26)</f>
        <v>1929.3346770000003</v>
      </c>
      <c r="E27" s="1063">
        <f t="shared" ref="E27:F27" si="8">SUM(E22:E26)</f>
        <v>3117.0240076999999</v>
      </c>
      <c r="F27" s="1063">
        <f t="shared" si="8"/>
        <v>5046.3586846999997</v>
      </c>
      <c r="G27" s="1059"/>
      <c r="H27" s="1063">
        <f>SUM(H22:H26)</f>
        <v>-0.55168399056645856</v>
      </c>
      <c r="I27" s="1059"/>
      <c r="J27" s="1063">
        <f>SUM(J22:J26)</f>
        <v>25.27499230420738</v>
      </c>
      <c r="K27" s="1059"/>
      <c r="L27" s="1063">
        <f>SUM(L22:L26)</f>
        <v>24.723308313640921</v>
      </c>
      <c r="M27" s="1059"/>
      <c r="N27" s="1063">
        <f>SUM(N22:N26)</f>
        <v>1928.7829930094335</v>
      </c>
      <c r="O27" s="1063">
        <f t="shared" ref="O27:P27" si="9">SUM(O22:O26)</f>
        <v>3142.2990000042073</v>
      </c>
      <c r="P27" s="1063">
        <f t="shared" si="9"/>
        <v>5071.0819930136404</v>
      </c>
      <c r="Z27" s="1105"/>
      <c r="AA27" s="1106"/>
    </row>
    <row r="28" spans="1:29" ht="12.75" customHeight="1">
      <c r="B28" s="66"/>
      <c r="C28" s="66"/>
      <c r="D28" s="1057"/>
      <c r="E28" s="1057"/>
      <c r="F28" s="1057"/>
      <c r="G28" s="1059"/>
      <c r="H28" s="1057"/>
      <c r="I28" s="1059"/>
      <c r="J28" s="1057"/>
      <c r="K28" s="1059"/>
      <c r="L28" s="1057"/>
      <c r="M28" s="1059"/>
      <c r="N28" s="1057"/>
      <c r="O28" s="1057"/>
      <c r="P28" s="1057"/>
      <c r="Q28" s="1102"/>
      <c r="Z28" s="1100"/>
      <c r="AA28" s="1100"/>
    </row>
    <row r="29" spans="1:29" ht="12.75" customHeight="1">
      <c r="A29" s="225">
        <f>+A27+1</f>
        <v>11</v>
      </c>
      <c r="B29" s="66"/>
      <c r="C29" s="66" t="s">
        <v>34</v>
      </c>
      <c r="D29" s="1057">
        <v>955.9</v>
      </c>
      <c r="E29" s="1057">
        <v>0</v>
      </c>
      <c r="F29" s="1057">
        <f>SUM(D29:E29)</f>
        <v>955.9</v>
      </c>
      <c r="G29" s="1059"/>
      <c r="H29" s="1057">
        <v>0</v>
      </c>
      <c r="I29" s="1059"/>
      <c r="J29" s="1057">
        <v>0</v>
      </c>
      <c r="K29" s="1059"/>
      <c r="L29" s="1057">
        <f>H29+J29</f>
        <v>0</v>
      </c>
      <c r="M29" s="1059"/>
      <c r="N29" s="1057">
        <f>+D29+H29</f>
        <v>955.9</v>
      </c>
      <c r="O29" s="1057">
        <f>+E29+J29</f>
        <v>0</v>
      </c>
      <c r="P29" s="1057">
        <f>SUM(N29:O29)</f>
        <v>955.9</v>
      </c>
      <c r="Q29" s="1102"/>
      <c r="Z29" s="1106"/>
      <c r="AA29" s="1107"/>
    </row>
    <row r="30" spans="1:29" ht="12.75" customHeight="1">
      <c r="A30" s="225">
        <f>A29+1</f>
        <v>12</v>
      </c>
      <c r="B30" s="66"/>
      <c r="C30" s="66" t="s">
        <v>35</v>
      </c>
      <c r="D30" s="1057">
        <v>94.475510204081644</v>
      </c>
      <c r="E30" s="1057">
        <v>-4.5</v>
      </c>
      <c r="F30" s="1057">
        <f>SUM(D30:E30)</f>
        <v>89.975510204081644</v>
      </c>
      <c r="G30" s="1059"/>
      <c r="H30" s="1057">
        <v>0</v>
      </c>
      <c r="I30" s="1059"/>
      <c r="J30" s="1057">
        <v>0</v>
      </c>
      <c r="K30" s="1059"/>
      <c r="L30" s="1057">
        <f t="shared" ref="L30:L31" si="10">H30+J30</f>
        <v>0</v>
      </c>
      <c r="M30" s="1059"/>
      <c r="N30" s="1057">
        <f>+D30+H30</f>
        <v>94.475510204081644</v>
      </c>
      <c r="O30" s="1057">
        <f>+E30+J30</f>
        <v>-4.5</v>
      </c>
      <c r="P30" s="1057">
        <f t="shared" ref="P30:P31" si="11">SUM(N30:O30)</f>
        <v>89.975510204081644</v>
      </c>
      <c r="Q30" s="1102"/>
    </row>
    <row r="31" spans="1:29" ht="12.75" customHeight="1">
      <c r="A31" s="225">
        <f>A30+1</f>
        <v>13</v>
      </c>
      <c r="B31" s="66"/>
      <c r="C31" s="66" t="s">
        <v>36</v>
      </c>
      <c r="D31" s="1062">
        <v>29.799999999999997</v>
      </c>
      <c r="E31" s="1062">
        <v>4.5050000000000008</v>
      </c>
      <c r="F31" s="1057">
        <f>SUM(D31:E31)</f>
        <v>34.305</v>
      </c>
      <c r="G31" s="1059"/>
      <c r="H31" s="1062">
        <v>0</v>
      </c>
      <c r="I31" s="1059"/>
      <c r="J31" s="1062">
        <v>0</v>
      </c>
      <c r="K31" s="1059"/>
      <c r="L31" s="1057">
        <f t="shared" si="10"/>
        <v>0</v>
      </c>
      <c r="M31" s="1059"/>
      <c r="N31" s="1057">
        <f>+D31+H31</f>
        <v>29.799999999999997</v>
      </c>
      <c r="O31" s="1057">
        <f>+E31+J31</f>
        <v>4.5050000000000008</v>
      </c>
      <c r="P31" s="1057">
        <f t="shared" si="11"/>
        <v>34.305</v>
      </c>
      <c r="R31" s="1108"/>
      <c r="S31" s="1104"/>
      <c r="Z31" s="1106"/>
      <c r="AA31" s="1107"/>
    </row>
    <row r="32" spans="1:29" ht="12.75" customHeight="1">
      <c r="A32" s="225">
        <f>A31+1</f>
        <v>14</v>
      </c>
      <c r="B32" s="66"/>
      <c r="C32" s="66" t="s">
        <v>37</v>
      </c>
      <c r="D32" s="1063">
        <f>D27+D29+D30+D31</f>
        <v>3009.5101872040823</v>
      </c>
      <c r="E32" s="1063">
        <f t="shared" ref="E32:F32" si="12">E27+E29+E30+E31</f>
        <v>3117.0290077</v>
      </c>
      <c r="F32" s="1063">
        <f t="shared" si="12"/>
        <v>6126.5391949040813</v>
      </c>
      <c r="G32" s="1059"/>
      <c r="H32" s="1063">
        <f>H27+H29+H30+H31</f>
        <v>-0.55168399056645856</v>
      </c>
      <c r="I32" s="1059"/>
      <c r="J32" s="1063">
        <f>J27+J29+J30+J31</f>
        <v>25.27499230420738</v>
      </c>
      <c r="K32" s="1059"/>
      <c r="L32" s="1063">
        <f>L27+L29+L30+L31</f>
        <v>24.723308313640921</v>
      </c>
      <c r="M32" s="1059"/>
      <c r="N32" s="1063">
        <f>N27+N29+N30+N31</f>
        <v>3008.9585032135155</v>
      </c>
      <c r="O32" s="1063">
        <f t="shared" ref="O32:P32" si="13">O27+O29+O30+O31</f>
        <v>3142.3040000042074</v>
      </c>
      <c r="P32" s="1063">
        <f t="shared" si="13"/>
        <v>6151.262503217722</v>
      </c>
      <c r="R32" s="1100"/>
      <c r="S32" s="1104"/>
      <c r="Z32" s="1106"/>
      <c r="AA32" s="1107"/>
    </row>
    <row r="33" spans="1:27" ht="12.75" customHeight="1">
      <c r="B33" s="66"/>
      <c r="C33" s="1053"/>
      <c r="D33" s="1057"/>
      <c r="E33" s="1057"/>
      <c r="F33" s="1057"/>
      <c r="G33" s="1064"/>
      <c r="H33" s="1064"/>
      <c r="I33" s="1064"/>
      <c r="J33" s="1064"/>
      <c r="K33" s="1064"/>
      <c r="L33" s="1064"/>
      <c r="M33" s="1064"/>
      <c r="N33" s="1057"/>
      <c r="O33" s="1057"/>
      <c r="P33" s="1057"/>
      <c r="S33" s="1104"/>
      <c r="Z33" s="1106"/>
      <c r="AA33" s="1107"/>
    </row>
    <row r="34" spans="1:27" ht="12.75" customHeight="1" thickBot="1">
      <c r="A34" s="225">
        <f>A32+1</f>
        <v>15</v>
      </c>
      <c r="B34" s="66"/>
      <c r="C34" s="66" t="s">
        <v>38</v>
      </c>
      <c r="D34" s="1065">
        <f>D18-D32</f>
        <v>-112.47840141337883</v>
      </c>
      <c r="E34" s="1065">
        <f t="shared" ref="E34:F34" si="14">E18-E32</f>
        <v>-4.4387566099999276</v>
      </c>
      <c r="F34" s="1065">
        <f t="shared" si="14"/>
        <v>-116.91715802337785</v>
      </c>
      <c r="G34" s="1059"/>
      <c r="H34" s="1065">
        <f>H18-H32</f>
        <v>0.55168399056645856</v>
      </c>
      <c r="I34" s="1057"/>
      <c r="J34" s="1065">
        <f>J18-J32</f>
        <v>0</v>
      </c>
      <c r="K34" s="1059"/>
      <c r="L34" s="1065">
        <f>L18-L32</f>
        <v>0.55168399056645967</v>
      </c>
      <c r="M34" s="1059"/>
      <c r="N34" s="1065">
        <f>N18-N32</f>
        <v>-111.92671742281209</v>
      </c>
      <c r="O34" s="1065">
        <f t="shared" ref="O34:P34" si="15">O18-O32</f>
        <v>-4.4387566099999276</v>
      </c>
      <c r="P34" s="1065">
        <f t="shared" si="15"/>
        <v>-116.36547403281111</v>
      </c>
      <c r="R34" s="1075"/>
      <c r="S34" s="233"/>
    </row>
    <row r="35" spans="1:27" ht="12.75" customHeight="1" thickTop="1">
      <c r="D35" s="1054"/>
      <c r="F35" s="1066"/>
      <c r="P35" s="1058"/>
      <c r="Z35" s="1106"/>
      <c r="AA35" s="1107"/>
    </row>
    <row r="36" spans="1:27" ht="12.75" customHeight="1">
      <c r="F36" s="1054"/>
      <c r="Q36" s="1109"/>
      <c r="R36" s="1109"/>
      <c r="S36" s="1104"/>
    </row>
    <row r="37" spans="1:27" ht="12.75" customHeight="1">
      <c r="A37" s="1067" t="s">
        <v>39</v>
      </c>
      <c r="Q37" s="1109"/>
      <c r="R37" s="1109"/>
      <c r="S37" s="1104"/>
      <c r="Z37" s="1075"/>
    </row>
    <row r="38" spans="1:27" ht="12.75" customHeight="1">
      <c r="A38" s="234" t="s">
        <v>40</v>
      </c>
      <c r="B38" s="1068"/>
      <c r="C38" s="239" t="s">
        <v>41</v>
      </c>
      <c r="D38" s="1069"/>
      <c r="E38" s="1069"/>
      <c r="F38" s="1069"/>
      <c r="G38" s="1069"/>
      <c r="I38" s="183" t="s">
        <v>28</v>
      </c>
      <c r="J38" s="66" t="s">
        <v>42</v>
      </c>
      <c r="Q38" s="222"/>
      <c r="R38" s="222"/>
      <c r="S38" s="222"/>
      <c r="T38" s="1110"/>
    </row>
    <row r="39" spans="1:27" ht="12.75" customHeight="1">
      <c r="A39" s="234"/>
      <c r="B39" s="1068"/>
      <c r="C39" s="1070" t="s">
        <v>43</v>
      </c>
      <c r="D39" s="1068"/>
      <c r="E39" s="1068"/>
      <c r="F39" s="1071">
        <v>-15.3365926054518</v>
      </c>
      <c r="G39" s="1069"/>
      <c r="J39" s="150" t="s">
        <v>44</v>
      </c>
    </row>
    <row r="40" spans="1:27" ht="12.75" customHeight="1">
      <c r="A40" s="1068"/>
      <c r="B40" s="1068"/>
      <c r="C40" s="1070" t="s">
        <v>45</v>
      </c>
      <c r="D40" s="1068"/>
      <c r="E40" s="1068"/>
      <c r="F40" s="1071">
        <v>15.3365926054518</v>
      </c>
      <c r="G40" s="1068"/>
      <c r="J40" s="239" t="s">
        <v>46</v>
      </c>
    </row>
    <row r="41" spans="1:27" ht="12.75" customHeight="1">
      <c r="A41" s="1068"/>
      <c r="B41" s="1068"/>
      <c r="C41" s="1068"/>
      <c r="D41" s="1068"/>
      <c r="E41" s="1068"/>
      <c r="F41" s="1072">
        <v>0</v>
      </c>
      <c r="G41" s="1068"/>
      <c r="V41" s="1104"/>
    </row>
    <row r="42" spans="1:27" ht="12.75" customHeight="1">
      <c r="A42" s="234"/>
      <c r="B42" s="1068"/>
      <c r="C42" s="136"/>
      <c r="D42" s="136"/>
      <c r="E42" s="136"/>
      <c r="F42" s="136"/>
      <c r="G42" s="1068"/>
      <c r="O42" s="136"/>
      <c r="W42" s="1111"/>
    </row>
    <row r="43" spans="1:27" ht="12.75" customHeight="1">
      <c r="A43" s="183" t="s">
        <v>20</v>
      </c>
      <c r="B43" s="239" t="s">
        <v>47</v>
      </c>
      <c r="F43" s="1073"/>
      <c r="Q43" s="136"/>
      <c r="R43" s="136"/>
    </row>
    <row r="44" spans="1:27" ht="12.75" customHeight="1">
      <c r="B44" s="1070" t="s">
        <v>48</v>
      </c>
      <c r="C44" s="1068"/>
      <c r="D44" s="1068"/>
      <c r="F44" s="1071">
        <v>-2.9975801668116584</v>
      </c>
      <c r="Q44" s="136"/>
      <c r="R44" s="1109"/>
      <c r="S44" s="1112"/>
    </row>
    <row r="45" spans="1:27" ht="12.75" customHeight="1">
      <c r="B45" s="1074" t="s">
        <v>49</v>
      </c>
      <c r="C45" s="1068"/>
      <c r="D45" s="1068"/>
      <c r="F45" s="1071">
        <v>-3.0195891666666665</v>
      </c>
      <c r="Q45" s="136"/>
      <c r="R45" s="1064"/>
      <c r="S45" s="1109"/>
    </row>
    <row r="46" spans="1:27" ht="12.75" customHeight="1">
      <c r="B46" s="1070" t="s">
        <v>50</v>
      </c>
      <c r="C46" s="1068"/>
      <c r="D46" s="1068"/>
      <c r="F46" s="1075">
        <v>6.0171693334783249</v>
      </c>
      <c r="Q46" s="136"/>
      <c r="R46" s="225"/>
      <c r="S46" s="225"/>
      <c r="T46" s="225"/>
      <c r="W46" s="1113"/>
    </row>
    <row r="47" spans="1:27" ht="12.75" customHeight="1">
      <c r="F47" s="1072">
        <v>0</v>
      </c>
      <c r="Q47" s="136"/>
      <c r="R47" s="225"/>
      <c r="S47" s="1114"/>
      <c r="W47" s="1115"/>
    </row>
    <row r="48" spans="1:27" ht="12.75" customHeight="1">
      <c r="F48" s="1076"/>
      <c r="Q48" s="136"/>
      <c r="R48" s="225"/>
      <c r="S48" s="1109"/>
      <c r="W48" s="1115"/>
    </row>
    <row r="49" spans="1:22" ht="12.75" customHeight="1">
      <c r="A49" s="183" t="s">
        <v>21</v>
      </c>
      <c r="B49" s="239" t="s">
        <v>51</v>
      </c>
      <c r="H49" s="136"/>
      <c r="I49" s="136"/>
      <c r="J49" s="136"/>
      <c r="K49" s="136"/>
      <c r="L49" s="136"/>
      <c r="M49" s="136"/>
      <c r="N49" s="136"/>
      <c r="O49" s="136"/>
      <c r="R49" s="225"/>
      <c r="S49" s="225"/>
    </row>
    <row r="50" spans="1:22" ht="12.75" customHeight="1">
      <c r="B50" s="1070" t="s">
        <v>52</v>
      </c>
      <c r="F50" s="1064">
        <v>5.3082511639303602</v>
      </c>
      <c r="I50" s="239"/>
      <c r="O50" s="66"/>
    </row>
    <row r="51" spans="1:22" ht="12.75" customHeight="1">
      <c r="B51" s="1070" t="s">
        <v>53</v>
      </c>
      <c r="C51" s="1068"/>
      <c r="D51" s="1068"/>
      <c r="E51" s="1068"/>
      <c r="F51" s="1071">
        <v>19.966741140277019</v>
      </c>
      <c r="O51" s="66"/>
    </row>
    <row r="52" spans="1:22" ht="12.75" customHeight="1">
      <c r="B52" s="1070" t="s">
        <v>54</v>
      </c>
      <c r="C52" s="1068"/>
      <c r="D52" s="1068"/>
      <c r="E52" s="1068"/>
      <c r="F52" s="1071">
        <v>25.27499230420738</v>
      </c>
      <c r="O52" s="66"/>
    </row>
    <row r="53" spans="1:22" ht="12.75" customHeight="1">
      <c r="C53" s="1068"/>
      <c r="D53" s="1068"/>
      <c r="E53" s="1068"/>
      <c r="F53" s="1077">
        <v>0</v>
      </c>
      <c r="O53" s="66"/>
    </row>
    <row r="54" spans="1:22" ht="12.75" customHeight="1">
      <c r="C54" s="1068"/>
      <c r="D54" s="1068"/>
      <c r="E54" s="1068"/>
      <c r="F54" s="1071"/>
      <c r="O54" s="66"/>
    </row>
    <row r="55" spans="1:22">
      <c r="H55" s="66"/>
      <c r="O55" s="66"/>
    </row>
    <row r="56" spans="1:22" ht="12.95">
      <c r="G56" s="1064"/>
      <c r="H56" s="66"/>
      <c r="O56" s="66"/>
      <c r="V56" s="1116"/>
    </row>
    <row r="57" spans="1:22">
      <c r="D57" s="66"/>
      <c r="G57" s="136"/>
      <c r="H57" s="66"/>
    </row>
    <row r="58" spans="1:22">
      <c r="D58" s="66"/>
      <c r="G58" s="136"/>
      <c r="H58" s="66"/>
      <c r="I58" s="1078"/>
      <c r="J58" s="1078"/>
      <c r="K58" s="1078"/>
      <c r="L58" s="1078"/>
      <c r="M58" s="1078"/>
      <c r="N58" s="1078"/>
      <c r="O58" s="1078"/>
      <c r="P58" s="1078"/>
    </row>
  </sheetData>
  <mergeCells count="4">
    <mergeCell ref="A7:P7"/>
    <mergeCell ref="D9:F9"/>
    <mergeCell ref="H9:L9"/>
    <mergeCell ref="N9:P9"/>
  </mergeCells>
  <printOptions horizontalCentered="1"/>
  <pageMargins left="0.7" right="0.7" top="0.75" bottom="0.75" header="0.3" footer="0.3"/>
  <pageSetup scale="70" fitToHeight="0" orientation="landscape" horizontalDpi="1200" verticalDpi="1200" r:id="rId1"/>
  <headerFooter>
    <oddHeader>&amp;R&amp;10Filed: 2024-02-16
EB-2022-0200
Rate Order
Working Papers
Schedule 16
Page &amp;P of 1</oddHeader>
    <oddFooter>&amp;C&amp;"Calibri"&amp;11&amp;K000000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C3D7-F2C2-41FE-9EB7-3FC373E9117B}">
  <dimension ref="A1:BD277"/>
  <sheetViews>
    <sheetView view="pageBreakPreview" topLeftCell="A147" zoomScale="110" zoomScaleNormal="85" zoomScaleSheetLayoutView="110" workbookViewId="0">
      <selection activeCell="L154" sqref="L154"/>
    </sheetView>
  </sheetViews>
  <sheetFormatPr defaultColWidth="0" defaultRowHeight="12.6"/>
  <cols>
    <col min="1" max="1" width="1.625" style="18" customWidth="1"/>
    <col min="2" max="2" width="5.125" style="18" customWidth="1"/>
    <col min="3" max="3" width="1.125" style="18" customWidth="1"/>
    <col min="4" max="4" width="40.625" style="18" customWidth="1"/>
    <col min="5" max="5" width="1.125" style="18" customWidth="1"/>
    <col min="6" max="6" width="13" style="18" customWidth="1"/>
    <col min="7" max="7" width="1.125" style="18" customWidth="1"/>
    <col min="8" max="8" width="13.125" style="18" customWidth="1"/>
    <col min="9" max="9" width="1.125" style="18" customWidth="1"/>
    <col min="10" max="10" width="11.75" style="18" customWidth="1"/>
    <col min="11" max="11" width="1.125" style="18" customWidth="1"/>
    <col min="12" max="12" width="10.125" style="18" customWidth="1"/>
    <col min="13" max="13" width="1.125" style="18" customWidth="1"/>
    <col min="14" max="14" width="11.125" style="18" customWidth="1"/>
    <col min="15" max="16" width="8.125" style="18" customWidth="1"/>
    <col min="17" max="17" width="20.125" style="18" customWidth="1"/>
    <col min="18" max="18" width="13" style="18" bestFit="1" customWidth="1"/>
    <col min="19" max="19" width="14" style="18" bestFit="1" customWidth="1"/>
    <col min="20" max="20" width="17.625" style="18" bestFit="1" customWidth="1"/>
    <col min="21" max="21" width="14" style="18" bestFit="1" customWidth="1"/>
    <col min="22" max="22" width="17.625" style="18" bestFit="1" customWidth="1"/>
    <col min="23" max="23" width="8.5" style="18" customWidth="1"/>
    <col min="24" max="49" width="8.125" style="18" customWidth="1"/>
    <col min="50" max="56" width="0" style="18" hidden="1" customWidth="1"/>
    <col min="57" max="16384" width="8.125" style="18" hidden="1"/>
  </cols>
  <sheetData>
    <row r="1" spans="2:23">
      <c r="B1" s="39"/>
      <c r="C1" s="39"/>
      <c r="D1" s="39"/>
      <c r="E1" s="39"/>
      <c r="F1" s="39"/>
      <c r="G1" s="39"/>
      <c r="H1" s="39"/>
      <c r="I1" s="39"/>
      <c r="J1" s="39"/>
      <c r="K1" s="39"/>
      <c r="L1" s="39"/>
    </row>
    <row r="2" spans="2:23">
      <c r="B2" s="39"/>
      <c r="C2" s="39"/>
      <c r="D2" s="39"/>
      <c r="E2" s="39"/>
      <c r="F2" s="39"/>
      <c r="G2" s="39"/>
      <c r="H2" s="39"/>
      <c r="I2" s="39"/>
      <c r="J2" s="39"/>
      <c r="K2" s="39"/>
      <c r="L2" s="39"/>
    </row>
    <row r="3" spans="2:23">
      <c r="B3" s="39"/>
      <c r="C3" s="39"/>
      <c r="D3" s="39"/>
      <c r="E3" s="39"/>
      <c r="F3" s="39"/>
      <c r="G3" s="39"/>
      <c r="H3" s="39"/>
      <c r="I3" s="39"/>
      <c r="J3" s="39"/>
      <c r="K3" s="39"/>
      <c r="L3" s="39"/>
    </row>
    <row r="4" spans="2:23">
      <c r="B4" s="39"/>
      <c r="C4" s="39"/>
      <c r="D4" s="39"/>
      <c r="E4" s="39"/>
      <c r="F4" s="39"/>
      <c r="G4" s="39"/>
      <c r="H4" s="39"/>
      <c r="I4" s="39"/>
      <c r="J4" s="39"/>
      <c r="K4" s="39"/>
      <c r="L4" s="39"/>
    </row>
    <row r="5" spans="2:23">
      <c r="B5" s="39"/>
      <c r="C5" s="273"/>
      <c r="D5" s="39"/>
      <c r="E5" s="273"/>
      <c r="F5" s="39"/>
      <c r="G5" s="273"/>
      <c r="H5" s="39"/>
      <c r="I5" s="39"/>
      <c r="J5" s="39"/>
      <c r="K5" s="19"/>
      <c r="L5" s="19"/>
      <c r="M5" s="19"/>
      <c r="N5" s="19"/>
    </row>
    <row r="6" spans="2:23">
      <c r="B6" s="1169" t="s">
        <v>842</v>
      </c>
      <c r="C6" s="1169"/>
      <c r="D6" s="1169"/>
      <c r="E6" s="1169"/>
      <c r="F6" s="1169"/>
      <c r="G6" s="1169"/>
      <c r="H6" s="1169"/>
      <c r="I6" s="1169"/>
      <c r="J6" s="1169"/>
      <c r="K6" s="1169"/>
      <c r="L6" s="1169"/>
      <c r="M6" s="19"/>
      <c r="N6" s="19"/>
    </row>
    <row r="7" spans="2:23">
      <c r="B7" s="39"/>
      <c r="C7" s="273"/>
      <c r="D7" s="39"/>
      <c r="E7" s="273"/>
      <c r="F7" s="39"/>
      <c r="G7" s="273"/>
      <c r="H7" s="39"/>
      <c r="I7" s="39"/>
      <c r="J7" s="39"/>
      <c r="K7" s="19"/>
      <c r="L7" s="19"/>
      <c r="M7" s="19"/>
      <c r="N7" s="19"/>
    </row>
    <row r="8" spans="2:23">
      <c r="B8" s="450"/>
      <c r="C8" s="39"/>
      <c r="D8" s="39"/>
      <c r="E8" s="39"/>
      <c r="F8" s="273"/>
      <c r="G8" s="39"/>
      <c r="H8" s="39"/>
      <c r="I8" s="39"/>
      <c r="J8" s="39"/>
      <c r="K8" s="19"/>
      <c r="L8" s="19"/>
      <c r="M8" s="19"/>
      <c r="N8" s="19"/>
    </row>
    <row r="9" spans="2:23">
      <c r="B9" s="39"/>
      <c r="C9" s="39"/>
      <c r="D9" s="39"/>
      <c r="E9" s="39"/>
      <c r="F9" s="19">
        <v>2023</v>
      </c>
      <c r="G9" s="19"/>
      <c r="H9" s="19">
        <v>2024</v>
      </c>
      <c r="I9" s="19"/>
      <c r="J9" s="19"/>
      <c r="K9" s="39"/>
      <c r="L9" s="19"/>
      <c r="M9" s="19"/>
      <c r="N9" s="19"/>
    </row>
    <row r="10" spans="2:23">
      <c r="B10" s="273" t="s">
        <v>56</v>
      </c>
      <c r="C10" s="39"/>
      <c r="D10" s="39"/>
      <c r="E10" s="39"/>
      <c r="F10" s="19" t="s">
        <v>843</v>
      </c>
      <c r="G10" s="19"/>
      <c r="H10" s="19" t="s">
        <v>844</v>
      </c>
      <c r="I10" s="19"/>
      <c r="J10" s="19" t="s">
        <v>845</v>
      </c>
      <c r="K10" s="39"/>
      <c r="L10" s="381" t="s">
        <v>845</v>
      </c>
      <c r="M10" s="19"/>
      <c r="N10" s="19"/>
    </row>
    <row r="11" spans="2:23">
      <c r="B11" s="27" t="s">
        <v>57</v>
      </c>
      <c r="C11" s="39"/>
      <c r="D11" s="451" t="s">
        <v>104</v>
      </c>
      <c r="E11" s="39"/>
      <c r="F11" s="139" t="s">
        <v>248</v>
      </c>
      <c r="G11" s="20"/>
      <c r="H11" s="139" t="s">
        <v>248</v>
      </c>
      <c r="I11" s="20"/>
      <c r="J11" s="139" t="s">
        <v>248</v>
      </c>
      <c r="K11" s="39"/>
      <c r="L11" s="382" t="s">
        <v>249</v>
      </c>
      <c r="M11" s="19"/>
      <c r="N11" s="19"/>
      <c r="R11" s="380"/>
      <c r="T11" s="269"/>
    </row>
    <row r="12" spans="2:23">
      <c r="B12" s="273"/>
      <c r="C12" s="39"/>
      <c r="D12" s="39"/>
      <c r="E12" s="39"/>
      <c r="F12" s="19" t="s">
        <v>9</v>
      </c>
      <c r="G12" s="19"/>
      <c r="H12" s="26" t="s">
        <v>10</v>
      </c>
      <c r="I12" s="20"/>
      <c r="J12" s="26" t="s">
        <v>846</v>
      </c>
      <c r="K12" s="39"/>
      <c r="L12" s="383" t="s">
        <v>847</v>
      </c>
      <c r="M12" s="19"/>
      <c r="N12" s="19"/>
      <c r="Q12" s="443"/>
      <c r="R12" s="21"/>
      <c r="S12" s="21"/>
      <c r="T12" s="21"/>
      <c r="V12" s="21"/>
      <c r="W12" s="21"/>
    </row>
    <row r="13" spans="2:23">
      <c r="B13" s="450"/>
      <c r="C13" s="39"/>
      <c r="D13" s="452" t="s">
        <v>125</v>
      </c>
      <c r="E13" s="39"/>
      <c r="F13" s="39"/>
      <c r="G13" s="39"/>
      <c r="H13" s="39"/>
      <c r="I13" s="39"/>
      <c r="J13" s="39"/>
      <c r="K13" s="39"/>
      <c r="L13" s="453"/>
      <c r="M13" s="19"/>
      <c r="N13" s="19"/>
      <c r="Q13" s="444"/>
    </row>
    <row r="14" spans="2:23">
      <c r="B14" s="273">
        <v>1</v>
      </c>
      <c r="C14" s="39"/>
      <c r="D14" s="454" t="s">
        <v>127</v>
      </c>
      <c r="E14" s="39"/>
      <c r="F14" s="29">
        <v>45111.512193767907</v>
      </c>
      <c r="G14" s="455"/>
      <c r="H14" s="456">
        <v>68939.006504534569</v>
      </c>
      <c r="I14" s="455"/>
      <c r="J14" s="457">
        <f>H14-F14</f>
        <v>23827.494310766662</v>
      </c>
      <c r="K14" s="455"/>
      <c r="L14" s="440">
        <f>J14/F14</f>
        <v>0.52819099054849239</v>
      </c>
      <c r="M14" s="19"/>
      <c r="N14" s="19"/>
      <c r="Q14" s="444"/>
      <c r="R14" s="445"/>
      <c r="S14" s="446"/>
      <c r="T14" s="445"/>
      <c r="V14" s="215"/>
      <c r="W14" s="44"/>
    </row>
    <row r="15" spans="2:23">
      <c r="B15" s="273">
        <f>MAX($B$14:B14)+1</f>
        <v>2</v>
      </c>
      <c r="C15" s="39"/>
      <c r="D15" s="454" t="s">
        <v>128</v>
      </c>
      <c r="E15" s="39"/>
      <c r="F15" s="29">
        <v>23822.648464856513</v>
      </c>
      <c r="G15" s="455"/>
      <c r="H15" s="456">
        <v>31442.796874040876</v>
      </c>
      <c r="I15" s="455"/>
      <c r="J15" s="457">
        <f t="shared" ref="J15:J25" si="0">H15-F15</f>
        <v>7620.1484091843631</v>
      </c>
      <c r="K15" s="455"/>
      <c r="L15" s="440">
        <f t="shared" ref="L15:L25" si="1">J15/F15</f>
        <v>0.31986990952856093</v>
      </c>
      <c r="M15" s="19"/>
      <c r="N15" s="19"/>
      <c r="O15" s="44"/>
      <c r="Q15" s="444"/>
      <c r="R15" s="445"/>
      <c r="S15" s="446"/>
      <c r="T15" s="445"/>
      <c r="V15" s="215"/>
      <c r="W15" s="44"/>
    </row>
    <row r="16" spans="2:23">
      <c r="B16" s="273">
        <f>MAX($B$14:B15)+1</f>
        <v>3</v>
      </c>
      <c r="C16" s="39"/>
      <c r="D16" s="454" t="s">
        <v>129</v>
      </c>
      <c r="E16" s="39"/>
      <c r="F16" s="29">
        <v>0</v>
      </c>
      <c r="G16" s="455"/>
      <c r="H16" s="456">
        <v>272.41532868845394</v>
      </c>
      <c r="I16" s="455"/>
      <c r="J16" s="457">
        <f t="shared" si="0"/>
        <v>272.41532868845394</v>
      </c>
      <c r="K16" s="455"/>
      <c r="L16" s="440">
        <v>1</v>
      </c>
      <c r="M16" s="19"/>
      <c r="N16" s="19"/>
      <c r="Q16" s="444"/>
      <c r="R16" s="445"/>
      <c r="S16" s="446"/>
      <c r="T16" s="445"/>
      <c r="V16" s="215"/>
      <c r="W16" s="44"/>
    </row>
    <row r="17" spans="2:23">
      <c r="B17" s="273">
        <f>MAX($B$14:B16)+1</f>
        <v>4</v>
      </c>
      <c r="C17" s="39"/>
      <c r="D17" s="454" t="s">
        <v>130</v>
      </c>
      <c r="E17" s="39"/>
      <c r="F17" s="29">
        <v>2530.7072204570045</v>
      </c>
      <c r="G17" s="455"/>
      <c r="H17" s="456">
        <v>2395.742013411279</v>
      </c>
      <c r="I17" s="455"/>
      <c r="J17" s="457">
        <f t="shared" si="0"/>
        <v>-134.96520704572549</v>
      </c>
      <c r="K17" s="455"/>
      <c r="L17" s="440">
        <f t="shared" si="1"/>
        <v>-5.3331023816082908E-2</v>
      </c>
      <c r="M17" s="19"/>
      <c r="N17" s="19"/>
      <c r="Q17" s="444"/>
      <c r="R17" s="445"/>
      <c r="S17" s="446"/>
      <c r="T17" s="445"/>
      <c r="V17" s="215"/>
      <c r="W17" s="44"/>
    </row>
    <row r="18" spans="2:23">
      <c r="B18" s="273">
        <f>MAX($B$14:B17)+1</f>
        <v>5</v>
      </c>
      <c r="C18" s="39"/>
      <c r="D18" s="454" t="s">
        <v>131</v>
      </c>
      <c r="E18" s="39"/>
      <c r="F18" s="29">
        <v>1450.4079929714394</v>
      </c>
      <c r="G18" s="455"/>
      <c r="H18" s="456">
        <v>1046.4385347200052</v>
      </c>
      <c r="I18" s="455"/>
      <c r="J18" s="457">
        <f t="shared" si="0"/>
        <v>-403.96945825143416</v>
      </c>
      <c r="K18" s="455"/>
      <c r="L18" s="440">
        <f t="shared" si="1"/>
        <v>-0.27852125761098789</v>
      </c>
      <c r="M18" s="19"/>
      <c r="N18" s="19"/>
      <c r="Q18" s="444"/>
      <c r="R18" s="445"/>
      <c r="S18" s="446"/>
      <c r="T18" s="445"/>
      <c r="V18" s="215"/>
      <c r="W18" s="44"/>
    </row>
    <row r="19" spans="2:23">
      <c r="B19" s="273">
        <f>MAX($B$14:B18)+1</f>
        <v>6</v>
      </c>
      <c r="C19" s="39"/>
      <c r="D19" s="454" t="s">
        <v>132</v>
      </c>
      <c r="E19" s="39"/>
      <c r="F19" s="29">
        <v>166.42587763804721</v>
      </c>
      <c r="G19" s="455"/>
      <c r="H19" s="456">
        <v>174.6606100587978</v>
      </c>
      <c r="I19" s="455"/>
      <c r="J19" s="457">
        <f t="shared" si="0"/>
        <v>8.2347324207505892</v>
      </c>
      <c r="K19" s="455"/>
      <c r="L19" s="440">
        <f t="shared" si="1"/>
        <v>4.9479879797659651E-2</v>
      </c>
      <c r="M19" s="19"/>
      <c r="N19" s="19"/>
      <c r="Q19" s="444"/>
      <c r="R19" s="445"/>
      <c r="S19" s="446"/>
      <c r="T19" s="445"/>
      <c r="V19" s="215"/>
      <c r="W19" s="44"/>
    </row>
    <row r="20" spans="2:23">
      <c r="B20" s="273">
        <f>MAX($B$14:B19)+1</f>
        <v>7</v>
      </c>
      <c r="C20" s="39"/>
      <c r="D20" s="454" t="s">
        <v>133</v>
      </c>
      <c r="E20" s="39"/>
      <c r="F20" s="29">
        <v>286.778450102173</v>
      </c>
      <c r="G20" s="455"/>
      <c r="H20" s="456">
        <v>979.65831828089802</v>
      </c>
      <c r="I20" s="455"/>
      <c r="J20" s="457">
        <f t="shared" si="0"/>
        <v>692.87986817872502</v>
      </c>
      <c r="K20" s="455"/>
      <c r="L20" s="440">
        <f t="shared" si="1"/>
        <v>2.4160806641219619</v>
      </c>
      <c r="M20" s="19"/>
      <c r="N20" s="19"/>
      <c r="Q20" s="444"/>
      <c r="R20" s="445"/>
      <c r="S20" s="446"/>
      <c r="T20" s="445"/>
      <c r="V20" s="215"/>
      <c r="W20" s="44"/>
    </row>
    <row r="21" spans="2:23">
      <c r="B21" s="273">
        <f>MAX($B$14:B20)+1</f>
        <v>8</v>
      </c>
      <c r="C21" s="39"/>
      <c r="D21" s="454" t="s">
        <v>134</v>
      </c>
      <c r="E21" s="39"/>
      <c r="F21" s="29">
        <v>1177.730019985225</v>
      </c>
      <c r="G21" s="455"/>
      <c r="H21" s="456">
        <v>319.36496185339922</v>
      </c>
      <c r="I21" s="455"/>
      <c r="J21" s="457">
        <f t="shared" si="0"/>
        <v>-858.36505813182578</v>
      </c>
      <c r="K21" s="455"/>
      <c r="L21" s="440">
        <f t="shared" si="1"/>
        <v>-0.72883007443640968</v>
      </c>
      <c r="M21" s="19"/>
      <c r="N21" s="19"/>
      <c r="Q21" s="444"/>
      <c r="R21" s="445"/>
      <c r="S21" s="446"/>
      <c r="T21" s="445"/>
      <c r="V21" s="215"/>
      <c r="W21" s="44"/>
    </row>
    <row r="22" spans="2:23">
      <c r="B22" s="273">
        <f>MAX($B$14:B21)+1</f>
        <v>9</v>
      </c>
      <c r="C22" s="39"/>
      <c r="D22" s="454" t="s">
        <v>135</v>
      </c>
      <c r="E22" s="39"/>
      <c r="F22" s="29">
        <v>2361.8966861443309</v>
      </c>
      <c r="G22" s="455"/>
      <c r="H22" s="456">
        <v>367.27241531614294</v>
      </c>
      <c r="I22" s="455"/>
      <c r="J22" s="457">
        <f t="shared" si="0"/>
        <v>-1994.6242708281879</v>
      </c>
      <c r="K22" s="455"/>
      <c r="L22" s="440">
        <f t="shared" si="1"/>
        <v>-0.84450106667633484</v>
      </c>
      <c r="M22" s="19"/>
      <c r="N22" s="19"/>
      <c r="Q22" s="444"/>
      <c r="R22" s="445"/>
      <c r="S22" s="446"/>
      <c r="T22" s="445"/>
      <c r="V22" s="215"/>
      <c r="W22" s="44"/>
    </row>
    <row r="23" spans="2:23">
      <c r="B23" s="273">
        <f>MAX($B$14:B22)+1</f>
        <v>10</v>
      </c>
      <c r="C23" s="39"/>
      <c r="D23" s="454" t="s">
        <v>136</v>
      </c>
      <c r="E23" s="39"/>
      <c r="F23" s="29">
        <v>40.264841102989358</v>
      </c>
      <c r="G23" s="455"/>
      <c r="H23" s="456">
        <v>42.257140600837147</v>
      </c>
      <c r="I23" s="455"/>
      <c r="J23" s="457">
        <f t="shared" si="0"/>
        <v>1.9922994978477888</v>
      </c>
      <c r="K23" s="455"/>
      <c r="L23" s="440">
        <f t="shared" si="1"/>
        <v>4.9479879797659894E-2</v>
      </c>
      <c r="M23" s="19"/>
      <c r="N23" s="19"/>
      <c r="Q23" s="444"/>
      <c r="R23" s="445"/>
      <c r="S23" s="446"/>
      <c r="T23" s="445"/>
      <c r="V23" s="215"/>
      <c r="W23" s="44"/>
    </row>
    <row r="24" spans="2:23">
      <c r="B24" s="273">
        <f>MAX($B$14:B23)+1</f>
        <v>11</v>
      </c>
      <c r="C24" s="39"/>
      <c r="D24" s="454" t="s">
        <v>137</v>
      </c>
      <c r="E24" s="39"/>
      <c r="F24" s="29">
        <v>0.75518109520159571</v>
      </c>
      <c r="G24" s="455"/>
      <c r="H24" s="456">
        <v>0.7925473650176359</v>
      </c>
      <c r="I24" s="455"/>
      <c r="J24" s="457">
        <f t="shared" si="0"/>
        <v>3.7366269816040187E-2</v>
      </c>
      <c r="K24" s="455"/>
      <c r="L24" s="440">
        <f t="shared" si="1"/>
        <v>4.9479879797659998E-2</v>
      </c>
      <c r="M24" s="19"/>
      <c r="N24" s="19"/>
      <c r="Q24" s="447"/>
      <c r="T24" s="44"/>
      <c r="W24" s="44"/>
    </row>
    <row r="25" spans="2:23">
      <c r="B25" s="273">
        <f>MAX($B$14:B24)+1</f>
        <v>12</v>
      </c>
      <c r="C25" s="39"/>
      <c r="D25" s="458" t="str">
        <f>"Total " &amp; D13</f>
        <v>Total EGD Rate Zone</v>
      </c>
      <c r="E25" s="39"/>
      <c r="F25" s="459">
        <f>SUM(F14:F24)</f>
        <v>76949.126928120808</v>
      </c>
      <c r="G25" s="455"/>
      <c r="H25" s="459">
        <f>SUM(H14:H24)</f>
        <v>105980.40524887027</v>
      </c>
      <c r="I25" s="455"/>
      <c r="J25" s="460">
        <f t="shared" si="0"/>
        <v>29031.278320749465</v>
      </c>
      <c r="K25" s="455"/>
      <c r="L25" s="461">
        <f t="shared" si="1"/>
        <v>0.37727885266155087</v>
      </c>
      <c r="M25" s="19"/>
      <c r="N25" s="19"/>
      <c r="O25" s="23"/>
    </row>
    <row r="26" spans="2:23">
      <c r="B26" s="39"/>
      <c r="C26" s="39"/>
      <c r="D26" s="39"/>
      <c r="E26" s="39"/>
      <c r="F26" s="455"/>
      <c r="G26" s="455"/>
      <c r="H26" s="462"/>
      <c r="I26" s="455"/>
      <c r="J26" s="455"/>
      <c r="K26" s="455"/>
      <c r="L26" s="463"/>
      <c r="M26" s="19"/>
      <c r="N26" s="19"/>
    </row>
    <row r="27" spans="2:23">
      <c r="B27" s="39"/>
      <c r="C27" s="39"/>
      <c r="D27" s="452" t="s">
        <v>139</v>
      </c>
      <c r="E27" s="39"/>
      <c r="F27" s="455"/>
      <c r="G27" s="455"/>
      <c r="H27" s="462"/>
      <c r="I27" s="455"/>
      <c r="J27" s="455"/>
      <c r="K27" s="455"/>
      <c r="L27" s="463"/>
      <c r="M27" s="19"/>
      <c r="N27" s="19"/>
      <c r="Q27" s="443"/>
    </row>
    <row r="28" spans="2:23">
      <c r="B28" s="273">
        <f>MAX($B$14:B25)+1</f>
        <v>13</v>
      </c>
      <c r="C28" s="39"/>
      <c r="D28" s="454" t="s">
        <v>140</v>
      </c>
      <c r="E28" s="39"/>
      <c r="F28" s="29">
        <v>6030.0582991150241</v>
      </c>
      <c r="G28" s="455"/>
      <c r="H28" s="456">
        <v>12031.20930386542</v>
      </c>
      <c r="I28" s="455"/>
      <c r="J28" s="457">
        <f t="shared" ref="J28:J33" si="2">H28-F28</f>
        <v>6001.1510047503962</v>
      </c>
      <c r="K28" s="455"/>
      <c r="L28" s="440">
        <f t="shared" ref="L28:L33" si="3">J28/F28</f>
        <v>0.99520613351800091</v>
      </c>
      <c r="M28" s="19"/>
      <c r="N28" s="19"/>
      <c r="Q28" s="444"/>
      <c r="T28" s="34"/>
    </row>
    <row r="29" spans="2:23">
      <c r="B29" s="273">
        <f>MAX($B$14:B28)+1</f>
        <v>14</v>
      </c>
      <c r="C29" s="39"/>
      <c r="D29" s="454" t="s">
        <v>141</v>
      </c>
      <c r="E29" s="39"/>
      <c r="F29" s="29">
        <v>3263.585202308966</v>
      </c>
      <c r="G29" s="455"/>
      <c r="H29" s="456">
        <v>1653.5839539086912</v>
      </c>
      <c r="I29" s="455"/>
      <c r="J29" s="457">
        <f t="shared" si="2"/>
        <v>-1610.0012484002748</v>
      </c>
      <c r="K29" s="455"/>
      <c r="L29" s="440">
        <f t="shared" si="3"/>
        <v>-0.49332287916405831</v>
      </c>
      <c r="M29" s="19"/>
      <c r="N29" s="19"/>
      <c r="Q29" s="444"/>
      <c r="T29" s="34"/>
    </row>
    <row r="30" spans="2:23">
      <c r="B30" s="273">
        <f>MAX($B$14:B29)+1</f>
        <v>15</v>
      </c>
      <c r="C30" s="39"/>
      <c r="D30" s="454" t="s">
        <v>142</v>
      </c>
      <c r="E30" s="39"/>
      <c r="F30" s="29">
        <v>1852.0285070552868</v>
      </c>
      <c r="G30" s="455"/>
      <c r="H30" s="456">
        <v>1314.4475566860165</v>
      </c>
      <c r="I30" s="455"/>
      <c r="J30" s="457">
        <f t="shared" si="2"/>
        <v>-537.58095036927034</v>
      </c>
      <c r="K30" s="455"/>
      <c r="L30" s="440">
        <f t="shared" si="3"/>
        <v>-0.29026602361754167</v>
      </c>
      <c r="M30" s="19"/>
      <c r="N30" s="19"/>
      <c r="Q30" s="444"/>
      <c r="T30" s="34"/>
    </row>
    <row r="31" spans="2:23">
      <c r="B31" s="273">
        <f>MAX($B$14:B30)+1</f>
        <v>16</v>
      </c>
      <c r="C31" s="39"/>
      <c r="D31" s="454" t="s">
        <v>143</v>
      </c>
      <c r="E31" s="39"/>
      <c r="F31" s="29">
        <v>75.273002614271363</v>
      </c>
      <c r="G31" s="455"/>
      <c r="H31" s="456">
        <v>78.99750173563443</v>
      </c>
      <c r="I31" s="455"/>
      <c r="J31" s="457">
        <f t="shared" si="2"/>
        <v>3.7244991213630669</v>
      </c>
      <c r="K31" s="455"/>
      <c r="L31" s="440">
        <f t="shared" si="3"/>
        <v>4.9479879797659644E-2</v>
      </c>
      <c r="M31" s="19"/>
      <c r="N31" s="19"/>
      <c r="Q31" s="444"/>
      <c r="T31" s="44"/>
    </row>
    <row r="32" spans="2:23">
      <c r="B32" s="273">
        <f>MAX($B$14:B31)+1</f>
        <v>17</v>
      </c>
      <c r="C32" s="39"/>
      <c r="D32" s="454" t="s">
        <v>129</v>
      </c>
      <c r="E32" s="39"/>
      <c r="F32" s="29">
        <v>1184.3698467577206</v>
      </c>
      <c r="G32" s="455"/>
      <c r="H32" s="456">
        <v>905.45719952283821</v>
      </c>
      <c r="I32" s="455"/>
      <c r="J32" s="457">
        <f t="shared" si="2"/>
        <v>-278.91264723488234</v>
      </c>
      <c r="K32" s="455"/>
      <c r="L32" s="440">
        <f t="shared" si="3"/>
        <v>-0.23549455265044233</v>
      </c>
      <c r="M32" s="19"/>
      <c r="N32" s="19"/>
      <c r="Q32" s="444"/>
      <c r="T32" s="34"/>
    </row>
    <row r="33" spans="2:20">
      <c r="B33" s="273">
        <f>MAX($B$14:B32)+1</f>
        <v>18</v>
      </c>
      <c r="C33" s="39"/>
      <c r="D33" s="458" t="str">
        <f>"Total " &amp; D27</f>
        <v>Total Union North Rate Zone</v>
      </c>
      <c r="E33" s="39"/>
      <c r="F33" s="459">
        <f>SUM(F28:F32)</f>
        <v>12405.31485785127</v>
      </c>
      <c r="G33" s="455"/>
      <c r="H33" s="459">
        <f>SUM(H28:H32)</f>
        <v>15983.6955157186</v>
      </c>
      <c r="I33" s="455"/>
      <c r="J33" s="460">
        <f t="shared" si="2"/>
        <v>3578.3806578673302</v>
      </c>
      <c r="K33" s="455"/>
      <c r="L33" s="461">
        <f t="shared" si="3"/>
        <v>0.28845544823899322</v>
      </c>
      <c r="M33" s="19"/>
      <c r="N33" s="19"/>
      <c r="O33" s="23"/>
      <c r="Q33" s="447"/>
      <c r="T33" s="34"/>
    </row>
    <row r="34" spans="2:20">
      <c r="B34" s="39"/>
      <c r="C34" s="39"/>
      <c r="D34" s="39"/>
      <c r="E34" s="39"/>
      <c r="F34" s="455"/>
      <c r="G34" s="455"/>
      <c r="H34" s="462"/>
      <c r="I34" s="455"/>
      <c r="J34" s="455"/>
      <c r="K34" s="455"/>
      <c r="L34" s="463"/>
      <c r="M34" s="19"/>
      <c r="N34" s="19"/>
    </row>
    <row r="35" spans="2:20">
      <c r="B35" s="39"/>
      <c r="C35" s="39"/>
      <c r="D35" s="452" t="s">
        <v>145</v>
      </c>
      <c r="E35" s="39"/>
      <c r="F35" s="455"/>
      <c r="G35" s="455"/>
      <c r="H35" s="462"/>
      <c r="I35" s="455"/>
      <c r="J35" s="455"/>
      <c r="K35" s="455"/>
      <c r="L35" s="463"/>
      <c r="M35" s="19"/>
      <c r="N35" s="19"/>
      <c r="Q35" s="443"/>
    </row>
    <row r="36" spans="2:20">
      <c r="B36" s="273">
        <f>MAX($B$14:B33)+1</f>
        <v>19</v>
      </c>
      <c r="C36" s="39"/>
      <c r="D36" s="454" t="s">
        <v>146</v>
      </c>
      <c r="E36" s="39"/>
      <c r="F36" s="29">
        <v>27345.592343456239</v>
      </c>
      <c r="G36" s="455"/>
      <c r="H36" s="456">
        <v>39316.179898107941</v>
      </c>
      <c r="I36" s="455"/>
      <c r="J36" s="457">
        <f t="shared" ref="J36:J45" si="4">H36-F36</f>
        <v>11970.587554651702</v>
      </c>
      <c r="K36" s="455"/>
      <c r="L36" s="440">
        <f t="shared" ref="L36:L45" si="5">J36/F36</f>
        <v>0.43775199323909492</v>
      </c>
      <c r="M36" s="19"/>
      <c r="N36" s="19"/>
      <c r="Q36" s="444"/>
      <c r="T36" s="34"/>
    </row>
    <row r="37" spans="2:20">
      <c r="B37" s="273">
        <f>MAX($B$14:B36)+1</f>
        <v>20</v>
      </c>
      <c r="C37" s="39"/>
      <c r="D37" s="454" t="s">
        <v>147</v>
      </c>
      <c r="E37" s="39"/>
      <c r="F37" s="29">
        <v>11256.648661169662</v>
      </c>
      <c r="G37" s="455"/>
      <c r="H37" s="456">
        <v>7054.8124410259497</v>
      </c>
      <c r="I37" s="455"/>
      <c r="J37" s="457">
        <f t="shared" si="4"/>
        <v>-4201.8362201437121</v>
      </c>
      <c r="K37" s="455"/>
      <c r="L37" s="440">
        <f t="shared" si="5"/>
        <v>-0.37327594976275164</v>
      </c>
      <c r="M37" s="19"/>
      <c r="N37" s="19"/>
      <c r="Q37" s="444"/>
      <c r="T37" s="34"/>
    </row>
    <row r="38" spans="2:20">
      <c r="B38" s="273">
        <f>MAX($B$14:B37)+1</f>
        <v>21</v>
      </c>
      <c r="C38" s="39"/>
      <c r="D38" s="454" t="s">
        <v>848</v>
      </c>
      <c r="E38" s="39"/>
      <c r="F38" s="29">
        <v>5025.1179600971136</v>
      </c>
      <c r="G38" s="455"/>
      <c r="H38" s="456">
        <v>5521.9028799142479</v>
      </c>
      <c r="I38" s="455"/>
      <c r="J38" s="457">
        <f t="shared" si="4"/>
        <v>496.78491981713432</v>
      </c>
      <c r="K38" s="455"/>
      <c r="L38" s="440">
        <f t="shared" si="5"/>
        <v>9.8860349898638719E-2</v>
      </c>
      <c r="M38" s="19"/>
      <c r="N38" s="19"/>
      <c r="Q38" s="444"/>
      <c r="T38" s="34"/>
    </row>
    <row r="39" spans="2:20">
      <c r="B39" s="273">
        <f>MAX($B$14:B38)+1</f>
        <v>22</v>
      </c>
      <c r="C39" s="39"/>
      <c r="D39" s="454" t="s">
        <v>149</v>
      </c>
      <c r="E39" s="39"/>
      <c r="F39" s="29">
        <v>524.43872268727625</v>
      </c>
      <c r="G39" s="455"/>
      <c r="H39" s="456">
        <v>402.19159855308078</v>
      </c>
      <c r="I39" s="455"/>
      <c r="J39" s="457">
        <f t="shared" si="4"/>
        <v>-122.24712413419547</v>
      </c>
      <c r="K39" s="455"/>
      <c r="L39" s="440">
        <f t="shared" si="5"/>
        <v>-0.23310087307777166</v>
      </c>
      <c r="M39" s="19"/>
      <c r="N39" s="19"/>
      <c r="Q39" s="444"/>
      <c r="T39" s="34"/>
    </row>
    <row r="40" spans="2:20">
      <c r="B40" s="273">
        <f>MAX($B$14:B39)+1</f>
        <v>23</v>
      </c>
      <c r="C40" s="39"/>
      <c r="D40" s="454" t="s">
        <v>150</v>
      </c>
      <c r="E40" s="39"/>
      <c r="F40" s="29">
        <v>2214.0227635852316</v>
      </c>
      <c r="G40" s="455"/>
      <c r="H40" s="456">
        <v>4188.472052498998</v>
      </c>
      <c r="I40" s="455"/>
      <c r="J40" s="457">
        <f t="shared" si="4"/>
        <v>1974.4492889137664</v>
      </c>
      <c r="K40" s="455"/>
      <c r="L40" s="440">
        <f t="shared" si="5"/>
        <v>0.89179267773944793</v>
      </c>
      <c r="M40" s="19"/>
      <c r="N40" s="19"/>
      <c r="Q40" s="444"/>
      <c r="T40" s="34"/>
    </row>
    <row r="41" spans="2:20">
      <c r="B41" s="273">
        <f>MAX($B$14:B40)+1</f>
        <v>24</v>
      </c>
      <c r="C41" s="39"/>
      <c r="D41" s="454" t="s">
        <v>151</v>
      </c>
      <c r="E41" s="39"/>
      <c r="F41" s="29">
        <v>16.885138634511062</v>
      </c>
      <c r="G41" s="455"/>
      <c r="H41" s="456">
        <v>17.720613264513492</v>
      </c>
      <c r="I41" s="455"/>
      <c r="J41" s="457">
        <f t="shared" si="4"/>
        <v>0.83547463000243027</v>
      </c>
      <c r="K41" s="455"/>
      <c r="L41" s="440">
        <f t="shared" si="5"/>
        <v>4.947987979765988E-2</v>
      </c>
      <c r="M41" s="19"/>
      <c r="N41" s="19"/>
      <c r="Q41" s="444"/>
      <c r="T41" s="44"/>
    </row>
    <row r="42" spans="2:20">
      <c r="B42" s="273">
        <f>MAX($B$14:B41)+1</f>
        <v>25</v>
      </c>
      <c r="C42" s="39"/>
      <c r="D42" s="454" t="s">
        <v>152</v>
      </c>
      <c r="E42" s="39"/>
      <c r="F42" s="29">
        <v>1633.7340896093751</v>
      </c>
      <c r="G42" s="455"/>
      <c r="H42" s="456">
        <v>965.15650932865947</v>
      </c>
      <c r="I42" s="455"/>
      <c r="J42" s="457">
        <f t="shared" si="4"/>
        <v>-668.57758028071567</v>
      </c>
      <c r="K42" s="455"/>
      <c r="L42" s="440">
        <f t="shared" si="5"/>
        <v>-0.40923280265307566</v>
      </c>
      <c r="M42" s="19"/>
      <c r="N42" s="19"/>
      <c r="Q42" s="444"/>
      <c r="T42" s="34"/>
    </row>
    <row r="43" spans="2:20">
      <c r="B43" s="273">
        <f>MAX($B$14:B42)+1</f>
        <v>26</v>
      </c>
      <c r="C43" s="39"/>
      <c r="D43" s="454" t="s">
        <v>153</v>
      </c>
      <c r="E43" s="39"/>
      <c r="F43" s="29">
        <v>4782.7061571557206</v>
      </c>
      <c r="G43" s="455"/>
      <c r="H43" s="456">
        <v>3537.6584435522941</v>
      </c>
      <c r="I43" s="455"/>
      <c r="J43" s="457">
        <f t="shared" si="4"/>
        <v>-1245.0477136034265</v>
      </c>
      <c r="K43" s="455"/>
      <c r="L43" s="440">
        <f t="shared" si="5"/>
        <v>-0.2603228533579528</v>
      </c>
      <c r="M43" s="19"/>
      <c r="N43" s="19"/>
      <c r="Q43" s="444"/>
      <c r="T43" s="34"/>
    </row>
    <row r="44" spans="2:20">
      <c r="B44" s="273">
        <f>MAX($B$14:B43)+1</f>
        <v>27</v>
      </c>
      <c r="C44" s="39"/>
      <c r="D44" s="454" t="s">
        <v>154</v>
      </c>
      <c r="E44" s="39"/>
      <c r="F44" s="29">
        <v>106.24677227519348</v>
      </c>
      <c r="G44" s="455"/>
      <c r="H44" s="456">
        <v>111.50384979625937</v>
      </c>
      <c r="I44" s="455"/>
      <c r="J44" s="457">
        <f t="shared" si="4"/>
        <v>5.2570775210658951</v>
      </c>
      <c r="K44" s="455"/>
      <c r="L44" s="440">
        <f t="shared" si="5"/>
        <v>4.9479879797659686E-2</v>
      </c>
      <c r="M44" s="19"/>
      <c r="N44" s="19"/>
      <c r="Q44" s="444"/>
      <c r="T44" s="44"/>
    </row>
    <row r="45" spans="2:20">
      <c r="B45" s="273">
        <f>MAX($B$14:B44)+1</f>
        <v>28</v>
      </c>
      <c r="C45" s="39"/>
      <c r="D45" s="458" t="str">
        <f>"Total " &amp; D35</f>
        <v>Total Union South Rate Zone</v>
      </c>
      <c r="E45" s="39"/>
      <c r="F45" s="459">
        <f>SUM(F36:F44)</f>
        <v>52905.392608670321</v>
      </c>
      <c r="G45" s="455"/>
      <c r="H45" s="459">
        <f>SUM(H36:H44)</f>
        <v>61115.598286041946</v>
      </c>
      <c r="I45" s="455"/>
      <c r="J45" s="460">
        <f t="shared" si="4"/>
        <v>8210.2056773716249</v>
      </c>
      <c r="K45" s="455"/>
      <c r="L45" s="461">
        <f t="shared" si="5"/>
        <v>0.15518655608702747</v>
      </c>
      <c r="M45" s="19"/>
      <c r="N45" s="19"/>
      <c r="O45" s="23"/>
      <c r="Q45" s="447"/>
      <c r="T45" s="44"/>
    </row>
    <row r="46" spans="2:20">
      <c r="B46" s="273"/>
      <c r="C46" s="39"/>
      <c r="D46" s="39"/>
      <c r="E46" s="39"/>
      <c r="F46" s="455"/>
      <c r="G46" s="455"/>
      <c r="H46" s="462"/>
      <c r="I46" s="455"/>
      <c r="J46" s="455"/>
      <c r="K46" s="455"/>
      <c r="L46" s="463"/>
      <c r="M46" s="19"/>
      <c r="N46" s="19"/>
    </row>
    <row r="47" spans="2:20" ht="12.95" thickBot="1">
      <c r="B47" s="273">
        <f>MAX($B$14:B46)+1</f>
        <v>29</v>
      </c>
      <c r="C47" s="39"/>
      <c r="D47" s="458" t="s">
        <v>8</v>
      </c>
      <c r="E47" s="39"/>
      <c r="F47" s="464">
        <f>F25+F33+F45</f>
        <v>142259.83439464238</v>
      </c>
      <c r="G47" s="455"/>
      <c r="H47" s="464">
        <f>H25+H33+H45</f>
        <v>183079.69905063082</v>
      </c>
      <c r="I47" s="455"/>
      <c r="J47" s="465">
        <f t="shared" ref="J47" si="6">H47-F47</f>
        <v>40819.864655988436</v>
      </c>
      <c r="K47" s="455"/>
      <c r="L47" s="466">
        <f t="shared" ref="L47" si="7">J47/F47</f>
        <v>0.28693878936165657</v>
      </c>
      <c r="M47" s="19"/>
      <c r="N47" s="19"/>
      <c r="O47" s="23"/>
      <c r="T47" s="44"/>
    </row>
    <row r="48" spans="2:20" ht="12.95" thickTop="1">
      <c r="B48" s="39"/>
      <c r="C48" s="39"/>
      <c r="D48" s="39"/>
      <c r="E48" s="39"/>
      <c r="F48" s="39"/>
      <c r="G48" s="39"/>
      <c r="H48" s="39"/>
      <c r="I48" s="39"/>
      <c r="J48" s="39"/>
      <c r="K48" s="39"/>
      <c r="L48" s="453"/>
      <c r="M48" s="19"/>
      <c r="N48" s="19"/>
    </row>
    <row r="49" spans="2:17">
      <c r="B49" s="452" t="s">
        <v>849</v>
      </c>
      <c r="C49" s="467"/>
      <c r="D49" s="39"/>
      <c r="E49" s="39"/>
      <c r="F49" s="39"/>
      <c r="G49" s="39"/>
      <c r="H49" s="39"/>
      <c r="I49" s="39"/>
      <c r="J49" s="39"/>
      <c r="K49" s="39"/>
      <c r="L49" s="39"/>
      <c r="M49" s="19"/>
      <c r="N49" s="19"/>
    </row>
    <row r="50" spans="2:17" ht="15" customHeight="1">
      <c r="B50" s="24" t="s">
        <v>40</v>
      </c>
      <c r="C50" s="186"/>
      <c r="D50" s="379" t="s">
        <v>850</v>
      </c>
      <c r="E50" s="25"/>
      <c r="F50" s="25"/>
      <c r="G50" s="25"/>
      <c r="H50" s="25"/>
      <c r="I50" s="186"/>
      <c r="J50" s="39"/>
      <c r="K50" s="39"/>
      <c r="L50" s="39"/>
      <c r="M50" s="19"/>
      <c r="N50" s="19"/>
    </row>
    <row r="51" spans="2:17" ht="56.25" customHeight="1">
      <c r="B51" s="24" t="s">
        <v>20</v>
      </c>
      <c r="C51" s="39"/>
      <c r="D51" s="1172" t="s">
        <v>851</v>
      </c>
      <c r="E51" s="1172"/>
      <c r="F51" s="1172"/>
      <c r="G51" s="1172"/>
      <c r="H51" s="1172"/>
      <c r="I51" s="1172"/>
      <c r="J51" s="1172"/>
      <c r="K51" s="1172"/>
      <c r="L51" s="1172"/>
      <c r="M51" s="19"/>
      <c r="N51" s="19"/>
    </row>
    <row r="52" spans="2:17" ht="15" customHeight="1">
      <c r="B52" s="450"/>
      <c r="C52" s="39"/>
      <c r="D52" s="39"/>
      <c r="E52" s="39"/>
      <c r="F52" s="39"/>
      <c r="G52" s="39"/>
      <c r="H52" s="39"/>
      <c r="I52" s="39"/>
      <c r="J52" s="39"/>
      <c r="K52" s="25"/>
      <c r="L52" s="39"/>
      <c r="M52" s="19"/>
      <c r="N52" s="19"/>
    </row>
    <row r="53" spans="2:17">
      <c r="B53" s="450"/>
      <c r="C53" s="25"/>
      <c r="D53" s="25"/>
      <c r="E53" s="25"/>
      <c r="F53" s="25"/>
      <c r="G53" s="25"/>
      <c r="H53" s="25"/>
      <c r="I53" s="25"/>
      <c r="J53" s="25"/>
      <c r="K53" s="25"/>
      <c r="L53" s="39"/>
      <c r="M53" s="19"/>
      <c r="N53" s="19"/>
    </row>
    <row r="54" spans="2:17">
      <c r="B54" s="39"/>
      <c r="C54" s="467"/>
      <c r="D54" s="39"/>
      <c r="E54" s="39"/>
      <c r="F54" s="39"/>
      <c r="G54" s="39"/>
      <c r="H54" s="39"/>
      <c r="I54" s="39"/>
      <c r="J54" s="39"/>
      <c r="K54" s="39"/>
      <c r="L54" s="39"/>
    </row>
    <row r="55" spans="2:17">
      <c r="B55" s="39"/>
      <c r="C55" s="39"/>
      <c r="D55" s="39"/>
      <c r="E55" s="39"/>
      <c r="F55" s="39"/>
      <c r="G55" s="39"/>
      <c r="H55" s="39"/>
      <c r="I55" s="39"/>
      <c r="J55" s="39"/>
      <c r="K55" s="39"/>
      <c r="L55" s="39"/>
    </row>
    <row r="56" spans="2:17">
      <c r="B56" s="39"/>
      <c r="C56" s="39"/>
      <c r="D56" s="39"/>
      <c r="E56" s="39"/>
      <c r="F56" s="39"/>
      <c r="G56" s="39"/>
      <c r="H56" s="39"/>
      <c r="I56" s="39"/>
      <c r="J56" s="39"/>
      <c r="K56" s="39"/>
      <c r="L56" s="39"/>
    </row>
    <row r="57" spans="2:17" ht="14.25" customHeight="1">
      <c r="B57" s="1169" t="s">
        <v>852</v>
      </c>
      <c r="C57" s="1169"/>
      <c r="D57" s="1169"/>
      <c r="E57" s="1169"/>
      <c r="F57" s="1169"/>
      <c r="G57" s="1169"/>
      <c r="H57" s="1169"/>
      <c r="I57" s="1169"/>
      <c r="J57" s="1169"/>
      <c r="K57" s="1169"/>
      <c r="L57" s="1169"/>
      <c r="M57" s="380"/>
    </row>
    <row r="58" spans="2:17">
      <c r="B58" s="1169" t="s">
        <v>125</v>
      </c>
      <c r="C58" s="1169"/>
      <c r="D58" s="1169"/>
      <c r="E58" s="1169"/>
      <c r="F58" s="1169"/>
      <c r="G58" s="1169"/>
      <c r="H58" s="1169"/>
      <c r="I58" s="1169"/>
      <c r="J58" s="1169"/>
      <c r="K58" s="1169"/>
      <c r="L58" s="1169"/>
      <c r="M58" s="19"/>
      <c r="N58" s="19"/>
    </row>
    <row r="59" spans="2:17">
      <c r="B59" s="450"/>
      <c r="C59" s="39"/>
      <c r="D59" s="39"/>
      <c r="E59" s="39"/>
      <c r="F59" s="273"/>
      <c r="G59" s="39"/>
      <c r="H59" s="39"/>
      <c r="I59" s="39"/>
      <c r="J59" s="19"/>
      <c r="K59" s="19"/>
      <c r="L59" s="39"/>
      <c r="M59" s="19"/>
      <c r="N59" s="19"/>
    </row>
    <row r="60" spans="2:17">
      <c r="B60" s="39"/>
      <c r="C60" s="39"/>
      <c r="D60" s="39" t="s">
        <v>168</v>
      </c>
      <c r="E60" s="39"/>
      <c r="F60" s="19"/>
      <c r="G60" s="19"/>
      <c r="H60" s="19"/>
      <c r="I60" s="19"/>
      <c r="J60" s="19"/>
      <c r="K60" s="39"/>
      <c r="L60" s="39"/>
      <c r="M60" s="19"/>
      <c r="N60" s="19"/>
      <c r="Q60" s="19"/>
    </row>
    <row r="61" spans="2:17">
      <c r="B61" s="39"/>
      <c r="C61" s="39"/>
      <c r="D61" s="39"/>
      <c r="E61" s="39"/>
      <c r="F61" s="19" t="s">
        <v>853</v>
      </c>
      <c r="G61" s="19"/>
      <c r="H61" s="19" t="s">
        <v>854</v>
      </c>
      <c r="I61" s="19"/>
      <c r="J61" s="19" t="s">
        <v>854</v>
      </c>
      <c r="K61" s="39"/>
      <c r="L61" s="39"/>
      <c r="M61" s="19"/>
      <c r="N61" s="19"/>
      <c r="Q61" s="19"/>
    </row>
    <row r="62" spans="2:17">
      <c r="B62" s="273" t="s">
        <v>56</v>
      </c>
      <c r="C62" s="39"/>
      <c r="D62" s="39"/>
      <c r="E62" s="39"/>
      <c r="F62" s="26" t="s">
        <v>855</v>
      </c>
      <c r="G62" s="19"/>
      <c r="H62" s="26" t="s">
        <v>856</v>
      </c>
      <c r="I62" s="26"/>
      <c r="J62" s="19" t="s">
        <v>857</v>
      </c>
      <c r="K62" s="39"/>
      <c r="L62" s="39"/>
      <c r="M62" s="19"/>
      <c r="N62" s="19"/>
      <c r="Q62" s="19"/>
    </row>
    <row r="63" spans="2:17">
      <c r="B63" s="27" t="s">
        <v>57</v>
      </c>
      <c r="C63" s="39"/>
      <c r="D63" s="451" t="s">
        <v>194</v>
      </c>
      <c r="E63" s="39"/>
      <c r="F63" s="431" t="s">
        <v>858</v>
      </c>
      <c r="G63" s="20"/>
      <c r="H63" s="431" t="s">
        <v>248</v>
      </c>
      <c r="I63" s="19"/>
      <c r="J63" s="27" t="s">
        <v>859</v>
      </c>
      <c r="K63" s="39"/>
      <c r="L63" s="39"/>
      <c r="M63" s="19"/>
      <c r="N63" s="19"/>
      <c r="Q63" s="137"/>
    </row>
    <row r="64" spans="2:17">
      <c r="B64" s="273"/>
      <c r="C64" s="39"/>
      <c r="D64" s="39"/>
      <c r="E64" s="39"/>
      <c r="F64" s="19" t="s">
        <v>9</v>
      </c>
      <c r="G64" s="19"/>
      <c r="H64" s="26" t="s">
        <v>10</v>
      </c>
      <c r="I64" s="20"/>
      <c r="J64" s="26" t="s">
        <v>58</v>
      </c>
      <c r="K64" s="39"/>
      <c r="L64" s="39"/>
      <c r="M64" s="19"/>
      <c r="N64" s="19"/>
      <c r="Q64" s="19"/>
    </row>
    <row r="65" spans="2:17" ht="6.75" customHeight="1">
      <c r="B65" s="39"/>
      <c r="C65" s="39"/>
      <c r="D65" s="39"/>
      <c r="E65" s="39"/>
      <c r="F65" s="39"/>
      <c r="G65" s="39"/>
      <c r="H65" s="39"/>
      <c r="I65" s="39"/>
      <c r="J65" s="39"/>
      <c r="K65" s="39"/>
      <c r="L65" s="39"/>
      <c r="M65" s="19"/>
      <c r="N65" s="19"/>
    </row>
    <row r="66" spans="2:17" ht="6.75" customHeight="1">
      <c r="B66" s="39"/>
      <c r="C66" s="39"/>
      <c r="D66" s="468"/>
      <c r="E66" s="39"/>
      <c r="F66" s="39"/>
      <c r="G66" s="39"/>
      <c r="H66" s="39"/>
      <c r="I66" s="39"/>
      <c r="J66" s="39"/>
      <c r="K66" s="39"/>
      <c r="L66" s="39"/>
      <c r="M66" s="19"/>
      <c r="N66" s="19"/>
    </row>
    <row r="67" spans="2:17">
      <c r="B67" s="39"/>
      <c r="C67" s="39"/>
      <c r="D67" s="468" t="s">
        <v>127</v>
      </c>
      <c r="E67" s="39"/>
      <c r="F67" s="19"/>
      <c r="G67" s="39"/>
      <c r="H67" s="39"/>
      <c r="I67" s="39"/>
      <c r="J67" s="39"/>
      <c r="K67" s="39"/>
      <c r="L67" s="39"/>
      <c r="M67" s="19"/>
      <c r="N67" s="19"/>
    </row>
    <row r="68" spans="2:17">
      <c r="B68" s="273">
        <v>1</v>
      </c>
      <c r="C68" s="39"/>
      <c r="D68" s="39" t="s">
        <v>258</v>
      </c>
      <c r="E68" s="39"/>
      <c r="F68" s="469">
        <f>'Sch. 22 p.5'!G17</f>
        <v>25957058</v>
      </c>
      <c r="G68" s="39"/>
      <c r="H68" s="135">
        <f>'Sch. 22 p.5'!Q17</f>
        <v>58464.788364658962</v>
      </c>
      <c r="I68" s="39"/>
      <c r="J68" s="241">
        <f>'Sch. 22 p.5'!$M$17</f>
        <v>2.2523657482546349</v>
      </c>
      <c r="K68" s="39"/>
      <c r="L68" s="39"/>
      <c r="M68" s="19"/>
      <c r="N68" s="19"/>
    </row>
    <row r="69" spans="2:17">
      <c r="B69" s="273">
        <f>MAX($B$68:B68)+1</f>
        <v>2</v>
      </c>
      <c r="C69" s="39"/>
      <c r="D69" s="114" t="s">
        <v>260</v>
      </c>
      <c r="E69" s="39"/>
      <c r="F69" s="469">
        <f>'Sch. 22 p.5'!G23</f>
        <v>5011587.6267347429</v>
      </c>
      <c r="G69" s="455"/>
      <c r="H69" s="29">
        <f>'Sch. 22 p.5'!Q23</f>
        <v>10474.218139875611</v>
      </c>
      <c r="I69" s="455"/>
      <c r="J69" s="11">
        <f>'Sch. 22 p.5'!$M$19</f>
        <v>0.20899999999999999</v>
      </c>
      <c r="K69" s="39"/>
      <c r="L69" s="39"/>
      <c r="M69" s="19"/>
      <c r="N69" s="19"/>
      <c r="O69" s="30"/>
      <c r="Q69" s="31"/>
    </row>
    <row r="70" spans="2:17">
      <c r="B70" s="273">
        <f>MAX($B$68:B69)+1</f>
        <v>3</v>
      </c>
      <c r="C70" s="39"/>
      <c r="D70" s="39" t="s">
        <v>271</v>
      </c>
      <c r="E70" s="39"/>
      <c r="F70" s="470">
        <f>F69</f>
        <v>5011587.6267347429</v>
      </c>
      <c r="G70" s="455"/>
      <c r="H70" s="411">
        <f>H14</f>
        <v>68939.006504534569</v>
      </c>
      <c r="I70" s="455"/>
      <c r="J70" s="32">
        <f>H70/F70*100</f>
        <v>1.3755921603919192</v>
      </c>
      <c r="K70" s="39"/>
      <c r="L70" s="39"/>
      <c r="M70" s="19"/>
      <c r="N70" s="19"/>
      <c r="O70" s="30"/>
      <c r="Q70" s="31"/>
    </row>
    <row r="71" spans="2:17">
      <c r="B71" s="273"/>
      <c r="C71" s="39"/>
      <c r="D71" s="454"/>
      <c r="E71" s="39"/>
      <c r="F71" s="29"/>
      <c r="G71" s="455"/>
      <c r="H71" s="29"/>
      <c r="I71" s="455"/>
      <c r="J71" s="11"/>
      <c r="K71" s="39"/>
      <c r="L71" s="39"/>
      <c r="O71" s="30"/>
      <c r="Q71" s="31"/>
    </row>
    <row r="72" spans="2:17">
      <c r="B72" s="39"/>
      <c r="C72" s="39"/>
      <c r="D72" s="468" t="s">
        <v>128</v>
      </c>
      <c r="E72" s="39"/>
      <c r="F72" s="455"/>
      <c r="G72" s="455"/>
      <c r="H72" s="455"/>
      <c r="I72" s="455"/>
      <c r="J72" s="455"/>
      <c r="K72" s="39"/>
      <c r="L72" s="39"/>
    </row>
    <row r="73" spans="2:17">
      <c r="B73" s="273">
        <f>MAX($B$68:B72)+1</f>
        <v>4</v>
      </c>
      <c r="C73" s="39"/>
      <c r="D73" s="114" t="s">
        <v>260</v>
      </c>
      <c r="E73" s="39"/>
      <c r="F73" s="471">
        <v>4799239.8721003952</v>
      </c>
      <c r="G73" s="455"/>
      <c r="H73" s="29">
        <f>H15</f>
        <v>31442.796874040876</v>
      </c>
      <c r="I73" s="455"/>
      <c r="J73" s="11">
        <f>H73/F73*100</f>
        <v>0.65516201965291399</v>
      </c>
      <c r="K73" s="39"/>
      <c r="L73" s="39"/>
    </row>
    <row r="74" spans="2:17">
      <c r="B74" s="273">
        <f>MAX($B$68:B73)+1</f>
        <v>5</v>
      </c>
      <c r="C74" s="39"/>
      <c r="D74" s="39" t="str">
        <f>"Total "&amp;D72</f>
        <v>Total Rate 6</v>
      </c>
      <c r="E74" s="39"/>
      <c r="F74" s="470">
        <f>F73</f>
        <v>4799239.8721003952</v>
      </c>
      <c r="G74" s="455"/>
      <c r="H74" s="470">
        <f>H73</f>
        <v>31442.796874040876</v>
      </c>
      <c r="I74" s="455"/>
      <c r="J74" s="472">
        <f>J73</f>
        <v>0.65516201965291399</v>
      </c>
      <c r="K74" s="39"/>
      <c r="L74" s="39"/>
    </row>
    <row r="75" spans="2:17">
      <c r="B75" s="39"/>
      <c r="C75" s="39"/>
      <c r="D75" s="39"/>
      <c r="E75" s="39"/>
      <c r="F75" s="455"/>
      <c r="G75" s="455"/>
      <c r="H75" s="455"/>
      <c r="I75" s="455"/>
      <c r="J75" s="455"/>
      <c r="K75" s="39"/>
      <c r="L75" s="39"/>
    </row>
    <row r="76" spans="2:17">
      <c r="B76" s="39"/>
      <c r="C76" s="39"/>
      <c r="D76" s="468" t="s">
        <v>129</v>
      </c>
      <c r="E76" s="39"/>
      <c r="F76" s="455"/>
      <c r="G76" s="455"/>
      <c r="H76" s="455"/>
      <c r="I76" s="455"/>
      <c r="J76" s="455"/>
      <c r="K76" s="39"/>
      <c r="L76" s="39"/>
    </row>
    <row r="77" spans="2:17">
      <c r="B77" s="273">
        <f>MAX($B$68:B76)+1</f>
        <v>6</v>
      </c>
      <c r="C77" s="39"/>
      <c r="D77" s="114" t="s">
        <v>260</v>
      </c>
      <c r="E77" s="39"/>
      <c r="F77" s="29">
        <v>27429.148000000001</v>
      </c>
      <c r="G77" s="455"/>
      <c r="H77" s="29">
        <f>H16</f>
        <v>272.41532868845394</v>
      </c>
      <c r="I77" s="455"/>
      <c r="J77" s="11">
        <f>H77/F77*100</f>
        <v>0.99316000879230337</v>
      </c>
      <c r="K77" s="39"/>
      <c r="L77" s="39"/>
      <c r="Q77" s="31"/>
    </row>
    <row r="78" spans="2:17">
      <c r="B78" s="273">
        <f>MAX($B$68:B77)+1</f>
        <v>7</v>
      </c>
      <c r="C78" s="39"/>
      <c r="D78" s="39" t="str">
        <f>"Total "&amp;D76</f>
        <v>Total Rate 100</v>
      </c>
      <c r="E78" s="39"/>
      <c r="F78" s="470">
        <f>F77</f>
        <v>27429.148000000001</v>
      </c>
      <c r="G78" s="455"/>
      <c r="H78" s="470">
        <f>H77</f>
        <v>272.41532868845394</v>
      </c>
      <c r="I78" s="455"/>
      <c r="J78" s="472">
        <f>J77</f>
        <v>0.99316000879230337</v>
      </c>
      <c r="K78" s="39"/>
      <c r="L78" s="39"/>
      <c r="Q78" s="31"/>
    </row>
    <row r="79" spans="2:17">
      <c r="B79" s="39"/>
      <c r="C79" s="39"/>
      <c r="D79" s="39"/>
      <c r="E79" s="39"/>
      <c r="F79" s="455"/>
      <c r="G79" s="455"/>
      <c r="H79" s="455"/>
      <c r="I79" s="455"/>
      <c r="J79" s="455"/>
      <c r="K79" s="39"/>
      <c r="L79" s="39"/>
    </row>
    <row r="80" spans="2:17">
      <c r="B80" s="39"/>
      <c r="C80" s="39"/>
      <c r="D80" s="468" t="s">
        <v>130</v>
      </c>
      <c r="E80" s="39"/>
      <c r="F80" s="455"/>
      <c r="G80" s="455"/>
      <c r="H80" s="455"/>
      <c r="I80" s="455"/>
      <c r="J80" s="455"/>
      <c r="K80" s="39"/>
      <c r="L80" s="39"/>
    </row>
    <row r="81" spans="2:17">
      <c r="B81" s="273">
        <f>MAX($B$68:B80)+1</f>
        <v>8</v>
      </c>
      <c r="C81" s="39"/>
      <c r="D81" s="114" t="s">
        <v>260</v>
      </c>
      <c r="E81" s="39"/>
      <c r="F81" s="29">
        <v>1068281.1669999999</v>
      </c>
      <c r="G81" s="455"/>
      <c r="H81" s="29">
        <f>H17</f>
        <v>2395.742013411279</v>
      </c>
      <c r="I81" s="455"/>
      <c r="J81" s="11">
        <f>H81/F81*100</f>
        <v>0.22426137307457367</v>
      </c>
      <c r="K81" s="39"/>
      <c r="L81" s="39"/>
      <c r="Q81" s="31"/>
    </row>
    <row r="82" spans="2:17">
      <c r="B82" s="273">
        <f>MAX($B$68:B81)+1</f>
        <v>9</v>
      </c>
      <c r="C82" s="39"/>
      <c r="D82" s="39" t="str">
        <f>"Total "&amp;D80</f>
        <v>Total Rate 110</v>
      </c>
      <c r="E82" s="39"/>
      <c r="F82" s="470">
        <f>F81</f>
        <v>1068281.1669999999</v>
      </c>
      <c r="G82" s="455"/>
      <c r="H82" s="470">
        <f>H81</f>
        <v>2395.742013411279</v>
      </c>
      <c r="I82" s="455"/>
      <c r="J82" s="472">
        <f>J81</f>
        <v>0.22426137307457367</v>
      </c>
      <c r="K82" s="39"/>
      <c r="L82" s="39"/>
      <c r="Q82" s="31"/>
    </row>
    <row r="83" spans="2:17">
      <c r="B83" s="39"/>
      <c r="C83" s="39"/>
      <c r="D83" s="39"/>
      <c r="E83" s="39"/>
      <c r="F83" s="455"/>
      <c r="G83" s="455"/>
      <c r="H83" s="455"/>
      <c r="I83" s="455"/>
      <c r="J83" s="455"/>
      <c r="K83" s="39"/>
      <c r="L83" s="39"/>
    </row>
    <row r="84" spans="2:17">
      <c r="B84" s="39"/>
      <c r="C84" s="39"/>
      <c r="D84" s="468" t="s">
        <v>131</v>
      </c>
      <c r="E84" s="39"/>
      <c r="F84" s="455"/>
      <c r="G84" s="455"/>
      <c r="H84" s="455"/>
      <c r="I84" s="455"/>
      <c r="J84" s="455"/>
      <c r="K84" s="39"/>
      <c r="L84" s="39"/>
    </row>
    <row r="85" spans="2:17">
      <c r="B85" s="273">
        <f>MAX($B$68:B84)+1</f>
        <v>10</v>
      </c>
      <c r="C85" s="39"/>
      <c r="D85" s="114" t="s">
        <v>260</v>
      </c>
      <c r="E85" s="39"/>
      <c r="F85" s="29">
        <v>381872.95299999998</v>
      </c>
      <c r="G85" s="455"/>
      <c r="H85" s="29">
        <f>H18</f>
        <v>1046.4385347200052</v>
      </c>
      <c r="I85" s="455"/>
      <c r="J85" s="11">
        <f>H85/F85*100</f>
        <v>0.2740279264344771</v>
      </c>
      <c r="K85" s="39"/>
      <c r="L85" s="39"/>
      <c r="Q85" s="31"/>
    </row>
    <row r="86" spans="2:17">
      <c r="B86" s="273">
        <f>MAX($B$68:B85)+1</f>
        <v>11</v>
      </c>
      <c r="C86" s="39"/>
      <c r="D86" s="39" t="str">
        <f>"Total "&amp;D84</f>
        <v>Total Rate 115</v>
      </c>
      <c r="E86" s="39"/>
      <c r="F86" s="470">
        <f>F85</f>
        <v>381872.95299999998</v>
      </c>
      <c r="G86" s="455"/>
      <c r="H86" s="470">
        <f>H85</f>
        <v>1046.4385347200052</v>
      </c>
      <c r="I86" s="455"/>
      <c r="J86" s="472">
        <f>J85</f>
        <v>0.2740279264344771</v>
      </c>
      <c r="K86" s="39"/>
      <c r="L86" s="39"/>
      <c r="Q86" s="31"/>
    </row>
    <row r="87" spans="2:17">
      <c r="B87" s="39"/>
      <c r="C87" s="39"/>
      <c r="D87" s="39"/>
      <c r="E87" s="39"/>
      <c r="F87" s="455"/>
      <c r="G87" s="455"/>
      <c r="H87" s="455"/>
      <c r="I87" s="455"/>
      <c r="J87" s="455"/>
      <c r="K87" s="39"/>
      <c r="L87" s="39"/>
    </row>
    <row r="88" spans="2:17">
      <c r="B88" s="39"/>
      <c r="C88" s="39"/>
      <c r="D88" s="468" t="s">
        <v>132</v>
      </c>
      <c r="E88" s="39"/>
      <c r="F88" s="455"/>
      <c r="G88" s="455"/>
      <c r="H88" s="455"/>
      <c r="I88" s="455"/>
      <c r="J88" s="455"/>
      <c r="K88" s="39"/>
      <c r="L88" s="39"/>
    </row>
    <row r="89" spans="2:17">
      <c r="B89" s="273">
        <f>MAX($B$68:B88)+1</f>
        <v>12</v>
      </c>
      <c r="C89" s="39"/>
      <c r="D89" s="114" t="s">
        <v>280</v>
      </c>
      <c r="E89" s="39"/>
      <c r="F89" s="29">
        <v>111124.284</v>
      </c>
      <c r="G89" s="455"/>
      <c r="H89" s="29">
        <f>H19</f>
        <v>174.6606100587978</v>
      </c>
      <c r="I89" s="455"/>
      <c r="J89" s="11">
        <f>H89/F89*100</f>
        <v>0.15717591490515054</v>
      </c>
      <c r="K89" s="39"/>
      <c r="L89" s="39"/>
      <c r="Q89" s="31"/>
    </row>
    <row r="90" spans="2:17">
      <c r="B90" s="273">
        <f>MAX($B$68:B89)+1</f>
        <v>13</v>
      </c>
      <c r="C90" s="39"/>
      <c r="D90" s="39" t="str">
        <f>"Total "&amp;D88</f>
        <v>Total Rate 125</v>
      </c>
      <c r="E90" s="39"/>
      <c r="F90" s="470">
        <f>F89</f>
        <v>111124.284</v>
      </c>
      <c r="G90" s="455"/>
      <c r="H90" s="470">
        <f>H89</f>
        <v>174.6606100587978</v>
      </c>
      <c r="I90" s="455"/>
      <c r="J90" s="472">
        <f>J89</f>
        <v>0.15717591490515054</v>
      </c>
      <c r="K90" s="39"/>
      <c r="L90" s="39"/>
      <c r="Q90" s="31"/>
    </row>
    <row r="91" spans="2:17">
      <c r="B91" s="39"/>
      <c r="C91" s="39"/>
      <c r="D91" s="39"/>
      <c r="E91" s="39"/>
      <c r="F91" s="455"/>
      <c r="G91" s="455"/>
      <c r="H91" s="455"/>
      <c r="I91" s="455"/>
      <c r="J91" s="455"/>
      <c r="K91" s="39"/>
      <c r="L91" s="39"/>
    </row>
    <row r="92" spans="2:17">
      <c r="B92" s="39"/>
      <c r="C92" s="39"/>
      <c r="D92" s="468" t="s">
        <v>133</v>
      </c>
      <c r="E92" s="39"/>
      <c r="F92" s="39"/>
      <c r="G92" s="39"/>
      <c r="H92" s="39"/>
      <c r="I92" s="455"/>
      <c r="J92" s="39"/>
      <c r="K92" s="39"/>
      <c r="L92" s="39"/>
    </row>
    <row r="93" spans="2:17">
      <c r="B93" s="273">
        <f>MAX($B$68:B92)+1</f>
        <v>14</v>
      </c>
      <c r="C93" s="39"/>
      <c r="D93" s="114" t="s">
        <v>260</v>
      </c>
      <c r="E93" s="39"/>
      <c r="F93" s="29">
        <v>52646.499000000003</v>
      </c>
      <c r="G93" s="455"/>
      <c r="H93" s="29">
        <f>H20</f>
        <v>979.65831828089802</v>
      </c>
      <c r="I93" s="455"/>
      <c r="J93" s="11">
        <f>H93/F93*100</f>
        <v>1.8608232966847387</v>
      </c>
      <c r="K93" s="39"/>
      <c r="L93" s="39"/>
    </row>
    <row r="94" spans="2:17">
      <c r="B94" s="273">
        <f>MAX($B$68:B93)+1</f>
        <v>15</v>
      </c>
      <c r="C94" s="39"/>
      <c r="D94" s="39" t="str">
        <f>"Total "&amp;D92</f>
        <v>Total Rate 135</v>
      </c>
      <c r="E94" s="39"/>
      <c r="F94" s="470">
        <f>F93</f>
        <v>52646.499000000003</v>
      </c>
      <c r="G94" s="455"/>
      <c r="H94" s="470">
        <f>H93</f>
        <v>979.65831828089802</v>
      </c>
      <c r="I94" s="455"/>
      <c r="J94" s="472">
        <f>J93</f>
        <v>1.8608232966847387</v>
      </c>
      <c r="K94" s="39"/>
      <c r="L94" s="39"/>
    </row>
    <row r="95" spans="2:17">
      <c r="B95" s="39"/>
      <c r="C95" s="39"/>
      <c r="D95" s="39"/>
      <c r="E95" s="39"/>
      <c r="F95" s="455"/>
      <c r="G95" s="455"/>
      <c r="H95" s="455"/>
      <c r="I95" s="455"/>
      <c r="J95" s="455"/>
      <c r="K95" s="39"/>
      <c r="L95" s="39"/>
    </row>
    <row r="96" spans="2:17">
      <c r="B96" s="39"/>
      <c r="C96" s="39"/>
      <c r="D96" s="468" t="s">
        <v>134</v>
      </c>
      <c r="E96" s="39"/>
      <c r="F96" s="455"/>
      <c r="G96" s="455"/>
      <c r="H96" s="455"/>
      <c r="I96" s="455"/>
      <c r="J96" s="455"/>
      <c r="K96" s="39"/>
      <c r="L96" s="39"/>
    </row>
    <row r="97" spans="2:17">
      <c r="B97" s="273">
        <f>MAX($B$68:B96)+1</f>
        <v>16</v>
      </c>
      <c r="C97" s="39"/>
      <c r="D97" s="114" t="s">
        <v>260</v>
      </c>
      <c r="E97" s="39"/>
      <c r="F97" s="29">
        <v>15713.662</v>
      </c>
      <c r="G97" s="455"/>
      <c r="H97" s="29">
        <f>H21</f>
        <v>319.36496185339922</v>
      </c>
      <c r="I97" s="455"/>
      <c r="J97" s="11">
        <f>H97/F97*100</f>
        <v>2.0324031524503914</v>
      </c>
      <c r="K97" s="39"/>
      <c r="L97" s="39"/>
      <c r="Q97" s="31"/>
    </row>
    <row r="98" spans="2:17">
      <c r="B98" s="273">
        <f>MAX($B$68:B97)+1</f>
        <v>17</v>
      </c>
      <c r="C98" s="39"/>
      <c r="D98" s="39" t="str">
        <f>"Total "&amp;D96</f>
        <v>Total Rate 145</v>
      </c>
      <c r="E98" s="39"/>
      <c r="F98" s="470">
        <f>F97</f>
        <v>15713.662</v>
      </c>
      <c r="G98" s="455"/>
      <c r="H98" s="470">
        <f>H97</f>
        <v>319.36496185339922</v>
      </c>
      <c r="I98" s="455"/>
      <c r="J98" s="472">
        <f>J97</f>
        <v>2.0324031524503914</v>
      </c>
      <c r="K98" s="39"/>
      <c r="L98" s="39"/>
      <c r="Q98" s="31"/>
    </row>
    <row r="99" spans="2:17">
      <c r="B99" s="39"/>
      <c r="C99" s="39"/>
      <c r="D99" s="39"/>
      <c r="E99" s="39"/>
      <c r="F99" s="39"/>
      <c r="G99" s="39"/>
      <c r="H99" s="39"/>
      <c r="I99" s="39"/>
      <c r="J99" s="39"/>
      <c r="K99" s="39"/>
      <c r="L99" s="39"/>
    </row>
    <row r="100" spans="2:17">
      <c r="B100" s="39"/>
      <c r="C100" s="39"/>
      <c r="D100" s="468" t="s">
        <v>135</v>
      </c>
      <c r="E100" s="39"/>
      <c r="F100" s="473"/>
      <c r="G100" s="39"/>
      <c r="H100" s="39"/>
      <c r="I100" s="39"/>
      <c r="J100" s="39"/>
      <c r="K100" s="39"/>
      <c r="L100" s="39"/>
    </row>
    <row r="101" spans="2:17">
      <c r="B101" s="273">
        <f>MAX($B$68:B100)+1</f>
        <v>18</v>
      </c>
      <c r="C101" s="39"/>
      <c r="D101" s="114" t="s">
        <v>260</v>
      </c>
      <c r="E101" s="39"/>
      <c r="F101" s="29">
        <v>323253.728</v>
      </c>
      <c r="G101" s="455"/>
      <c r="H101" s="29">
        <f>H22</f>
        <v>367.27241531614294</v>
      </c>
      <c r="I101" s="455"/>
      <c r="J101" s="11">
        <f>H101/F101*100</f>
        <v>0.11361737963193511</v>
      </c>
      <c r="K101" s="39"/>
      <c r="L101" s="39"/>
      <c r="Q101" s="31"/>
    </row>
    <row r="102" spans="2:17">
      <c r="B102" s="273">
        <f>MAX($B$68:B101)+1</f>
        <v>19</v>
      </c>
      <c r="C102" s="39"/>
      <c r="D102" s="39" t="str">
        <f>"Total "&amp;D100</f>
        <v>Total Rate 170</v>
      </c>
      <c r="E102" s="39"/>
      <c r="F102" s="470">
        <f>F101</f>
        <v>323253.728</v>
      </c>
      <c r="G102" s="455"/>
      <c r="H102" s="470">
        <f>H101</f>
        <v>367.27241531614294</v>
      </c>
      <c r="I102" s="455"/>
      <c r="J102" s="472">
        <f>J101</f>
        <v>0.11361737963193511</v>
      </c>
      <c r="K102" s="39"/>
      <c r="L102" s="39"/>
    </row>
    <row r="103" spans="2:17">
      <c r="B103" s="39"/>
      <c r="C103" s="39"/>
      <c r="D103" s="39"/>
      <c r="E103" s="39"/>
      <c r="F103" s="471"/>
      <c r="G103" s="455"/>
      <c r="H103" s="471"/>
      <c r="I103" s="455"/>
      <c r="J103" s="474"/>
      <c r="K103" s="39"/>
      <c r="L103" s="39"/>
    </row>
    <row r="104" spans="2:17">
      <c r="B104" s="39"/>
      <c r="C104" s="39"/>
      <c r="D104" s="468" t="s">
        <v>136</v>
      </c>
      <c r="E104" s="39"/>
      <c r="F104" s="455"/>
      <c r="G104" s="455"/>
      <c r="H104" s="455"/>
      <c r="I104" s="455"/>
      <c r="J104" s="455"/>
      <c r="K104" s="39"/>
      <c r="L104" s="39"/>
    </row>
    <row r="105" spans="2:17">
      <c r="B105" s="273">
        <f>MAX($B$68:B104)+1</f>
        <v>20</v>
      </c>
      <c r="C105" s="39"/>
      <c r="D105" s="114" t="s">
        <v>260</v>
      </c>
      <c r="E105" s="39"/>
      <c r="F105" s="29">
        <v>188852.1</v>
      </c>
      <c r="G105" s="455"/>
      <c r="H105" s="29">
        <f>H23</f>
        <v>42.257140600837147</v>
      </c>
      <c r="I105" s="455"/>
      <c r="J105" s="11">
        <f>H105/F105*100</f>
        <v>2.2375785390174187E-2</v>
      </c>
      <c r="K105" s="39"/>
      <c r="L105" s="39"/>
      <c r="Q105" s="31"/>
    </row>
    <row r="106" spans="2:17">
      <c r="B106" s="273">
        <f>MAX($B$68:B105)+1</f>
        <v>21</v>
      </c>
      <c r="C106" s="39"/>
      <c r="D106" s="39" t="str">
        <f>"Total "&amp;D104</f>
        <v>Total Rate 200</v>
      </c>
      <c r="E106" s="39"/>
      <c r="F106" s="470">
        <f>F105</f>
        <v>188852.1</v>
      </c>
      <c r="G106" s="455"/>
      <c r="H106" s="470">
        <f>H105</f>
        <v>42.257140600837147</v>
      </c>
      <c r="I106" s="455"/>
      <c r="J106" s="472">
        <f>J105</f>
        <v>2.2375785390174187E-2</v>
      </c>
      <c r="K106" s="39"/>
      <c r="L106" s="39"/>
      <c r="Q106" s="31"/>
    </row>
    <row r="107" spans="2:17">
      <c r="B107" s="39"/>
      <c r="C107" s="39"/>
      <c r="D107" s="39"/>
      <c r="E107" s="39"/>
      <c r="F107" s="455"/>
      <c r="G107" s="455"/>
      <c r="H107" s="455"/>
      <c r="I107" s="455"/>
      <c r="J107" s="455"/>
      <c r="K107" s="39"/>
      <c r="L107" s="39"/>
    </row>
    <row r="108" spans="2:17">
      <c r="B108" s="39"/>
      <c r="C108" s="39"/>
      <c r="D108" s="468" t="s">
        <v>137</v>
      </c>
      <c r="E108" s="39"/>
      <c r="F108" s="455"/>
      <c r="G108" s="455"/>
      <c r="H108" s="455"/>
      <c r="I108" s="455"/>
      <c r="J108" s="455"/>
      <c r="K108" s="39"/>
      <c r="L108" s="39"/>
    </row>
    <row r="109" spans="2:17">
      <c r="B109" s="273">
        <f>MAX($B$68:B108)+1</f>
        <v>22</v>
      </c>
      <c r="C109" s="39"/>
      <c r="D109" s="114" t="s">
        <v>280</v>
      </c>
      <c r="E109" s="39"/>
      <c r="F109" s="29">
        <v>0</v>
      </c>
      <c r="G109" s="455"/>
      <c r="H109" s="29">
        <f>H24</f>
        <v>0.7925473650176359</v>
      </c>
      <c r="I109" s="455"/>
      <c r="J109" s="11">
        <v>0</v>
      </c>
      <c r="K109" s="39"/>
      <c r="L109" s="39"/>
      <c r="Q109" s="31"/>
    </row>
    <row r="110" spans="2:17">
      <c r="B110" s="273">
        <f>MAX($B$68:B109)+1</f>
        <v>23</v>
      </c>
      <c r="C110" s="39"/>
      <c r="D110" s="39" t="str">
        <f>"Total "&amp;D108</f>
        <v>Total Rate 300</v>
      </c>
      <c r="E110" s="39"/>
      <c r="F110" s="470">
        <f>F109</f>
        <v>0</v>
      </c>
      <c r="G110" s="455"/>
      <c r="H110" s="470">
        <f>H109</f>
        <v>0.7925473650176359</v>
      </c>
      <c r="I110" s="455"/>
      <c r="J110" s="472">
        <f>J109</f>
        <v>0</v>
      </c>
      <c r="K110" s="39"/>
      <c r="L110" s="39"/>
      <c r="Q110" s="31"/>
    </row>
    <row r="111" spans="2:17">
      <c r="B111" s="39"/>
      <c r="C111" s="39"/>
      <c r="D111" s="39"/>
      <c r="E111" s="39"/>
      <c r="F111" s="455"/>
      <c r="G111" s="455"/>
      <c r="H111" s="455"/>
      <c r="I111" s="455"/>
      <c r="J111" s="455"/>
      <c r="K111" s="39"/>
      <c r="L111" s="39"/>
    </row>
    <row r="112" spans="2:17">
      <c r="B112" s="273">
        <f>MAX($B$68:B111)+1</f>
        <v>24</v>
      </c>
      <c r="C112" s="39"/>
      <c r="D112" s="458" t="s">
        <v>138</v>
      </c>
      <c r="E112" s="39"/>
      <c r="F112" s="455"/>
      <c r="G112" s="455"/>
      <c r="H112" s="411">
        <f>SUM(H70,H74,H78,H82,H86,H90,H94,H98,H102,H106,H110)</f>
        <v>105980.40524887027</v>
      </c>
      <c r="I112" s="455"/>
      <c r="J112" s="455"/>
      <c r="K112" s="39"/>
      <c r="L112" s="39"/>
    </row>
    <row r="113" spans="2:22">
      <c r="B113" s="273"/>
      <c r="C113" s="39"/>
      <c r="D113" s="458"/>
      <c r="E113" s="39"/>
      <c r="F113" s="455"/>
      <c r="G113" s="455"/>
      <c r="H113" s="455"/>
      <c r="I113" s="455"/>
      <c r="J113" s="455"/>
      <c r="K113" s="39"/>
      <c r="L113" s="39"/>
    </row>
    <row r="114" spans="2:22">
      <c r="B114" s="450"/>
      <c r="C114" s="39"/>
      <c r="D114" s="39"/>
      <c r="E114" s="39"/>
      <c r="F114" s="39"/>
      <c r="G114" s="39"/>
      <c r="H114" s="39"/>
      <c r="I114" s="39"/>
      <c r="J114" s="39"/>
      <c r="K114" s="25"/>
      <c r="L114" s="39"/>
      <c r="M114" s="19"/>
      <c r="R114" s="380"/>
      <c r="T114" s="269"/>
    </row>
    <row r="115" spans="2:22">
      <c r="B115" s="450"/>
      <c r="C115" s="25"/>
      <c r="D115" s="25"/>
      <c r="E115" s="25"/>
      <c r="F115" s="25"/>
      <c r="G115" s="25"/>
      <c r="H115" s="25"/>
      <c r="I115" s="25"/>
      <c r="J115" s="25"/>
      <c r="K115" s="25"/>
      <c r="L115" s="39"/>
      <c r="M115" s="19"/>
      <c r="Q115" s="385"/>
      <c r="R115" s="21"/>
      <c r="S115" s="21"/>
      <c r="T115" s="21"/>
      <c r="U115" s="21"/>
      <c r="V115" s="21"/>
    </row>
    <row r="116" spans="2:22">
      <c r="B116" s="39"/>
      <c r="C116" s="467"/>
      <c r="D116" s="39"/>
      <c r="E116" s="39"/>
      <c r="F116" s="39"/>
      <c r="G116" s="39"/>
      <c r="H116" s="39"/>
      <c r="I116" s="39"/>
      <c r="J116" s="39"/>
      <c r="K116" s="39"/>
      <c r="L116" s="39"/>
    </row>
    <row r="117" spans="2:22">
      <c r="B117" s="39"/>
      <c r="C117" s="39"/>
      <c r="D117" s="39"/>
      <c r="E117" s="39"/>
      <c r="F117" s="39"/>
      <c r="G117" s="39"/>
      <c r="H117" s="39"/>
      <c r="I117" s="39"/>
      <c r="J117" s="39"/>
      <c r="K117" s="39"/>
      <c r="L117" s="39"/>
      <c r="Q117" s="28"/>
      <c r="R117" s="445"/>
      <c r="S117" s="446"/>
      <c r="T117" s="445"/>
      <c r="U117" s="215"/>
      <c r="V117" s="44"/>
    </row>
    <row r="118" spans="2:22">
      <c r="B118" s="39"/>
      <c r="C118" s="39"/>
      <c r="D118" s="39"/>
      <c r="E118" s="39"/>
      <c r="F118" s="39"/>
      <c r="G118" s="39"/>
      <c r="H118" s="39"/>
      <c r="I118" s="39"/>
      <c r="J118" s="39"/>
      <c r="K118" s="39"/>
      <c r="L118" s="39"/>
      <c r="Q118" s="28"/>
      <c r="R118" s="445"/>
      <c r="S118" s="446"/>
      <c r="T118" s="445"/>
    </row>
    <row r="119" spans="2:22">
      <c r="B119" s="1169" t="s">
        <v>860</v>
      </c>
      <c r="C119" s="1169"/>
      <c r="D119" s="1169"/>
      <c r="E119" s="1169"/>
      <c r="F119" s="1169"/>
      <c r="G119" s="1169"/>
      <c r="H119" s="1169"/>
      <c r="I119" s="1169"/>
      <c r="J119" s="1169"/>
      <c r="K119" s="1169"/>
      <c r="L119" s="1169"/>
      <c r="Q119" s="28"/>
      <c r="R119" s="445"/>
      <c r="S119" s="446"/>
      <c r="T119" s="445"/>
    </row>
    <row r="120" spans="2:22">
      <c r="B120" s="1169" t="s">
        <v>139</v>
      </c>
      <c r="C120" s="1169"/>
      <c r="D120" s="1169"/>
      <c r="E120" s="1169"/>
      <c r="F120" s="1169"/>
      <c r="G120" s="1169"/>
      <c r="H120" s="1169"/>
      <c r="I120" s="1169"/>
      <c r="J120" s="1169"/>
      <c r="K120" s="1169"/>
      <c r="L120" s="1169"/>
      <c r="M120" s="19"/>
      <c r="Q120" s="28"/>
      <c r="R120" s="445"/>
      <c r="S120" s="446"/>
      <c r="T120" s="445"/>
    </row>
    <row r="121" spans="2:22" ht="8.25" customHeight="1">
      <c r="B121" s="450"/>
      <c r="C121" s="39"/>
      <c r="D121" s="39"/>
      <c r="E121" s="39"/>
      <c r="F121" s="273"/>
      <c r="G121" s="39"/>
      <c r="H121" s="39"/>
      <c r="I121" s="39"/>
      <c r="J121" s="19"/>
      <c r="K121" s="19"/>
      <c r="L121" s="39"/>
      <c r="M121" s="19"/>
      <c r="Q121" s="28"/>
      <c r="R121" s="445"/>
      <c r="S121" s="446"/>
      <c r="T121" s="445"/>
    </row>
    <row r="122" spans="2:22" ht="8.25" customHeight="1">
      <c r="B122" s="39"/>
      <c r="C122" s="39"/>
      <c r="D122" s="39" t="s">
        <v>168</v>
      </c>
      <c r="E122" s="39"/>
      <c r="F122" s="19"/>
      <c r="G122" s="19"/>
      <c r="H122" s="19"/>
      <c r="I122" s="19"/>
      <c r="J122" s="19"/>
      <c r="K122" s="39"/>
      <c r="L122" s="39"/>
      <c r="M122" s="19"/>
      <c r="Q122" s="410"/>
      <c r="R122" s="410"/>
      <c r="S122" s="410"/>
      <c r="T122" s="410"/>
    </row>
    <row r="123" spans="2:22">
      <c r="B123" s="39"/>
      <c r="C123" s="39"/>
      <c r="D123" s="39"/>
      <c r="E123" s="39"/>
      <c r="F123" s="19" t="s">
        <v>853</v>
      </c>
      <c r="G123" s="19"/>
      <c r="H123" s="19" t="s">
        <v>854</v>
      </c>
      <c r="I123" s="19"/>
      <c r="J123" s="19" t="s">
        <v>854</v>
      </c>
      <c r="K123" s="39"/>
      <c r="L123" s="39"/>
      <c r="M123" s="19"/>
    </row>
    <row r="124" spans="2:22">
      <c r="B124" s="273" t="s">
        <v>56</v>
      </c>
      <c r="C124" s="39"/>
      <c r="D124" s="39"/>
      <c r="E124" s="39"/>
      <c r="F124" s="26" t="s">
        <v>855</v>
      </c>
      <c r="G124" s="19"/>
      <c r="H124" s="26" t="s">
        <v>856</v>
      </c>
      <c r="I124" s="26"/>
      <c r="J124" s="19" t="s">
        <v>857</v>
      </c>
      <c r="K124" s="39"/>
      <c r="L124" s="39"/>
      <c r="M124" s="19"/>
    </row>
    <row r="125" spans="2:22">
      <c r="B125" s="27" t="s">
        <v>57</v>
      </c>
      <c r="C125" s="39"/>
      <c r="D125" s="451" t="s">
        <v>194</v>
      </c>
      <c r="E125" s="39"/>
      <c r="F125" s="431" t="s">
        <v>858</v>
      </c>
      <c r="G125" s="20"/>
      <c r="H125" s="431" t="s">
        <v>248</v>
      </c>
      <c r="I125" s="19"/>
      <c r="J125" s="27" t="s">
        <v>859</v>
      </c>
      <c r="K125" s="39"/>
      <c r="L125" s="39"/>
      <c r="M125" s="19"/>
    </row>
    <row r="126" spans="2:22">
      <c r="B126" s="273"/>
      <c r="C126" s="39"/>
      <c r="D126" s="39"/>
      <c r="E126" s="39"/>
      <c r="F126" s="19" t="s">
        <v>9</v>
      </c>
      <c r="G126" s="19"/>
      <c r="H126" s="26" t="s">
        <v>10</v>
      </c>
      <c r="I126" s="20"/>
      <c r="J126" s="26" t="s">
        <v>58</v>
      </c>
      <c r="K126" s="39"/>
      <c r="L126" s="39"/>
      <c r="M126" s="19"/>
      <c r="Q126" s="28"/>
      <c r="R126" s="445"/>
      <c r="S126" s="446"/>
      <c r="T126" s="445"/>
    </row>
    <row r="127" spans="2:22">
      <c r="B127" s="39"/>
      <c r="C127" s="39"/>
      <c r="D127" s="468"/>
      <c r="E127" s="39"/>
      <c r="F127" s="455"/>
      <c r="G127" s="455"/>
      <c r="H127" s="455"/>
      <c r="I127" s="455"/>
      <c r="J127" s="455"/>
      <c r="K127" s="39"/>
      <c r="L127" s="39"/>
      <c r="Q127" s="28"/>
      <c r="R127" s="445"/>
      <c r="S127" s="446"/>
      <c r="T127" s="445"/>
    </row>
    <row r="128" spans="2:22">
      <c r="B128" s="39"/>
      <c r="C128" s="39"/>
      <c r="D128" s="468" t="s">
        <v>140</v>
      </c>
      <c r="E128" s="39"/>
      <c r="F128" s="455"/>
      <c r="G128" s="455"/>
      <c r="H128" s="455"/>
      <c r="I128" s="455"/>
      <c r="J128" s="455"/>
      <c r="K128" s="39"/>
      <c r="L128" s="39"/>
      <c r="Q128" s="28"/>
      <c r="R128" s="445"/>
      <c r="S128" s="446"/>
      <c r="T128" s="445"/>
    </row>
    <row r="129" spans="2:20">
      <c r="B129" s="273">
        <f>MAX($B$68:B128)+1</f>
        <v>25</v>
      </c>
      <c r="C129" s="39"/>
      <c r="D129" s="39" t="s">
        <v>258</v>
      </c>
      <c r="E129" s="39"/>
      <c r="F129" s="29">
        <f>'Sch. 22 p.5'!G28</f>
        <v>4435128.0000000037</v>
      </c>
      <c r="G129" s="455"/>
      <c r="H129" s="475">
        <f>'Sch. 22 p.5'!Y28</f>
        <v>9989.5303963250808</v>
      </c>
      <c r="I129" s="455"/>
      <c r="J129" s="241">
        <f>'Sch. 22 p.5'!M28</f>
        <v>2.2523657482546349</v>
      </c>
      <c r="K129" s="39"/>
      <c r="L129" s="39"/>
      <c r="Q129" s="28"/>
      <c r="R129" s="445"/>
      <c r="S129" s="446"/>
      <c r="T129" s="445"/>
    </row>
    <row r="130" spans="2:20">
      <c r="B130" s="273">
        <f>MAX($B$68:B129)+1</f>
        <v>26</v>
      </c>
      <c r="C130" s="39"/>
      <c r="D130" s="114" t="s">
        <v>260</v>
      </c>
      <c r="E130" s="39"/>
      <c r="F130" s="29">
        <f>'Sch. 22 p.5'!G35</f>
        <v>976879.860067136</v>
      </c>
      <c r="G130" s="455"/>
      <c r="H130" s="475">
        <f>'Sch. 22 p.5'!Y35</f>
        <v>2041.678907540339</v>
      </c>
      <c r="I130" s="455"/>
      <c r="J130" s="11">
        <f>'Sch. 22 p.5'!$M$30</f>
        <v>0.20899999999999999</v>
      </c>
      <c r="K130" s="39"/>
      <c r="L130" s="39"/>
      <c r="Q130" s="28"/>
      <c r="R130" s="445"/>
      <c r="S130" s="446"/>
      <c r="T130" s="445"/>
    </row>
    <row r="131" spans="2:20">
      <c r="B131" s="273">
        <f>MAX($B$68:B130)+1</f>
        <v>27</v>
      </c>
      <c r="C131" s="39"/>
      <c r="D131" s="458" t="s">
        <v>310</v>
      </c>
      <c r="E131" s="39"/>
      <c r="F131" s="470">
        <f>F130</f>
        <v>976879.860067136</v>
      </c>
      <c r="G131" s="455"/>
      <c r="H131" s="411">
        <f>H28</f>
        <v>12031.20930386542</v>
      </c>
      <c r="I131" s="455"/>
      <c r="J131" s="32">
        <f t="shared" ref="J131" si="8">H131/F131*100</f>
        <v>1.2315955928335522</v>
      </c>
      <c r="K131" s="39"/>
      <c r="L131" s="39"/>
      <c r="O131" s="30"/>
      <c r="Q131" s="410"/>
      <c r="R131" s="410"/>
      <c r="S131" s="410"/>
      <c r="T131" s="410"/>
    </row>
    <row r="132" spans="2:20">
      <c r="B132" s="39"/>
      <c r="C132" s="39"/>
      <c r="D132" s="39"/>
      <c r="E132" s="39"/>
      <c r="F132" s="455"/>
      <c r="G132" s="455"/>
      <c r="H132" s="455"/>
      <c r="I132" s="455"/>
      <c r="J132" s="455"/>
      <c r="K132" s="39"/>
      <c r="L132" s="39"/>
      <c r="Q132" s="28"/>
      <c r="R132" s="445"/>
      <c r="S132" s="446"/>
      <c r="T132" s="445"/>
    </row>
    <row r="133" spans="2:20">
      <c r="B133" s="39"/>
      <c r="C133" s="39"/>
      <c r="D133" s="468" t="s">
        <v>141</v>
      </c>
      <c r="E133" s="39"/>
      <c r="F133" s="455"/>
      <c r="G133" s="455"/>
      <c r="H133" s="455"/>
      <c r="I133" s="455"/>
      <c r="J133" s="455"/>
      <c r="K133" s="39"/>
      <c r="L133" s="39"/>
      <c r="Q133" s="28"/>
      <c r="R133" s="445"/>
      <c r="S133" s="446"/>
      <c r="T133" s="445"/>
    </row>
    <row r="134" spans="2:20">
      <c r="B134" s="39"/>
      <c r="C134" s="39"/>
      <c r="D134" s="114" t="s">
        <v>260</v>
      </c>
      <c r="E134" s="39"/>
      <c r="F134" s="455"/>
      <c r="G134" s="455"/>
      <c r="H134" s="455"/>
      <c r="I134" s="455"/>
      <c r="J134" s="455"/>
      <c r="K134" s="39"/>
      <c r="L134" s="39"/>
      <c r="Q134" s="412"/>
      <c r="R134" s="445"/>
      <c r="S134" s="446"/>
      <c r="T134" s="445"/>
    </row>
    <row r="135" spans="2:20">
      <c r="B135" s="273">
        <f>MAX($B$68:B134)+1</f>
        <v>28</v>
      </c>
      <c r="C135" s="39"/>
      <c r="D135" s="454" t="s">
        <v>861</v>
      </c>
      <c r="E135" s="39"/>
      <c r="F135" s="29">
        <v>21878.718395321583</v>
      </c>
      <c r="G135" s="455"/>
      <c r="H135" s="29">
        <v>148.39462954453123</v>
      </c>
      <c r="I135" s="455"/>
      <c r="J135" s="11">
        <f t="shared" ref="J135:J140" si="9">H135/F135*100</f>
        <v>0.67826015611711088</v>
      </c>
      <c r="K135" s="39"/>
      <c r="L135" s="39"/>
      <c r="Q135" s="28"/>
      <c r="R135" s="445"/>
      <c r="S135" s="446"/>
      <c r="T135" s="445"/>
    </row>
    <row r="136" spans="2:20">
      <c r="B136" s="273">
        <f>MAX($B$68:B135)+1</f>
        <v>29</v>
      </c>
      <c r="C136" s="39"/>
      <c r="D136" s="454" t="s">
        <v>862</v>
      </c>
      <c r="E136" s="39"/>
      <c r="F136" s="29">
        <v>127369.83644505285</v>
      </c>
      <c r="G136" s="455"/>
      <c r="H136" s="29">
        <v>704.86973800039618</v>
      </c>
      <c r="I136" s="455"/>
      <c r="J136" s="11">
        <f t="shared" si="9"/>
        <v>0.55340397512756168</v>
      </c>
      <c r="K136" s="39"/>
      <c r="L136" s="39"/>
      <c r="Q136" s="28"/>
      <c r="R136" s="445"/>
      <c r="S136" s="446"/>
      <c r="T136" s="445"/>
    </row>
    <row r="137" spans="2:20">
      <c r="B137" s="273">
        <f>MAX($B$68:B136)+1</f>
        <v>30</v>
      </c>
      <c r="C137" s="39"/>
      <c r="D137" s="454" t="s">
        <v>863</v>
      </c>
      <c r="E137" s="39"/>
      <c r="F137" s="29">
        <v>86147.272263560444</v>
      </c>
      <c r="G137" s="455"/>
      <c r="H137" s="29">
        <v>414.41482532795089</v>
      </c>
      <c r="I137" s="455"/>
      <c r="J137" s="11">
        <f t="shared" si="9"/>
        <v>0.48105391434807482</v>
      </c>
      <c r="K137" s="39"/>
      <c r="L137" s="39"/>
      <c r="Q137" s="410"/>
      <c r="R137" s="410"/>
      <c r="S137" s="410"/>
      <c r="T137" s="410"/>
    </row>
    <row r="138" spans="2:20">
      <c r="B138" s="273">
        <f>MAX($B$68:B137)+1</f>
        <v>31</v>
      </c>
      <c r="C138" s="39"/>
      <c r="D138" s="454" t="s">
        <v>864</v>
      </c>
      <c r="E138" s="39"/>
      <c r="F138" s="29">
        <v>61526.068987249084</v>
      </c>
      <c r="G138" s="455"/>
      <c r="H138" s="29">
        <v>268.01995763699853</v>
      </c>
      <c r="I138" s="455"/>
      <c r="J138" s="11">
        <f t="shared" si="9"/>
        <v>0.43562015589285263</v>
      </c>
      <c r="K138" s="39"/>
      <c r="L138" s="39"/>
      <c r="Q138" s="412"/>
    </row>
    <row r="139" spans="2:20">
      <c r="B139" s="273">
        <f>MAX($B$68:B138)+1</f>
        <v>32</v>
      </c>
      <c r="C139" s="39"/>
      <c r="D139" s="454" t="s">
        <v>315</v>
      </c>
      <c r="E139" s="39"/>
      <c r="F139" s="29">
        <v>44741.947796564804</v>
      </c>
      <c r="G139" s="455"/>
      <c r="H139" s="29">
        <v>117.88480339881458</v>
      </c>
      <c r="I139" s="455"/>
      <c r="J139" s="11">
        <f t="shared" si="9"/>
        <v>0.26347713768479597</v>
      </c>
      <c r="K139" s="39"/>
      <c r="L139" s="39"/>
      <c r="Q139" s="412"/>
      <c r="R139" s="445"/>
      <c r="S139" s="446"/>
      <c r="T139" s="445"/>
    </row>
    <row r="140" spans="2:20">
      <c r="B140" s="273">
        <f>MAX($B$68:B139)+1</f>
        <v>33</v>
      </c>
      <c r="C140" s="39"/>
      <c r="D140" s="39" t="s">
        <v>316</v>
      </c>
      <c r="E140" s="39"/>
      <c r="F140" s="470">
        <f>SUM(F135:F139)</f>
        <v>341663.84388774872</v>
      </c>
      <c r="G140" s="455"/>
      <c r="H140" s="411">
        <f>H29</f>
        <v>1653.5839539086912</v>
      </c>
      <c r="I140" s="455"/>
      <c r="J140" s="32">
        <f t="shared" si="9"/>
        <v>0.48397978992824442</v>
      </c>
      <c r="K140" s="39"/>
      <c r="L140" s="39"/>
      <c r="Q140" s="412"/>
    </row>
    <row r="141" spans="2:20">
      <c r="B141" s="39"/>
      <c r="C141" s="39"/>
      <c r="D141" s="39"/>
      <c r="E141" s="39"/>
      <c r="F141" s="455"/>
      <c r="G141" s="455"/>
      <c r="H141" s="455"/>
      <c r="I141" s="455"/>
      <c r="J141" s="455"/>
      <c r="K141" s="39"/>
      <c r="L141" s="39"/>
      <c r="Q141" s="412"/>
    </row>
    <row r="142" spans="2:20">
      <c r="B142" s="39"/>
      <c r="C142" s="39"/>
      <c r="D142" s="468" t="s">
        <v>142</v>
      </c>
      <c r="E142" s="39"/>
      <c r="F142" s="455"/>
      <c r="G142" s="455"/>
      <c r="H142" s="455"/>
      <c r="I142" s="455"/>
      <c r="J142" s="455"/>
      <c r="K142" s="39"/>
      <c r="L142" s="39"/>
      <c r="Q142" s="412"/>
      <c r="R142" s="445"/>
      <c r="S142" s="446"/>
      <c r="T142" s="445"/>
    </row>
    <row r="143" spans="2:20">
      <c r="B143" s="39"/>
      <c r="C143" s="39"/>
      <c r="D143" s="114" t="s">
        <v>280</v>
      </c>
      <c r="E143" s="39"/>
      <c r="F143" s="455"/>
      <c r="G143" s="455"/>
      <c r="H143" s="455"/>
      <c r="I143" s="455"/>
      <c r="J143" s="455"/>
      <c r="K143" s="39"/>
      <c r="L143" s="39"/>
      <c r="Q143" s="412"/>
      <c r="R143" s="445"/>
      <c r="S143" s="446"/>
      <c r="T143" s="445"/>
    </row>
    <row r="144" spans="2:20">
      <c r="B144" s="273">
        <f>MAX($B$68:B143)+1</f>
        <v>34</v>
      </c>
      <c r="C144" s="39"/>
      <c r="D144" s="454" t="s">
        <v>865</v>
      </c>
      <c r="E144" s="39"/>
      <c r="F144" s="29">
        <v>25506.168000000001</v>
      </c>
      <c r="G144" s="455"/>
      <c r="H144" s="29">
        <v>338.12516062253968</v>
      </c>
      <c r="I144" s="455"/>
      <c r="J144" s="11">
        <f t="shared" ref="J144:J145" si="10">H144/F144*100</f>
        <v>1.325660368200114</v>
      </c>
      <c r="K144" s="39"/>
      <c r="L144" s="39"/>
      <c r="Q144" s="412"/>
      <c r="T144" s="410"/>
    </row>
    <row r="145" spans="2:20">
      <c r="B145" s="273">
        <f>MAX($B$68:B144)+1</f>
        <v>35</v>
      </c>
      <c r="C145" s="39"/>
      <c r="D145" s="454" t="s">
        <v>866</v>
      </c>
      <c r="E145" s="39"/>
      <c r="F145" s="29">
        <v>66225.600000000006</v>
      </c>
      <c r="G145" s="455"/>
      <c r="H145" s="29">
        <v>516.26575122337101</v>
      </c>
      <c r="I145" s="455"/>
      <c r="J145" s="11">
        <f t="shared" si="10"/>
        <v>0.77955617045881187</v>
      </c>
      <c r="K145" s="39"/>
      <c r="L145" s="39"/>
    </row>
    <row r="146" spans="2:20">
      <c r="B146" s="39"/>
      <c r="C146" s="39"/>
      <c r="D146" s="114" t="s">
        <v>260</v>
      </c>
      <c r="E146" s="39"/>
      <c r="F146" s="455"/>
      <c r="G146" s="455"/>
      <c r="H146" s="455"/>
      <c r="I146" s="455"/>
      <c r="J146" s="455"/>
      <c r="K146" s="39"/>
      <c r="L146" s="39"/>
    </row>
    <row r="147" spans="2:20">
      <c r="B147" s="273">
        <f>MAX($B$68:B146)+1</f>
        <v>36</v>
      </c>
      <c r="C147" s="39"/>
      <c r="D147" s="454" t="s">
        <v>317</v>
      </c>
      <c r="E147" s="39"/>
      <c r="F147" s="29">
        <v>356594.41294000001</v>
      </c>
      <c r="G147" s="455"/>
      <c r="H147" s="29">
        <v>207.44671230676147</v>
      </c>
      <c r="I147" s="455"/>
      <c r="J147" s="11">
        <f t="shared" ref="J147:J149" si="11">H147/F147*100</f>
        <v>5.8174414623166318E-2</v>
      </c>
      <c r="K147" s="39"/>
      <c r="L147" s="39"/>
      <c r="T147" s="448"/>
    </row>
    <row r="148" spans="2:20">
      <c r="B148" s="273">
        <f>MAX($B$68:B147)+1</f>
        <v>37</v>
      </c>
      <c r="C148" s="39"/>
      <c r="D148" s="454" t="s">
        <v>318</v>
      </c>
      <c r="E148" s="39"/>
      <c r="F148" s="29">
        <v>590622.16051000007</v>
      </c>
      <c r="G148" s="455"/>
      <c r="H148" s="29">
        <v>252.60993253334428</v>
      </c>
      <c r="I148" s="455"/>
      <c r="J148" s="11">
        <f t="shared" si="11"/>
        <v>4.2770141288843024E-2</v>
      </c>
      <c r="K148" s="39"/>
      <c r="L148" s="39"/>
    </row>
    <row r="149" spans="2:20">
      <c r="B149" s="273">
        <f>MAX($B$68:B148)+1</f>
        <v>38</v>
      </c>
      <c r="C149" s="39"/>
      <c r="D149" s="39" t="s">
        <v>332</v>
      </c>
      <c r="E149" s="39"/>
      <c r="F149" s="470">
        <f>SUM(F147:F148)</f>
        <v>947216.57345000003</v>
      </c>
      <c r="G149" s="455"/>
      <c r="H149" s="411">
        <f>H30</f>
        <v>1314.4475566860165</v>
      </c>
      <c r="I149" s="455"/>
      <c r="J149" s="32">
        <f t="shared" si="11"/>
        <v>0.13876948456449292</v>
      </c>
      <c r="K149" s="39"/>
      <c r="L149" s="39"/>
      <c r="Q149" s="28"/>
      <c r="R149" s="445"/>
      <c r="S149" s="446"/>
      <c r="T149" s="445"/>
    </row>
    <row r="150" spans="2:20">
      <c r="B150" s="39"/>
      <c r="C150" s="39"/>
      <c r="D150" s="39"/>
      <c r="E150" s="39"/>
      <c r="F150" s="455"/>
      <c r="G150" s="455"/>
      <c r="H150" s="455"/>
      <c r="I150" s="455"/>
      <c r="J150" s="455"/>
      <c r="K150" s="39"/>
      <c r="L150" s="39"/>
      <c r="Q150" s="28"/>
      <c r="R150" s="445"/>
      <c r="S150" s="446"/>
      <c r="T150" s="445"/>
    </row>
    <row r="151" spans="2:20">
      <c r="B151" s="39"/>
      <c r="C151" s="39"/>
      <c r="D151" s="468" t="s">
        <v>143</v>
      </c>
      <c r="E151" s="39"/>
      <c r="F151" s="455"/>
      <c r="G151" s="455"/>
      <c r="H151" s="455"/>
      <c r="I151" s="455"/>
      <c r="J151" s="455"/>
      <c r="K151" s="39"/>
      <c r="L151" s="39"/>
      <c r="Q151" s="28"/>
      <c r="R151" s="445"/>
      <c r="S151" s="446"/>
      <c r="T151" s="445"/>
    </row>
    <row r="152" spans="2:20">
      <c r="B152" s="273">
        <f>MAX($B$68:B151)+1</f>
        <v>39</v>
      </c>
      <c r="C152" s="39"/>
      <c r="D152" s="114" t="s">
        <v>260</v>
      </c>
      <c r="E152" s="39"/>
      <c r="F152" s="29">
        <v>139034.68348999997</v>
      </c>
      <c r="G152" s="455"/>
      <c r="H152" s="29">
        <f>H31</f>
        <v>78.99750173563443</v>
      </c>
      <c r="I152" s="455"/>
      <c r="J152" s="11">
        <f>H152/F152*100</f>
        <v>5.6818557609271868E-2</v>
      </c>
      <c r="K152" s="39"/>
      <c r="L152" s="39"/>
      <c r="Q152" s="410"/>
      <c r="T152" s="410"/>
    </row>
    <row r="153" spans="2:20">
      <c r="B153" s="273">
        <f>MAX($B$68:B152)+1</f>
        <v>40</v>
      </c>
      <c r="C153" s="39"/>
      <c r="D153" s="39" t="str">
        <f>"Total "&amp;D151</f>
        <v>Total Rate 25</v>
      </c>
      <c r="E153" s="39"/>
      <c r="F153" s="470">
        <f>F152</f>
        <v>139034.68348999997</v>
      </c>
      <c r="G153" s="455"/>
      <c r="H153" s="470">
        <f>H152</f>
        <v>78.99750173563443</v>
      </c>
      <c r="I153" s="455"/>
      <c r="J153" s="472">
        <f>J152</f>
        <v>5.6818557609271868E-2</v>
      </c>
      <c r="K153" s="39"/>
      <c r="L153" s="39"/>
      <c r="Q153" s="412"/>
    </row>
    <row r="154" spans="2:20">
      <c r="B154" s="39"/>
      <c r="C154" s="39"/>
      <c r="D154" s="39"/>
      <c r="E154" s="39"/>
      <c r="F154" s="455"/>
      <c r="G154" s="455"/>
      <c r="H154" s="455"/>
      <c r="I154" s="455"/>
      <c r="J154" s="455"/>
      <c r="K154" s="39"/>
      <c r="L154" s="39"/>
      <c r="Q154" s="412"/>
    </row>
    <row r="155" spans="2:20">
      <c r="B155" s="39"/>
      <c r="C155" s="39"/>
      <c r="D155" s="468" t="s">
        <v>129</v>
      </c>
      <c r="E155" s="39"/>
      <c r="F155" s="455"/>
      <c r="G155" s="455"/>
      <c r="H155" s="455"/>
      <c r="I155" s="455"/>
      <c r="J155" s="455"/>
      <c r="K155" s="39"/>
      <c r="L155" s="39"/>
      <c r="Q155" s="412"/>
    </row>
    <row r="156" spans="2:20">
      <c r="B156" s="273">
        <f>MAX($B$68:B155)+1</f>
        <v>41</v>
      </c>
      <c r="C156" s="39"/>
      <c r="D156" s="114" t="s">
        <v>280</v>
      </c>
      <c r="E156" s="39"/>
      <c r="F156" s="29">
        <v>42050.04</v>
      </c>
      <c r="G156" s="455"/>
      <c r="H156" s="29">
        <v>679.09289964212871</v>
      </c>
      <c r="I156" s="455"/>
      <c r="J156" s="11">
        <f t="shared" ref="J156:J158" si="12">H156/F156*100</f>
        <v>1.6149637423463301</v>
      </c>
      <c r="K156" s="39"/>
      <c r="L156" s="39"/>
      <c r="Q156" s="412"/>
    </row>
    <row r="157" spans="2:20">
      <c r="B157" s="273">
        <f>MAX($B$68:B156)+1</f>
        <v>42</v>
      </c>
      <c r="C157" s="39"/>
      <c r="D157" s="114" t="s">
        <v>260</v>
      </c>
      <c r="E157" s="39"/>
      <c r="F157" s="29">
        <v>1104477.7209700001</v>
      </c>
      <c r="G157" s="455"/>
      <c r="H157" s="29">
        <v>226.36429988070955</v>
      </c>
      <c r="I157" s="455"/>
      <c r="J157" s="11">
        <f t="shared" si="12"/>
        <v>2.0495144047080156E-2</v>
      </c>
      <c r="K157" s="39"/>
      <c r="L157" s="39"/>
      <c r="Q157" s="28"/>
      <c r="R157" s="445"/>
      <c r="S157" s="446"/>
      <c r="T157" s="445"/>
    </row>
    <row r="158" spans="2:20">
      <c r="B158" s="273">
        <f>MAX($B$68:B157)+1</f>
        <v>43</v>
      </c>
      <c r="C158" s="39"/>
      <c r="D158" s="39" t="s">
        <v>282</v>
      </c>
      <c r="E158" s="39"/>
      <c r="F158" s="470">
        <f>SUM(F155:F156)</f>
        <v>42050.04</v>
      </c>
      <c r="G158" s="455"/>
      <c r="H158" s="411">
        <f>H32</f>
        <v>905.45719952283821</v>
      </c>
      <c r="I158" s="455"/>
      <c r="J158" s="32">
        <f t="shared" si="12"/>
        <v>2.1532849897951065</v>
      </c>
      <c r="K158" s="39"/>
      <c r="L158" s="39"/>
      <c r="Q158" s="28"/>
      <c r="R158" s="445"/>
      <c r="S158" s="446"/>
      <c r="T158" s="445"/>
    </row>
    <row r="159" spans="2:20">
      <c r="B159" s="273"/>
      <c r="C159" s="39"/>
      <c r="D159" s="39"/>
      <c r="E159" s="39"/>
      <c r="F159" s="471"/>
      <c r="G159" s="455"/>
      <c r="H159" s="29"/>
      <c r="I159" s="455"/>
      <c r="J159" s="11"/>
      <c r="K159" s="39"/>
      <c r="L159" s="39"/>
      <c r="Q159" s="28"/>
      <c r="R159" s="445"/>
      <c r="S159" s="446"/>
      <c r="T159" s="445"/>
    </row>
    <row r="160" spans="2:20">
      <c r="B160" s="273">
        <f>MAX($B$68:B159)+1</f>
        <v>44</v>
      </c>
      <c r="C160" s="39"/>
      <c r="D160" s="39" t="s">
        <v>144</v>
      </c>
      <c r="E160" s="39"/>
      <c r="F160" s="471"/>
      <c r="G160" s="455"/>
      <c r="H160" s="411">
        <f>SUM(H131,H140,H149,H153,H158)</f>
        <v>15983.6955157186</v>
      </c>
      <c r="I160" s="455"/>
      <c r="J160" s="11"/>
      <c r="K160" s="39"/>
      <c r="L160" s="39"/>
      <c r="Q160" s="28"/>
      <c r="R160" s="445"/>
      <c r="S160" s="446"/>
      <c r="T160" s="445"/>
    </row>
    <row r="161" spans="2:20">
      <c r="B161" s="273"/>
      <c r="C161" s="39"/>
      <c r="D161" s="39"/>
      <c r="E161" s="39"/>
      <c r="F161" s="471"/>
      <c r="G161" s="455"/>
      <c r="H161" s="29"/>
      <c r="I161" s="455"/>
      <c r="J161" s="11"/>
      <c r="K161" s="39"/>
      <c r="L161" s="39"/>
      <c r="Q161" s="28"/>
      <c r="R161" s="445"/>
      <c r="S161" s="446"/>
      <c r="T161" s="445"/>
    </row>
    <row r="162" spans="2:20">
      <c r="B162" s="39"/>
      <c r="C162" s="39"/>
      <c r="D162" s="39"/>
      <c r="E162" s="39"/>
      <c r="F162" s="39"/>
      <c r="G162" s="39"/>
      <c r="H162" s="39"/>
      <c r="I162" s="39"/>
      <c r="J162" s="39"/>
      <c r="K162" s="39"/>
      <c r="L162" s="39"/>
      <c r="Q162" s="28"/>
      <c r="R162" s="445"/>
      <c r="S162" s="446"/>
      <c r="T162" s="445"/>
    </row>
    <row r="163" spans="2:20">
      <c r="B163" s="450"/>
      <c r="C163" s="39"/>
      <c r="D163" s="39"/>
      <c r="E163" s="39"/>
      <c r="F163" s="39"/>
      <c r="G163" s="39"/>
      <c r="H163" s="39"/>
      <c r="I163" s="39"/>
      <c r="J163" s="39"/>
      <c r="K163" s="25"/>
      <c r="L163" s="39"/>
      <c r="Q163" s="28"/>
      <c r="R163" s="445"/>
      <c r="S163" s="446"/>
      <c r="T163" s="445"/>
    </row>
    <row r="164" spans="2:20">
      <c r="B164" s="450"/>
      <c r="C164" s="25"/>
      <c r="D164" s="39"/>
      <c r="E164" s="25"/>
      <c r="F164" s="25"/>
      <c r="G164" s="25"/>
      <c r="H164" s="25"/>
      <c r="I164" s="25"/>
      <c r="J164" s="25"/>
      <c r="K164" s="25"/>
      <c r="L164" s="39"/>
      <c r="Q164" s="410"/>
      <c r="T164" s="410"/>
    </row>
    <row r="165" spans="2:20">
      <c r="B165" s="1169" t="s">
        <v>860</v>
      </c>
      <c r="C165" s="1169"/>
      <c r="D165" s="1169"/>
      <c r="E165" s="1169"/>
      <c r="F165" s="1169"/>
      <c r="G165" s="1169"/>
      <c r="H165" s="1169"/>
      <c r="I165" s="1169"/>
      <c r="J165" s="1169"/>
      <c r="K165" s="1169"/>
      <c r="L165" s="1169"/>
      <c r="Q165" s="28"/>
      <c r="R165" s="445"/>
      <c r="S165" s="446"/>
      <c r="T165" s="445"/>
    </row>
    <row r="166" spans="2:20">
      <c r="B166" s="1169" t="s">
        <v>145</v>
      </c>
      <c r="C166" s="1169"/>
      <c r="D166" s="1169"/>
      <c r="E166" s="1169"/>
      <c r="F166" s="1169"/>
      <c r="G166" s="1169"/>
      <c r="H166" s="1169"/>
      <c r="I166" s="1169"/>
      <c r="J166" s="1169"/>
      <c r="K166" s="1169"/>
      <c r="L166" s="1169"/>
      <c r="Q166" s="28"/>
      <c r="R166" s="445"/>
      <c r="S166" s="446"/>
      <c r="T166" s="445"/>
    </row>
    <row r="167" spans="2:20" ht="9.75" customHeight="1">
      <c r="B167" s="39"/>
      <c r="C167" s="39"/>
      <c r="D167" s="39" t="s">
        <v>168</v>
      </c>
      <c r="E167" s="39"/>
      <c r="F167" s="19"/>
      <c r="G167" s="19"/>
      <c r="H167" s="19"/>
      <c r="I167" s="19"/>
      <c r="J167" s="19"/>
      <c r="K167" s="39"/>
      <c r="L167" s="39"/>
      <c r="Q167" s="412"/>
    </row>
    <row r="168" spans="2:20">
      <c r="B168" s="39"/>
      <c r="C168" s="39"/>
      <c r="D168" s="39"/>
      <c r="E168" s="39"/>
      <c r="F168" s="19" t="s">
        <v>853</v>
      </c>
      <c r="G168" s="19"/>
      <c r="H168" s="19" t="s">
        <v>854</v>
      </c>
      <c r="I168" s="19"/>
      <c r="J168" s="19" t="s">
        <v>854</v>
      </c>
      <c r="K168" s="39"/>
      <c r="L168" s="39"/>
      <c r="Q168" s="28"/>
      <c r="R168" s="445"/>
      <c r="S168" s="446"/>
      <c r="T168" s="445"/>
    </row>
    <row r="169" spans="2:20">
      <c r="B169" s="273" t="s">
        <v>56</v>
      </c>
      <c r="C169" s="39"/>
      <c r="D169" s="39"/>
      <c r="E169" s="39"/>
      <c r="F169" s="26" t="s">
        <v>855</v>
      </c>
      <c r="G169" s="19"/>
      <c r="H169" s="26" t="s">
        <v>856</v>
      </c>
      <c r="I169" s="26"/>
      <c r="J169" s="19" t="s">
        <v>857</v>
      </c>
      <c r="K169" s="39"/>
      <c r="L169" s="39"/>
      <c r="Q169" s="28"/>
      <c r="S169" s="446"/>
    </row>
    <row r="170" spans="2:20">
      <c r="B170" s="27" t="s">
        <v>57</v>
      </c>
      <c r="C170" s="39"/>
      <c r="D170" s="451" t="s">
        <v>194</v>
      </c>
      <c r="E170" s="39"/>
      <c r="F170" s="431" t="s">
        <v>858</v>
      </c>
      <c r="G170" s="20"/>
      <c r="H170" s="431" t="s">
        <v>248</v>
      </c>
      <c r="I170" s="19"/>
      <c r="J170" s="27" t="s">
        <v>859</v>
      </c>
      <c r="K170" s="39"/>
      <c r="L170" s="39"/>
      <c r="Q170" s="410"/>
      <c r="T170" s="410"/>
    </row>
    <row r="171" spans="2:20">
      <c r="B171" s="273"/>
      <c r="C171" s="39"/>
      <c r="D171" s="39"/>
      <c r="E171" s="39"/>
      <c r="F171" s="19" t="s">
        <v>9</v>
      </c>
      <c r="G171" s="19"/>
      <c r="H171" s="26" t="s">
        <v>10</v>
      </c>
      <c r="I171" s="20"/>
      <c r="J171" s="26" t="s">
        <v>58</v>
      </c>
      <c r="K171" s="39"/>
      <c r="L171" s="39"/>
      <c r="Q171" s="412"/>
    </row>
    <row r="172" spans="2:20">
      <c r="B172" s="39"/>
      <c r="C172" s="39"/>
      <c r="D172" s="468"/>
      <c r="E172" s="39"/>
      <c r="F172" s="39"/>
      <c r="G172" s="39"/>
      <c r="H172" s="39"/>
      <c r="I172" s="39"/>
      <c r="J172" s="39"/>
      <c r="K172" s="39"/>
      <c r="L172" s="39"/>
      <c r="Q172" s="28"/>
      <c r="R172" s="445"/>
      <c r="S172" s="446"/>
      <c r="T172" s="449"/>
    </row>
    <row r="173" spans="2:20">
      <c r="B173" s="39"/>
      <c r="C173" s="39"/>
      <c r="D173" s="468" t="s">
        <v>146</v>
      </c>
      <c r="E173" s="39"/>
      <c r="F173" s="39"/>
      <c r="G173" s="39"/>
      <c r="H173" s="39"/>
      <c r="I173" s="39"/>
      <c r="J173" s="39"/>
      <c r="K173" s="39"/>
      <c r="L173" s="39"/>
      <c r="Q173" s="28"/>
      <c r="R173" s="445"/>
      <c r="S173" s="446"/>
      <c r="T173" s="449"/>
    </row>
    <row r="174" spans="2:20">
      <c r="B174" s="273">
        <f>MAX($B$68:B173)+1</f>
        <v>45</v>
      </c>
      <c r="C174" s="39"/>
      <c r="D174" s="39" t="s">
        <v>258</v>
      </c>
      <c r="E174" s="39"/>
      <c r="F174" s="29">
        <f>'Sch. 22 p.5'!G40</f>
        <v>14450119.000000004</v>
      </c>
      <c r="G174" s="39"/>
      <c r="H174" s="135">
        <f>'Sch. 22 p.5'!Y40</f>
        <v>32546.953093803517</v>
      </c>
      <c r="I174" s="39"/>
      <c r="J174" s="121">
        <f>'Sch. 22 p.5'!M40</f>
        <v>2.2523657482546349</v>
      </c>
      <c r="K174" s="39"/>
      <c r="L174" s="39"/>
      <c r="Q174" s="412"/>
    </row>
    <row r="175" spans="2:20">
      <c r="B175" s="273">
        <f>MAX($B$68:B174)+1</f>
        <v>46</v>
      </c>
      <c r="C175" s="39"/>
      <c r="D175" s="114" t="s">
        <v>260</v>
      </c>
      <c r="E175" s="39"/>
      <c r="F175" s="29">
        <f>'Sch. 22 p.5'!G45</f>
        <v>3238864.4996673875</v>
      </c>
      <c r="G175" s="455"/>
      <c r="H175" s="242">
        <f>'Sch. 22 p.5'!Y45</f>
        <v>6769.2268043044269</v>
      </c>
      <c r="I175" s="455"/>
      <c r="J175" s="11">
        <f>'Sch. 22 p.5'!M42</f>
        <v>0.20899999999999999</v>
      </c>
      <c r="K175" s="39"/>
      <c r="L175" s="39"/>
      <c r="Q175" s="28"/>
      <c r="R175" s="445"/>
      <c r="S175" s="446"/>
      <c r="T175" s="445"/>
    </row>
    <row r="176" spans="2:20">
      <c r="B176" s="273">
        <f>MAX($B$68:B175)+1</f>
        <v>47</v>
      </c>
      <c r="C176" s="39"/>
      <c r="D176" s="39" t="s">
        <v>340</v>
      </c>
      <c r="E176" s="39"/>
      <c r="F176" s="470">
        <f>F175</f>
        <v>3238864.4996673875</v>
      </c>
      <c r="G176" s="455"/>
      <c r="H176" s="411">
        <f>H36</f>
        <v>39316.179898107941</v>
      </c>
      <c r="I176" s="455"/>
      <c r="J176" s="32">
        <f>H176/F176*100</f>
        <v>1.2138877653617643</v>
      </c>
      <c r="K176" s="39"/>
      <c r="L176" s="39"/>
      <c r="O176" s="30"/>
      <c r="Q176" s="410"/>
      <c r="T176" s="410"/>
    </row>
    <row r="177" spans="2:20">
      <c r="B177" s="39"/>
      <c r="C177" s="39"/>
      <c r="D177" s="39"/>
      <c r="E177" s="39"/>
      <c r="F177" s="455"/>
      <c r="G177" s="455"/>
      <c r="H177" s="455"/>
      <c r="I177" s="455"/>
      <c r="J177" s="455"/>
      <c r="K177" s="39"/>
      <c r="L177" s="39"/>
      <c r="Q177" s="412"/>
    </row>
    <row r="178" spans="2:20">
      <c r="B178" s="39"/>
      <c r="C178" s="39"/>
      <c r="D178" s="468" t="s">
        <v>147</v>
      </c>
      <c r="E178" s="39"/>
      <c r="F178" s="455"/>
      <c r="G178" s="455"/>
      <c r="H178" s="455"/>
      <c r="I178" s="455"/>
      <c r="J178" s="455"/>
      <c r="K178" s="39"/>
      <c r="L178" s="39"/>
      <c r="Q178" s="412"/>
    </row>
    <row r="179" spans="2:20">
      <c r="B179" s="39"/>
      <c r="C179" s="39"/>
      <c r="D179" s="114" t="s">
        <v>260</v>
      </c>
      <c r="E179" s="39"/>
      <c r="F179" s="455"/>
      <c r="G179" s="455"/>
      <c r="H179" s="455"/>
      <c r="I179" s="455"/>
      <c r="J179" s="455"/>
      <c r="K179" s="39"/>
      <c r="L179" s="39"/>
      <c r="Q179" s="412"/>
    </row>
    <row r="180" spans="2:20">
      <c r="B180" s="273">
        <f>MAX($B$68:B179)+1</f>
        <v>48</v>
      </c>
      <c r="C180" s="39"/>
      <c r="D180" s="39" t="s">
        <v>867</v>
      </c>
      <c r="E180" s="39"/>
      <c r="F180" s="29">
        <v>89658.492055731243</v>
      </c>
      <c r="G180" s="455"/>
      <c r="H180" s="29">
        <v>511.15731549004579</v>
      </c>
      <c r="I180" s="455"/>
      <c r="J180" s="11">
        <f>H180/F180*100</f>
        <v>0.57011589618562075</v>
      </c>
      <c r="K180" s="39"/>
      <c r="L180" s="39"/>
      <c r="Q180" s="28"/>
      <c r="R180" s="445"/>
      <c r="S180" s="446"/>
      <c r="T180" s="445"/>
    </row>
    <row r="181" spans="2:20">
      <c r="B181" s="273">
        <f>MAX($B$68:B180)+1</f>
        <v>49</v>
      </c>
      <c r="C181" s="39"/>
      <c r="D181" s="39" t="s">
        <v>868</v>
      </c>
      <c r="E181" s="39"/>
      <c r="F181" s="29">
        <v>391300.86243960465</v>
      </c>
      <c r="G181" s="455"/>
      <c r="H181" s="29">
        <v>2191.0600209773543</v>
      </c>
      <c r="I181" s="455"/>
      <c r="J181" s="11">
        <f t="shared" ref="J181:J184" si="13">H181/F181*100</f>
        <v>0.5599425483800291</v>
      </c>
      <c r="K181" s="39"/>
      <c r="L181" s="39"/>
      <c r="Q181" s="28"/>
      <c r="R181" s="445"/>
      <c r="S181" s="446"/>
      <c r="T181" s="445"/>
    </row>
    <row r="182" spans="2:20">
      <c r="B182" s="273">
        <f>MAX($B$68:B181)+1</f>
        <v>50</v>
      </c>
      <c r="C182" s="39"/>
      <c r="D182" s="39" t="s">
        <v>869</v>
      </c>
      <c r="E182" s="39"/>
      <c r="F182" s="29">
        <v>373385.94021697668</v>
      </c>
      <c r="G182" s="455"/>
      <c r="H182" s="29">
        <v>1961.2274763357125</v>
      </c>
      <c r="I182" s="455"/>
      <c r="J182" s="11">
        <f t="shared" si="13"/>
        <v>0.52525477397355458</v>
      </c>
      <c r="K182" s="39"/>
      <c r="L182" s="39"/>
      <c r="Q182" s="412"/>
    </row>
    <row r="183" spans="2:20">
      <c r="B183" s="273">
        <f>MAX($B$68:B182)+1</f>
        <v>51</v>
      </c>
      <c r="C183" s="39"/>
      <c r="D183" s="39" t="s">
        <v>870</v>
      </c>
      <c r="E183" s="39"/>
      <c r="F183" s="29">
        <v>488968.96402614162</v>
      </c>
      <c r="G183" s="455"/>
      <c r="H183" s="29">
        <v>2391.3676282228366</v>
      </c>
      <c r="I183" s="455"/>
      <c r="J183" s="11">
        <f t="shared" si="13"/>
        <v>0.48906327480019518</v>
      </c>
      <c r="K183" s="39"/>
      <c r="L183" s="39"/>
      <c r="Q183" s="28"/>
      <c r="R183" s="445"/>
      <c r="S183" s="446"/>
      <c r="T183" s="445"/>
    </row>
    <row r="184" spans="2:20">
      <c r="B184" s="273">
        <f>MAX($B$68:B183)+1</f>
        <v>52</v>
      </c>
      <c r="C184" s="39"/>
      <c r="D184" s="39" t="s">
        <v>345</v>
      </c>
      <c r="E184" s="39"/>
      <c r="F184" s="470">
        <f>SUM(F180:F183)</f>
        <v>1343314.2587384542</v>
      </c>
      <c r="G184" s="455"/>
      <c r="H184" s="411">
        <f>H37</f>
        <v>7054.8124410259497</v>
      </c>
      <c r="I184" s="455"/>
      <c r="J184" s="32">
        <f t="shared" si="13"/>
        <v>0.52517959927346647</v>
      </c>
      <c r="K184" s="39"/>
      <c r="L184" s="39"/>
      <c r="Q184" s="410"/>
      <c r="T184" s="410"/>
    </row>
    <row r="185" spans="2:20">
      <c r="B185" s="39"/>
      <c r="C185" s="39"/>
      <c r="D185" s="39"/>
      <c r="E185" s="39"/>
      <c r="F185" s="455"/>
      <c r="G185" s="455"/>
      <c r="H185" s="455"/>
      <c r="I185" s="455"/>
      <c r="J185" s="455"/>
      <c r="K185" s="39"/>
      <c r="L185" s="39"/>
      <c r="Q185" s="412"/>
    </row>
    <row r="186" spans="2:20">
      <c r="B186" s="39"/>
      <c r="C186" s="39"/>
      <c r="D186" s="468" t="s">
        <v>148</v>
      </c>
      <c r="E186" s="39"/>
      <c r="F186" s="455"/>
      <c r="G186" s="455"/>
      <c r="H186" s="455"/>
      <c r="I186" s="455"/>
      <c r="J186" s="455"/>
      <c r="K186" s="39"/>
      <c r="L186" s="39"/>
      <c r="Q186" s="412"/>
    </row>
    <row r="187" spans="2:20">
      <c r="B187" s="39"/>
      <c r="C187" s="39"/>
      <c r="D187" s="114" t="s">
        <v>280</v>
      </c>
      <c r="E187" s="39"/>
      <c r="F187" s="455"/>
      <c r="G187" s="455"/>
      <c r="H187" s="455"/>
      <c r="I187" s="455"/>
      <c r="J187" s="455"/>
      <c r="K187" s="39"/>
      <c r="L187" s="39"/>
      <c r="Q187" s="28"/>
      <c r="R187" s="445"/>
      <c r="S187" s="446"/>
      <c r="T187" s="445"/>
    </row>
    <row r="188" spans="2:20">
      <c r="B188" s="273">
        <f>MAX($B$68:B187)+1</f>
        <v>53</v>
      </c>
      <c r="C188" s="39"/>
      <c r="D188" s="454" t="s">
        <v>871</v>
      </c>
      <c r="E188" s="39"/>
      <c r="F188" s="29">
        <v>20879.34</v>
      </c>
      <c r="G188" s="455"/>
      <c r="H188" s="29">
        <v>2105.7548294816397</v>
      </c>
      <c r="I188" s="455"/>
      <c r="J188" s="11">
        <f t="shared" ref="J188:J190" si="14">H188/F188*100</f>
        <v>10.085351498091605</v>
      </c>
      <c r="K188" s="39"/>
      <c r="L188" s="39"/>
      <c r="Q188" s="412"/>
    </row>
    <row r="189" spans="2:20">
      <c r="B189" s="273">
        <f>MAX($B$68:B188)+1</f>
        <v>54</v>
      </c>
      <c r="C189" s="39"/>
      <c r="D189" s="454" t="s">
        <v>872</v>
      </c>
      <c r="E189" s="39"/>
      <c r="F189" s="29">
        <v>20175.232</v>
      </c>
      <c r="G189" s="455"/>
      <c r="H189" s="29">
        <v>969.29625281579615</v>
      </c>
      <c r="I189" s="455"/>
      <c r="J189" s="11">
        <f t="shared" si="14"/>
        <v>4.8043871456635348</v>
      </c>
      <c r="K189" s="39"/>
      <c r="L189" s="39"/>
      <c r="Q189" s="412"/>
    </row>
    <row r="190" spans="2:20">
      <c r="B190" s="273">
        <f>MAX($B$68:B189)+1</f>
        <v>55</v>
      </c>
      <c r="C190" s="39"/>
      <c r="D190" s="454" t="s">
        <v>873</v>
      </c>
      <c r="E190" s="39"/>
      <c r="F190" s="29">
        <v>5781.4719999999998</v>
      </c>
      <c r="G190" s="455"/>
      <c r="H190" s="29">
        <v>238.09064565111296</v>
      </c>
      <c r="I190" s="455"/>
      <c r="J190" s="11">
        <f t="shared" si="14"/>
        <v>4.1181665439374777</v>
      </c>
      <c r="K190" s="39"/>
      <c r="L190" s="39"/>
      <c r="Q190" s="412"/>
    </row>
    <row r="191" spans="2:20">
      <c r="B191" s="39"/>
      <c r="C191" s="39"/>
      <c r="D191" s="114" t="s">
        <v>260</v>
      </c>
      <c r="E191" s="39"/>
      <c r="F191" s="455"/>
      <c r="G191" s="455"/>
      <c r="H191" s="455"/>
      <c r="I191" s="455"/>
      <c r="J191" s="455"/>
      <c r="K191" s="39"/>
      <c r="L191" s="39"/>
      <c r="Q191" s="412"/>
    </row>
    <row r="192" spans="2:20">
      <c r="B192" s="273">
        <f>MAX($B$68:B191)+1</f>
        <v>56</v>
      </c>
      <c r="C192" s="39"/>
      <c r="D192" s="454" t="s">
        <v>349</v>
      </c>
      <c r="E192" s="39"/>
      <c r="F192" s="29">
        <v>651263.53987999959</v>
      </c>
      <c r="G192" s="455"/>
      <c r="H192" s="29">
        <v>2208.7611519656994</v>
      </c>
      <c r="I192" s="455"/>
      <c r="J192" s="11">
        <f t="shared" ref="J192:J194" si="15">H192/F192*100</f>
        <v>0.33915013150785028</v>
      </c>
      <c r="K192" s="39"/>
      <c r="L192" s="39"/>
      <c r="Q192" s="28"/>
      <c r="R192" s="445"/>
      <c r="S192" s="446"/>
      <c r="T192" s="445"/>
    </row>
    <row r="193" spans="2:20">
      <c r="B193" s="273">
        <f>MAX($B$68:B192)+1</f>
        <v>57</v>
      </c>
      <c r="C193" s="39"/>
      <c r="D193" s="454" t="s">
        <v>350</v>
      </c>
      <c r="E193" s="39"/>
      <c r="F193" s="29">
        <v>0</v>
      </c>
      <c r="G193" s="455"/>
      <c r="H193" s="29">
        <v>0</v>
      </c>
      <c r="I193" s="455"/>
      <c r="J193" s="11">
        <f>IFERROR(H193/F193*100,0)</f>
        <v>0</v>
      </c>
      <c r="K193" s="39"/>
      <c r="L193" s="39"/>
      <c r="Q193" s="28"/>
      <c r="R193" s="445"/>
      <c r="S193" s="446"/>
      <c r="T193" s="445"/>
    </row>
    <row r="194" spans="2:20">
      <c r="B194" s="273">
        <f>MAX($B$68:B193)+1</f>
        <v>58</v>
      </c>
      <c r="C194" s="39"/>
      <c r="D194" s="39" t="s">
        <v>358</v>
      </c>
      <c r="E194" s="39"/>
      <c r="F194" s="470">
        <f>SUM(F188:F190)</f>
        <v>46836.044000000002</v>
      </c>
      <c r="G194" s="455"/>
      <c r="H194" s="411">
        <f>H38</f>
        <v>5521.9028799142479</v>
      </c>
      <c r="I194" s="455"/>
      <c r="J194" s="32">
        <f t="shared" si="15"/>
        <v>11.78985757190391</v>
      </c>
      <c r="K194" s="39"/>
      <c r="L194" s="39"/>
      <c r="Q194" s="28"/>
    </row>
    <row r="195" spans="2:20">
      <c r="B195" s="39"/>
      <c r="C195" s="39"/>
      <c r="D195" s="39"/>
      <c r="E195" s="39"/>
      <c r="F195" s="455"/>
      <c r="G195" s="455"/>
      <c r="H195" s="455"/>
      <c r="I195" s="455"/>
      <c r="J195" s="455"/>
      <c r="K195" s="39"/>
      <c r="L195" s="39"/>
      <c r="Q195" s="412"/>
    </row>
    <row r="196" spans="2:20">
      <c r="B196" s="39"/>
      <c r="C196" s="39"/>
      <c r="D196" s="468" t="s">
        <v>149</v>
      </c>
      <c r="E196" s="39"/>
      <c r="F196" s="455"/>
      <c r="G196" s="455"/>
      <c r="H196" s="455"/>
      <c r="I196" s="455"/>
      <c r="J196" s="455"/>
      <c r="K196" s="39"/>
      <c r="L196" s="39"/>
      <c r="Q196" s="28"/>
      <c r="R196" s="445"/>
      <c r="S196" s="446"/>
      <c r="T196" s="445"/>
    </row>
    <row r="197" spans="2:20">
      <c r="B197" s="39"/>
      <c r="C197" s="39"/>
      <c r="D197" s="39" t="s">
        <v>361</v>
      </c>
      <c r="E197" s="39"/>
      <c r="F197" s="29"/>
      <c r="G197" s="455"/>
      <c r="H197" s="455"/>
      <c r="I197" s="455"/>
      <c r="J197" s="455"/>
      <c r="K197" s="39"/>
      <c r="L197" s="39"/>
      <c r="Q197" s="410"/>
      <c r="T197" s="410"/>
    </row>
    <row r="198" spans="2:20">
      <c r="B198" s="273">
        <f>MAX($B$68:B197)+1</f>
        <v>59</v>
      </c>
      <c r="C198" s="39"/>
      <c r="D198" s="476" t="s">
        <v>280</v>
      </c>
      <c r="E198" s="39"/>
      <c r="F198" s="29">
        <v>431.904</v>
      </c>
      <c r="G198" s="455"/>
      <c r="H198" s="29">
        <v>41.140218199898953</v>
      </c>
      <c r="I198" s="455"/>
      <c r="J198" s="11">
        <f t="shared" ref="J198:J199" si="16">H198/F198*100</f>
        <v>9.5253153941382696</v>
      </c>
      <c r="K198" s="39"/>
      <c r="L198" s="39"/>
      <c r="Q198" s="412"/>
    </row>
    <row r="199" spans="2:20">
      <c r="B199" s="273">
        <f>MAX($B$68:B198)+1</f>
        <v>60</v>
      </c>
      <c r="C199" s="39"/>
      <c r="D199" s="476" t="s">
        <v>260</v>
      </c>
      <c r="E199" s="39"/>
      <c r="F199" s="29">
        <v>5260.2675999999992</v>
      </c>
      <c r="G199" s="455"/>
      <c r="H199" s="29">
        <v>30.409784876368469</v>
      </c>
      <c r="I199" s="455"/>
      <c r="J199" s="11">
        <f t="shared" si="16"/>
        <v>0.57810338159162233</v>
      </c>
      <c r="K199" s="39"/>
      <c r="L199" s="39"/>
      <c r="Q199" s="412"/>
    </row>
    <row r="200" spans="2:20">
      <c r="B200" s="39"/>
      <c r="C200" s="39"/>
      <c r="D200" s="39" t="s">
        <v>354</v>
      </c>
      <c r="E200" s="39"/>
      <c r="F200" s="455"/>
      <c r="G200" s="455"/>
      <c r="H200" s="29"/>
      <c r="I200" s="455"/>
      <c r="J200" s="455"/>
      <c r="K200" s="39"/>
      <c r="L200" s="39"/>
      <c r="Q200" s="412"/>
    </row>
    <row r="201" spans="2:20">
      <c r="B201" s="273">
        <f>MAX($B$68:B200)+1</f>
        <v>61</v>
      </c>
      <c r="C201" s="39"/>
      <c r="D201" s="476" t="s">
        <v>333</v>
      </c>
      <c r="E201" s="39"/>
      <c r="F201" s="29">
        <v>61856.632989999991</v>
      </c>
      <c r="G201" s="455"/>
      <c r="H201" s="29">
        <v>330.64159547681339</v>
      </c>
      <c r="I201" s="455"/>
      <c r="J201" s="11">
        <f t="shared" ref="J201:J202" si="17">H201/F201*100</f>
        <v>0.53452892518457373</v>
      </c>
      <c r="K201" s="39"/>
      <c r="L201" s="39"/>
      <c r="Q201" s="412"/>
    </row>
    <row r="202" spans="2:20">
      <c r="B202" s="273">
        <f>MAX($B$68:B201)+1</f>
        <v>62</v>
      </c>
      <c r="C202" s="39"/>
      <c r="D202" s="39" t="s">
        <v>362</v>
      </c>
      <c r="E202" s="39"/>
      <c r="F202" s="470">
        <f>SUM(F199:F201)</f>
        <v>67116.90058999999</v>
      </c>
      <c r="G202" s="455"/>
      <c r="H202" s="411">
        <f>H39</f>
        <v>402.19159855308078</v>
      </c>
      <c r="I202" s="455"/>
      <c r="J202" s="32">
        <f t="shared" si="17"/>
        <v>0.59924042233411012</v>
      </c>
      <c r="K202" s="39"/>
      <c r="L202" s="39"/>
      <c r="Q202" s="28"/>
      <c r="R202" s="445"/>
      <c r="S202" s="446"/>
      <c r="T202" s="445"/>
    </row>
    <row r="203" spans="2:20">
      <c r="B203" s="39"/>
      <c r="C203" s="39"/>
      <c r="D203" s="39"/>
      <c r="E203" s="39"/>
      <c r="F203" s="455"/>
      <c r="G203" s="455"/>
      <c r="H203" s="455"/>
      <c r="I203" s="455"/>
      <c r="J203" s="455"/>
      <c r="K203" s="39"/>
      <c r="L203" s="39"/>
      <c r="Q203" s="28"/>
      <c r="R203" s="445"/>
      <c r="S203" s="446"/>
      <c r="T203" s="445"/>
    </row>
    <row r="204" spans="2:20">
      <c r="B204" s="39"/>
      <c r="C204" s="39"/>
      <c r="D204" s="468" t="s">
        <v>150</v>
      </c>
      <c r="E204" s="39"/>
      <c r="F204" s="455"/>
      <c r="G204" s="455"/>
      <c r="H204" s="455"/>
      <c r="I204" s="455"/>
      <c r="J204" s="455"/>
      <c r="K204" s="39"/>
      <c r="L204" s="39"/>
      <c r="Q204" s="28"/>
    </row>
    <row r="205" spans="2:20">
      <c r="B205" s="39"/>
      <c r="C205" s="39"/>
      <c r="D205" s="39" t="s">
        <v>361</v>
      </c>
      <c r="E205" s="39"/>
      <c r="F205" s="455"/>
      <c r="G205" s="455"/>
      <c r="H205" s="455"/>
      <c r="I205" s="455"/>
      <c r="J205" s="455"/>
      <c r="K205" s="39"/>
      <c r="L205" s="39"/>
      <c r="Q205" s="412"/>
    </row>
    <row r="206" spans="2:20">
      <c r="B206" s="273">
        <f>MAX($B$68:B205)+1</f>
        <v>63</v>
      </c>
      <c r="C206" s="39"/>
      <c r="D206" s="476" t="s">
        <v>280</v>
      </c>
      <c r="E206" s="39"/>
      <c r="F206" s="29">
        <v>71858.168000000005</v>
      </c>
      <c r="G206" s="455"/>
      <c r="H206" s="29">
        <v>3676.9747646837463</v>
      </c>
      <c r="I206" s="455"/>
      <c r="J206" s="11">
        <f t="shared" ref="J206:J210" si="18">H206/F206*100</f>
        <v>5.1169892957523579</v>
      </c>
      <c r="K206" s="39"/>
      <c r="L206" s="39"/>
      <c r="Q206" s="28"/>
      <c r="R206" s="445"/>
      <c r="S206" s="446"/>
      <c r="T206" s="445"/>
    </row>
    <row r="207" spans="2:20">
      <c r="B207" s="273">
        <f>MAX($B$68:B206)+1</f>
        <v>64</v>
      </c>
      <c r="C207" s="39"/>
      <c r="D207" s="476" t="s">
        <v>260</v>
      </c>
      <c r="E207" s="39"/>
      <c r="F207" s="29">
        <v>736086.39422999998</v>
      </c>
      <c r="G207" s="455"/>
      <c r="H207" s="29">
        <v>218.94930057158774</v>
      </c>
      <c r="I207" s="455"/>
      <c r="J207" s="11">
        <f t="shared" si="18"/>
        <v>2.9745054695736454E-2</v>
      </c>
      <c r="K207" s="39"/>
      <c r="L207" s="39"/>
      <c r="Q207" s="410"/>
      <c r="T207" s="410"/>
    </row>
    <row r="208" spans="2:20">
      <c r="B208" s="39"/>
      <c r="C208" s="39"/>
      <c r="D208" s="39" t="s">
        <v>608</v>
      </c>
      <c r="E208" s="39"/>
      <c r="F208" s="455"/>
      <c r="G208" s="455"/>
      <c r="H208" s="29"/>
      <c r="I208" s="455"/>
      <c r="J208" s="455"/>
      <c r="K208" s="39"/>
      <c r="L208" s="39"/>
      <c r="Q208" s="412"/>
    </row>
    <row r="209" spans="2:20">
      <c r="B209" s="273">
        <f>MAX($B$68:B208)+1</f>
        <v>65</v>
      </c>
      <c r="C209" s="39"/>
      <c r="D209" s="476" t="s">
        <v>333</v>
      </c>
      <c r="E209" s="39"/>
      <c r="F209" s="29">
        <v>83466.42949000001</v>
      </c>
      <c r="G209" s="455"/>
      <c r="H209" s="29">
        <v>292.5479872436639</v>
      </c>
      <c r="I209" s="455"/>
      <c r="J209" s="11">
        <f t="shared" si="18"/>
        <v>0.35049778579388452</v>
      </c>
      <c r="K209" s="39"/>
      <c r="L209" s="39"/>
      <c r="Q209" s="412"/>
    </row>
    <row r="210" spans="2:20">
      <c r="B210" s="273">
        <f>MAX($B$68:B209)+1</f>
        <v>66</v>
      </c>
      <c r="C210" s="39"/>
      <c r="D210" s="39" t="s">
        <v>364</v>
      </c>
      <c r="E210" s="39"/>
      <c r="F210" s="470">
        <f>SUM(F207:F209)</f>
        <v>819552.82371999999</v>
      </c>
      <c r="G210" s="455"/>
      <c r="H210" s="411">
        <f>H40</f>
        <v>4188.472052498998</v>
      </c>
      <c r="I210" s="455"/>
      <c r="J210" s="32">
        <f t="shared" si="18"/>
        <v>0.51106797893603362</v>
      </c>
      <c r="K210" s="39"/>
      <c r="L210" s="39"/>
      <c r="Q210" s="412"/>
    </row>
    <row r="211" spans="2:20">
      <c r="B211" s="39"/>
      <c r="C211" s="39"/>
      <c r="D211" s="39"/>
      <c r="E211" s="39"/>
      <c r="F211" s="455"/>
      <c r="G211" s="455"/>
      <c r="H211" s="455"/>
      <c r="I211" s="455"/>
      <c r="J211" s="455"/>
      <c r="K211" s="39"/>
      <c r="L211" s="39"/>
      <c r="Q211" s="28"/>
      <c r="R211" s="445"/>
      <c r="S211" s="446"/>
      <c r="T211" s="445"/>
    </row>
    <row r="212" spans="2:20">
      <c r="B212" s="39"/>
      <c r="C212" s="39"/>
      <c r="D212" s="468" t="s">
        <v>151</v>
      </c>
      <c r="E212" s="39"/>
      <c r="F212" s="455"/>
      <c r="G212" s="455"/>
      <c r="H212" s="455"/>
      <c r="I212" s="455"/>
      <c r="J212" s="455"/>
      <c r="K212" s="39"/>
      <c r="L212" s="39"/>
      <c r="Q212" s="412"/>
    </row>
    <row r="213" spans="2:20">
      <c r="B213" s="273">
        <f>MAX($B$68:B212)+1</f>
        <v>67</v>
      </c>
      <c r="C213" s="39"/>
      <c r="D213" s="476" t="s">
        <v>280</v>
      </c>
      <c r="E213" s="39"/>
      <c r="F213" s="29">
        <v>6040.4639999999999</v>
      </c>
      <c r="G213" s="455"/>
      <c r="H213" s="29">
        <f>H41</f>
        <v>17.720613264513492</v>
      </c>
      <c r="I213" s="455"/>
      <c r="J213" s="11">
        <f t="shared" ref="J213" si="19">H213/F213*100</f>
        <v>0.29336510017299156</v>
      </c>
      <c r="K213" s="39"/>
      <c r="L213" s="39"/>
      <c r="Q213" s="412"/>
    </row>
    <row r="214" spans="2:20" ht="15" customHeight="1">
      <c r="B214" s="273">
        <f>MAX($B$68:B213)+1</f>
        <v>68</v>
      </c>
      <c r="C214" s="39"/>
      <c r="D214" s="39" t="str">
        <f>"Total "&amp;D212</f>
        <v>Total Rate M9</v>
      </c>
      <c r="E214" s="39"/>
      <c r="F214" s="470">
        <f>F213</f>
        <v>6040.4639999999999</v>
      </c>
      <c r="G214" s="455"/>
      <c r="H214" s="470">
        <f>H213</f>
        <v>17.720613264513492</v>
      </c>
      <c r="I214" s="455"/>
      <c r="J214" s="472">
        <f>J213</f>
        <v>0.29336510017299156</v>
      </c>
      <c r="K214" s="39"/>
      <c r="L214" s="39"/>
      <c r="Q214" s="412"/>
      <c r="S214" s="412"/>
      <c r="T214" s="44"/>
    </row>
    <row r="215" spans="2:20" ht="15" customHeight="1">
      <c r="B215" s="39"/>
      <c r="C215" s="39"/>
      <c r="D215" s="39"/>
      <c r="E215" s="39"/>
      <c r="F215" s="455"/>
      <c r="G215" s="455"/>
      <c r="H215" s="455"/>
      <c r="I215" s="455"/>
      <c r="J215" s="455"/>
      <c r="K215" s="39"/>
      <c r="L215" s="39"/>
      <c r="Q215" s="412"/>
      <c r="S215" s="412"/>
      <c r="T215" s="44"/>
    </row>
    <row r="216" spans="2:20">
      <c r="B216" s="39"/>
      <c r="C216" s="39"/>
      <c r="D216" s="468" t="s">
        <v>152</v>
      </c>
      <c r="E216" s="39"/>
      <c r="F216" s="455"/>
      <c r="G216" s="455"/>
      <c r="H216" s="455"/>
      <c r="I216" s="455"/>
      <c r="J216" s="455"/>
      <c r="K216" s="39"/>
      <c r="L216" s="39"/>
      <c r="Q216" s="412"/>
    </row>
    <row r="217" spans="2:20">
      <c r="B217" s="39"/>
      <c r="C217" s="39"/>
      <c r="D217" s="39" t="s">
        <v>361</v>
      </c>
      <c r="E217" s="39"/>
      <c r="F217" s="455"/>
      <c r="G217" s="455"/>
      <c r="H217" s="455"/>
      <c r="I217" s="455"/>
      <c r="J217" s="455"/>
      <c r="K217" s="39"/>
      <c r="L217" s="39"/>
      <c r="Q217" s="412"/>
    </row>
    <row r="218" spans="2:20">
      <c r="B218" s="39"/>
      <c r="C218" s="39"/>
      <c r="D218" s="476" t="s">
        <v>368</v>
      </c>
      <c r="E218" s="39"/>
      <c r="F218" s="455"/>
      <c r="G218" s="455"/>
      <c r="H218" s="455"/>
      <c r="I218" s="455"/>
      <c r="J218" s="455"/>
      <c r="K218" s="39"/>
      <c r="L218" s="39"/>
      <c r="Q218" s="412"/>
    </row>
    <row r="219" spans="2:20">
      <c r="B219" s="273">
        <f>MAX($B$68:B218)+1</f>
        <v>69</v>
      </c>
      <c r="C219" s="39"/>
      <c r="D219" s="477" t="s">
        <v>874</v>
      </c>
      <c r="E219" s="39"/>
      <c r="F219" s="29">
        <v>14363.064</v>
      </c>
      <c r="G219" s="455"/>
      <c r="H219" s="29">
        <v>555.59751780191789</v>
      </c>
      <c r="I219" s="455"/>
      <c r="J219" s="11">
        <f t="shared" ref="J219:J220" si="20">H219/F219*100</f>
        <v>3.8682381266414869</v>
      </c>
      <c r="K219" s="39"/>
      <c r="L219" s="39"/>
    </row>
    <row r="220" spans="2:20">
      <c r="B220" s="273">
        <f>MAX($B$68:B219)+1</f>
        <v>70</v>
      </c>
      <c r="C220" s="39"/>
      <c r="D220" s="477" t="s">
        <v>875</v>
      </c>
      <c r="E220" s="39"/>
      <c r="F220" s="29">
        <v>12176.784</v>
      </c>
      <c r="G220" s="455"/>
      <c r="H220" s="29">
        <v>336.19296861132091</v>
      </c>
      <c r="I220" s="455"/>
      <c r="J220" s="11">
        <f t="shared" si="20"/>
        <v>2.7609339921880927</v>
      </c>
      <c r="K220" s="39"/>
      <c r="L220" s="39"/>
    </row>
    <row r="221" spans="2:20">
      <c r="B221" s="273"/>
      <c r="C221" s="39"/>
      <c r="D221" s="476" t="s">
        <v>372</v>
      </c>
      <c r="E221" s="39"/>
      <c r="F221" s="29"/>
      <c r="G221" s="455"/>
      <c r="H221" s="455"/>
      <c r="I221" s="455"/>
      <c r="J221" s="455"/>
      <c r="K221" s="39"/>
      <c r="L221" s="39"/>
    </row>
    <row r="222" spans="2:20">
      <c r="B222" s="39"/>
      <c r="C222" s="39"/>
      <c r="D222" s="39" t="s">
        <v>354</v>
      </c>
      <c r="E222" s="39"/>
      <c r="F222" s="455"/>
      <c r="G222" s="455"/>
      <c r="H222" s="455"/>
      <c r="I222" s="455"/>
      <c r="J222" s="455"/>
      <c r="K222" s="39"/>
      <c r="L222" s="39"/>
    </row>
    <row r="223" spans="2:20">
      <c r="B223" s="273">
        <f>MAX($B$68:B222)+1</f>
        <v>71</v>
      </c>
      <c r="C223" s="39"/>
      <c r="D223" s="476" t="s">
        <v>372</v>
      </c>
      <c r="E223" s="39"/>
      <c r="F223" s="29">
        <v>37885.500949999994</v>
      </c>
      <c r="G223" s="455"/>
      <c r="H223" s="29">
        <v>73.366022915420686</v>
      </c>
      <c r="I223" s="455"/>
      <c r="J223" s="11">
        <f t="shared" ref="J223:J224" si="21">H223/F223*100</f>
        <v>0.19365198050897278</v>
      </c>
      <c r="K223" s="39"/>
      <c r="L223" s="39"/>
    </row>
    <row r="224" spans="2:20">
      <c r="B224" s="273">
        <f>MAX($B$68:B223)+1</f>
        <v>72</v>
      </c>
      <c r="C224" s="39"/>
      <c r="D224" s="39" t="s">
        <v>392</v>
      </c>
      <c r="E224" s="39"/>
      <c r="F224" s="470">
        <f>SUM(F221:F223)</f>
        <v>37885.500949999994</v>
      </c>
      <c r="G224" s="455"/>
      <c r="H224" s="411">
        <f>H42</f>
        <v>965.15650932865947</v>
      </c>
      <c r="I224" s="455"/>
      <c r="J224" s="32">
        <f t="shared" si="21"/>
        <v>2.5475616928028493</v>
      </c>
      <c r="K224" s="39"/>
      <c r="L224" s="39"/>
    </row>
    <row r="225" spans="2:12">
      <c r="B225" s="39"/>
      <c r="C225" s="39"/>
      <c r="D225" s="39"/>
      <c r="E225" s="39"/>
      <c r="F225" s="455"/>
      <c r="G225" s="455"/>
      <c r="H225" s="455"/>
      <c r="I225" s="455"/>
      <c r="J225" s="455"/>
      <c r="K225" s="39"/>
      <c r="L225" s="39"/>
    </row>
    <row r="226" spans="2:12">
      <c r="B226" s="39"/>
      <c r="C226" s="39"/>
      <c r="D226" s="468" t="s">
        <v>153</v>
      </c>
      <c r="E226" s="39"/>
      <c r="F226" s="455"/>
      <c r="G226" s="455"/>
      <c r="H226" s="455"/>
      <c r="I226" s="455"/>
      <c r="J226" s="455"/>
      <c r="K226" s="39"/>
      <c r="L226" s="39"/>
    </row>
    <row r="227" spans="2:12">
      <c r="B227" s="39"/>
      <c r="C227" s="39"/>
      <c r="D227" s="39" t="s">
        <v>361</v>
      </c>
      <c r="E227" s="39"/>
      <c r="F227" s="455"/>
      <c r="G227" s="455"/>
      <c r="H227" s="455"/>
      <c r="I227" s="455"/>
      <c r="J227" s="455"/>
      <c r="K227" s="39"/>
      <c r="L227" s="39"/>
    </row>
    <row r="228" spans="2:12">
      <c r="B228" s="39"/>
      <c r="C228" s="39"/>
      <c r="D228" s="476" t="s">
        <v>368</v>
      </c>
      <c r="E228" s="39"/>
      <c r="F228" s="455"/>
      <c r="G228" s="455"/>
      <c r="H228" s="455"/>
      <c r="I228" s="455"/>
      <c r="J228" s="455"/>
      <c r="K228" s="39"/>
      <c r="L228" s="39"/>
    </row>
    <row r="229" spans="2:12">
      <c r="B229" s="273">
        <f>MAX($B$68:B228)+1</f>
        <v>73</v>
      </c>
      <c r="C229" s="39"/>
      <c r="D229" s="477" t="s">
        <v>393</v>
      </c>
      <c r="E229" s="39"/>
      <c r="F229" s="29">
        <v>60333.714</v>
      </c>
      <c r="G229" s="455"/>
      <c r="H229" s="29">
        <v>1052.1210252863157</v>
      </c>
      <c r="I229" s="455"/>
      <c r="J229" s="11">
        <f t="shared" ref="J229:J230" si="22">H229/F229*100</f>
        <v>1.7438360006916127</v>
      </c>
      <c r="K229" s="39"/>
      <c r="L229" s="39"/>
    </row>
    <row r="230" spans="2:12">
      <c r="B230" s="273">
        <f>MAX($B$68:B229)+1</f>
        <v>74</v>
      </c>
      <c r="C230" s="39"/>
      <c r="D230" s="477" t="s">
        <v>394</v>
      </c>
      <c r="E230" s="39"/>
      <c r="F230" s="29">
        <v>248379.71</v>
      </c>
      <c r="G230" s="455"/>
      <c r="H230" s="29">
        <v>2423.3647733271655</v>
      </c>
      <c r="I230" s="455"/>
      <c r="J230" s="11">
        <f t="shared" si="22"/>
        <v>0.97566937868119963</v>
      </c>
      <c r="K230" s="39"/>
      <c r="L230" s="39"/>
    </row>
    <row r="231" spans="2:12">
      <c r="B231" s="273"/>
      <c r="C231" s="39"/>
      <c r="D231" s="476" t="s">
        <v>372</v>
      </c>
      <c r="E231" s="39"/>
      <c r="F231" s="29"/>
      <c r="G231" s="455"/>
      <c r="H231" s="455"/>
      <c r="I231" s="455"/>
      <c r="J231" s="29"/>
      <c r="K231" s="39"/>
      <c r="L231" s="39"/>
    </row>
    <row r="232" spans="2:12">
      <c r="B232" s="39"/>
      <c r="C232" s="39"/>
      <c r="D232" s="39" t="s">
        <v>354</v>
      </c>
      <c r="E232" s="39"/>
      <c r="F232" s="455"/>
      <c r="G232" s="455"/>
      <c r="H232" s="455"/>
      <c r="I232" s="455"/>
      <c r="J232" s="455"/>
      <c r="K232" s="39"/>
      <c r="L232" s="39"/>
    </row>
    <row r="233" spans="2:12">
      <c r="B233" s="273">
        <f>MAX($B$68:B232)+1</f>
        <v>75</v>
      </c>
      <c r="C233" s="39"/>
      <c r="D233" s="476" t="s">
        <v>372</v>
      </c>
      <c r="E233" s="39"/>
      <c r="F233" s="29">
        <v>41939.172750000012</v>
      </c>
      <c r="G233" s="455"/>
      <c r="H233" s="29">
        <v>62.172644938813157</v>
      </c>
      <c r="I233" s="455"/>
      <c r="J233" s="11">
        <f t="shared" ref="J233:J234" si="23">H233/F233*100</f>
        <v>0.14824480518350983</v>
      </c>
      <c r="K233" s="39"/>
      <c r="L233" s="39"/>
    </row>
    <row r="234" spans="2:12">
      <c r="B234" s="273">
        <f>MAX($B$68:B233)+1</f>
        <v>76</v>
      </c>
      <c r="C234" s="39"/>
      <c r="D234" s="39" t="s">
        <v>395</v>
      </c>
      <c r="E234" s="39"/>
      <c r="F234" s="470">
        <f>SUM(F231:F233)</f>
        <v>41939.172750000012</v>
      </c>
      <c r="G234" s="455"/>
      <c r="H234" s="411">
        <f>H43</f>
        <v>3537.6584435522941</v>
      </c>
      <c r="I234" s="455"/>
      <c r="J234" s="32">
        <f t="shared" si="23"/>
        <v>8.4352127416540252</v>
      </c>
      <c r="K234" s="39"/>
      <c r="L234" s="39"/>
    </row>
    <row r="235" spans="2:12">
      <c r="B235" s="39"/>
      <c r="C235" s="39"/>
      <c r="D235" s="39"/>
      <c r="E235" s="39"/>
      <c r="F235" s="455"/>
      <c r="G235" s="455"/>
      <c r="H235" s="455"/>
      <c r="I235" s="455"/>
      <c r="J235" s="455"/>
      <c r="K235" s="39"/>
      <c r="L235" s="39"/>
    </row>
    <row r="236" spans="2:12">
      <c r="B236" s="39"/>
      <c r="C236" s="39"/>
      <c r="D236" s="468" t="s">
        <v>154</v>
      </c>
      <c r="E236" s="39"/>
      <c r="F236" s="455"/>
      <c r="G236" s="455"/>
      <c r="H236" s="455"/>
      <c r="I236" s="455"/>
      <c r="J236" s="455"/>
      <c r="K236" s="39"/>
      <c r="L236" s="39"/>
    </row>
    <row r="237" spans="2:12">
      <c r="B237" s="273"/>
      <c r="C237" s="39"/>
      <c r="D237" s="39" t="s">
        <v>361</v>
      </c>
      <c r="E237" s="39"/>
      <c r="F237" s="455"/>
      <c r="G237" s="455"/>
      <c r="H237" s="455"/>
      <c r="I237" s="455"/>
      <c r="J237" s="455"/>
      <c r="K237" s="39"/>
      <c r="L237" s="39"/>
    </row>
    <row r="238" spans="2:12">
      <c r="B238" s="273">
        <f>MAX($B$68:B237)+1</f>
        <v>77</v>
      </c>
      <c r="C238" s="39"/>
      <c r="D238" s="476" t="s">
        <v>368</v>
      </c>
      <c r="E238" s="39"/>
      <c r="F238" s="29">
        <v>28200</v>
      </c>
      <c r="G238" s="455"/>
      <c r="H238" s="29">
        <f>H44</f>
        <v>111.50384979625937</v>
      </c>
      <c r="I238" s="455"/>
      <c r="J238" s="11">
        <f t="shared" ref="J238" si="24">H238/F238*100</f>
        <v>0.39540372268177082</v>
      </c>
      <c r="K238" s="39"/>
      <c r="L238" s="39"/>
    </row>
    <row r="239" spans="2:12">
      <c r="B239" s="273">
        <f>MAX($B$68:B238)+1</f>
        <v>78</v>
      </c>
      <c r="C239" s="39"/>
      <c r="D239" s="39" t="str">
        <f>"Total "&amp;D236</f>
        <v>Total Rate T3</v>
      </c>
      <c r="E239" s="39"/>
      <c r="F239" s="470">
        <f>F238</f>
        <v>28200</v>
      </c>
      <c r="G239" s="455"/>
      <c r="H239" s="470">
        <f>H238</f>
        <v>111.50384979625937</v>
      </c>
      <c r="I239" s="455"/>
      <c r="J239" s="472">
        <f>J238</f>
        <v>0.39540372268177082</v>
      </c>
      <c r="K239" s="39"/>
      <c r="L239" s="39"/>
    </row>
    <row r="240" spans="2:12">
      <c r="B240" s="39"/>
      <c r="C240" s="39"/>
      <c r="D240" s="39"/>
      <c r="E240" s="39"/>
      <c r="F240" s="39"/>
      <c r="G240" s="39"/>
      <c r="H240" s="39"/>
      <c r="I240" s="39"/>
      <c r="J240" s="39"/>
      <c r="K240" s="39"/>
      <c r="L240" s="39"/>
    </row>
    <row r="241" spans="2:12" ht="12.95" thickBot="1">
      <c r="B241" s="273">
        <f>MAX($B$68:B240)+1</f>
        <v>79</v>
      </c>
      <c r="C241" s="467"/>
      <c r="D241" s="458" t="s">
        <v>155</v>
      </c>
      <c r="E241" s="39"/>
      <c r="F241" s="39"/>
      <c r="G241" s="39"/>
      <c r="H241" s="478">
        <f>SUM(H238,H234,H224,H213,H210,H202,H194,H184,H176)</f>
        <v>61115.598286041946</v>
      </c>
      <c r="I241" s="39"/>
      <c r="J241" s="39"/>
      <c r="K241" s="39"/>
      <c r="L241" s="39"/>
    </row>
    <row r="242" spans="2:12" ht="12.95" thickTop="1">
      <c r="B242" s="39"/>
      <c r="C242" s="39"/>
      <c r="D242" s="39"/>
      <c r="E242" s="39"/>
      <c r="F242" s="39"/>
      <c r="G242" s="39"/>
      <c r="H242" s="39"/>
      <c r="I242" s="479"/>
      <c r="J242" s="479"/>
      <c r="K242" s="39"/>
      <c r="L242" s="480"/>
    </row>
    <row r="243" spans="2:12">
      <c r="B243" s="468" t="s">
        <v>80</v>
      </c>
      <c r="C243" s="39"/>
      <c r="D243" s="39"/>
      <c r="E243" s="39"/>
      <c r="F243" s="39"/>
      <c r="G243" s="39"/>
      <c r="H243" s="39"/>
      <c r="I243" s="480"/>
      <c r="J243" s="480"/>
      <c r="K243" s="39"/>
      <c r="L243" s="480"/>
    </row>
    <row r="244" spans="2:12">
      <c r="B244" s="481" t="s">
        <v>40</v>
      </c>
      <c r="C244" s="480"/>
      <c r="D244" s="1170" t="s">
        <v>876</v>
      </c>
      <c r="E244" s="1170"/>
      <c r="F244" s="1170"/>
      <c r="G244" s="1170"/>
      <c r="H244" s="1170"/>
      <c r="I244" s="39"/>
      <c r="J244" s="39"/>
      <c r="K244" s="39"/>
      <c r="L244" s="39"/>
    </row>
    <row r="245" spans="2:12">
      <c r="B245" s="481" t="s">
        <v>20</v>
      </c>
      <c r="C245" s="39"/>
      <c r="D245" s="1171" t="s">
        <v>877</v>
      </c>
      <c r="E245" s="1171"/>
      <c r="F245" s="1171"/>
      <c r="G245" s="1171"/>
      <c r="H245" s="1171"/>
      <c r="I245" s="39"/>
      <c r="J245" s="39"/>
      <c r="K245" s="39"/>
      <c r="L245" s="39"/>
    </row>
    <row r="246" spans="2:12">
      <c r="B246" s="39"/>
      <c r="C246" s="39"/>
      <c r="D246" s="39"/>
      <c r="E246" s="39"/>
      <c r="F246" s="39"/>
      <c r="G246" s="39"/>
      <c r="H246" s="39"/>
      <c r="I246" s="39"/>
      <c r="J246" s="33"/>
      <c r="K246" s="39"/>
      <c r="L246" s="39"/>
    </row>
    <row r="247" spans="2:12">
      <c r="B247" s="39"/>
      <c r="C247" s="39"/>
      <c r="D247" s="39"/>
      <c r="E247" s="39"/>
      <c r="F247" s="39"/>
      <c r="G247" s="39"/>
      <c r="H247" s="39"/>
      <c r="I247" s="39"/>
      <c r="J247" s="33"/>
      <c r="K247" s="39"/>
      <c r="L247" s="39"/>
    </row>
    <row r="248" spans="2:12">
      <c r="B248" s="39"/>
      <c r="C248" s="39"/>
      <c r="D248" s="39"/>
      <c r="E248" s="39"/>
      <c r="F248" s="39"/>
      <c r="G248" s="39"/>
      <c r="H248" s="39"/>
      <c r="I248" s="39"/>
      <c r="J248" s="469"/>
      <c r="K248" s="39"/>
      <c r="L248" s="39"/>
    </row>
    <row r="249" spans="2:12">
      <c r="B249" s="39"/>
      <c r="C249" s="39"/>
      <c r="D249" s="39"/>
      <c r="E249" s="39"/>
      <c r="F249" s="39"/>
      <c r="G249" s="39"/>
      <c r="H249" s="39"/>
      <c r="I249" s="39"/>
      <c r="J249" s="39"/>
      <c r="K249" s="39"/>
      <c r="L249" s="39"/>
    </row>
    <row r="250" spans="2:12">
      <c r="B250" s="39"/>
      <c r="C250" s="39"/>
      <c r="D250" s="39"/>
      <c r="E250" s="39"/>
      <c r="F250" s="39"/>
      <c r="G250" s="39"/>
      <c r="H250" s="39"/>
      <c r="I250" s="39"/>
      <c r="J250" s="39"/>
      <c r="K250" s="39"/>
      <c r="L250" s="39"/>
    </row>
    <row r="251" spans="2:12">
      <c r="B251" s="39"/>
      <c r="C251" s="39"/>
      <c r="D251" s="39"/>
      <c r="E251" s="39"/>
      <c r="F251" s="39"/>
      <c r="G251" s="39"/>
      <c r="H251" s="39"/>
      <c r="I251" s="39"/>
      <c r="J251" s="39"/>
      <c r="K251" s="39"/>
      <c r="L251" s="39"/>
    </row>
    <row r="252" spans="2:12">
      <c r="B252" s="39"/>
      <c r="C252" s="39"/>
      <c r="D252" s="39"/>
      <c r="E252" s="39"/>
      <c r="F252" s="39"/>
      <c r="G252" s="39"/>
      <c r="H252" s="39"/>
      <c r="I252" s="39"/>
      <c r="J252" s="39"/>
      <c r="K252" s="39"/>
      <c r="L252" s="39"/>
    </row>
    <row r="253" spans="2:12">
      <c r="B253" s="39"/>
      <c r="C253" s="39"/>
      <c r="D253" s="39"/>
      <c r="E253" s="39"/>
      <c r="F253" s="39"/>
      <c r="G253" s="39"/>
      <c r="H253" s="39"/>
      <c r="I253" s="39"/>
      <c r="J253" s="39"/>
      <c r="K253" s="39"/>
      <c r="L253" s="39"/>
    </row>
    <row r="254" spans="2:12">
      <c r="B254" s="39"/>
      <c r="C254" s="39"/>
      <c r="D254" s="39"/>
      <c r="E254" s="39"/>
      <c r="F254" s="39"/>
      <c r="G254" s="39"/>
      <c r="H254" s="39"/>
      <c r="I254" s="39"/>
      <c r="J254" s="39"/>
      <c r="K254" s="39"/>
      <c r="L254" s="39"/>
    </row>
    <row r="255" spans="2:12">
      <c r="B255" s="39"/>
      <c r="C255" s="39"/>
      <c r="D255" s="39"/>
      <c r="E255" s="39"/>
      <c r="F255" s="39"/>
      <c r="G255" s="39"/>
      <c r="H255" s="39"/>
      <c r="I255" s="39"/>
      <c r="J255" s="39"/>
      <c r="K255" s="39"/>
      <c r="L255" s="39"/>
    </row>
    <row r="277" spans="10:10">
      <c r="J277" s="34"/>
    </row>
  </sheetData>
  <mergeCells count="10">
    <mergeCell ref="B6:L6"/>
    <mergeCell ref="D244:H244"/>
    <mergeCell ref="D245:H245"/>
    <mergeCell ref="B57:L57"/>
    <mergeCell ref="B119:L119"/>
    <mergeCell ref="B165:L165"/>
    <mergeCell ref="D51:L51"/>
    <mergeCell ref="B58:L58"/>
    <mergeCell ref="B120:L120"/>
    <mergeCell ref="B166:L166"/>
  </mergeCells>
  <pageMargins left="0.7" right="0.7" top="0.75" bottom="0.75" header="0.3" footer="0.3"/>
  <pageSetup scale="62" orientation="portrait" r:id="rId1"/>
  <headerFooter>
    <oddHeader>&amp;R&amp;10Filed: 2024-02-16
EB-2022-0200
Rate Order
Working Papers
Schedule 22
Page &amp;P of 5</oddHeader>
  </headerFooter>
  <rowBreaks count="4" manualBreakCount="4">
    <brk id="51" max="12" man="1"/>
    <brk id="113" max="12" man="1"/>
    <brk id="162" max="12" man="1"/>
    <brk id="255"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87C56-EBE7-445F-A666-EE5D874CDF6E}">
  <sheetPr>
    <pageSetUpPr fitToPage="1"/>
  </sheetPr>
  <dimension ref="A6:AF66"/>
  <sheetViews>
    <sheetView view="pageBreakPreview" topLeftCell="A26" zoomScaleNormal="80" zoomScaleSheetLayoutView="100" workbookViewId="0">
      <selection activeCell="O29" sqref="O29"/>
    </sheetView>
  </sheetViews>
  <sheetFormatPr defaultColWidth="8.125" defaultRowHeight="12.6"/>
  <cols>
    <col min="1" max="1" width="5" style="18" customWidth="1"/>
    <col min="2" max="2" width="1.625" style="18" customWidth="1"/>
    <col min="3" max="3" width="24.625" style="18" customWidth="1"/>
    <col min="4" max="4" width="1.625" style="18" customWidth="1"/>
    <col min="5" max="5" width="7.125" style="18" customWidth="1"/>
    <col min="6" max="6" width="1.625" style="18" customWidth="1"/>
    <col min="7" max="7" width="10.5" style="18" customWidth="1"/>
    <col min="8" max="8" width="1.625" style="18" customWidth="1"/>
    <col min="9" max="9" width="10.5" style="18" customWidth="1"/>
    <col min="10" max="10" width="1.625" style="18" customWidth="1"/>
    <col min="11" max="11" width="9" style="18" customWidth="1"/>
    <col min="12" max="12" width="1.625" style="18" customWidth="1"/>
    <col min="13" max="13" width="10.75" style="18" customWidth="1"/>
    <col min="14" max="14" width="1.625" style="18" customWidth="1"/>
    <col min="15" max="15" width="12" style="18" customWidth="1"/>
    <col min="16" max="16" width="1.625" style="18" customWidth="1"/>
    <col min="17" max="17" width="11.25" style="18" customWidth="1"/>
    <col min="18" max="18" width="1.625" style="18" customWidth="1"/>
    <col min="19" max="19" width="8.75" style="18" customWidth="1"/>
    <col min="20" max="20" width="1.625" style="18" customWidth="1"/>
    <col min="21" max="21" width="12" style="18" customWidth="1"/>
    <col min="22" max="22" width="1.625" style="18" customWidth="1"/>
    <col min="23" max="23" width="8.625" style="18" customWidth="1"/>
    <col min="24" max="24" width="1.625" style="18" customWidth="1"/>
    <col min="25" max="25" width="9.5" style="18" customWidth="1"/>
    <col min="26" max="26" width="1.5" style="18" customWidth="1"/>
    <col min="27" max="28" width="7.125" style="18" customWidth="1"/>
    <col min="29" max="29" width="12.625" style="18" customWidth="1"/>
    <col min="30" max="31" width="10" style="18" customWidth="1"/>
    <col min="32" max="16384" width="8.125" style="18"/>
  </cols>
  <sheetData>
    <row r="6" spans="1:30">
      <c r="A6" s="1173" t="s">
        <v>878</v>
      </c>
      <c r="B6" s="1173"/>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21"/>
      <c r="AB6" s="21"/>
    </row>
    <row r="8" spans="1:30" ht="12.95">
      <c r="A8" s="39"/>
      <c r="B8" s="39"/>
      <c r="C8" s="39"/>
      <c r="D8" s="39"/>
      <c r="E8" s="39"/>
      <c r="F8" s="39"/>
      <c r="G8" s="35"/>
      <c r="H8" s="35"/>
      <c r="I8" s="35"/>
      <c r="J8" s="35"/>
      <c r="K8" s="35"/>
      <c r="L8" s="20"/>
      <c r="M8" s="20"/>
      <c r="N8" s="39"/>
      <c r="O8" s="35"/>
      <c r="P8" s="35"/>
      <c r="Q8" s="20"/>
      <c r="R8" s="39"/>
      <c r="S8" s="35"/>
      <c r="T8" s="35"/>
      <c r="U8" s="20"/>
      <c r="V8" s="39"/>
      <c r="W8" s="35"/>
      <c r="X8" s="35"/>
      <c r="Y8" s="20"/>
    </row>
    <row r="9" spans="1:30">
      <c r="A9" s="39"/>
      <c r="B9" s="39"/>
      <c r="C9" s="39"/>
      <c r="D9" s="39"/>
      <c r="E9" s="39"/>
      <c r="F9" s="39"/>
      <c r="G9" s="1174" t="s">
        <v>879</v>
      </c>
      <c r="H9" s="1174"/>
      <c r="I9" s="1174"/>
      <c r="J9" s="1174"/>
      <c r="K9" s="1174"/>
      <c r="L9" s="19"/>
      <c r="M9" s="19"/>
      <c r="N9" s="39"/>
      <c r="O9" s="1174" t="s">
        <v>880</v>
      </c>
      <c r="P9" s="1174"/>
      <c r="Q9" s="1174"/>
      <c r="R9" s="39"/>
      <c r="S9" s="1174" t="s">
        <v>881</v>
      </c>
      <c r="T9" s="1174"/>
      <c r="U9" s="1174"/>
      <c r="V9" s="39"/>
      <c r="W9" s="1174" t="s">
        <v>8</v>
      </c>
      <c r="X9" s="1174"/>
      <c r="Y9" s="1174"/>
    </row>
    <row r="10" spans="1:30">
      <c r="A10" s="39"/>
      <c r="B10" s="39"/>
      <c r="C10" s="39"/>
      <c r="D10" s="39"/>
      <c r="E10" s="39"/>
      <c r="F10" s="39"/>
      <c r="G10" s="19"/>
      <c r="H10" s="19"/>
      <c r="I10" s="19"/>
      <c r="J10" s="19"/>
      <c r="K10" s="19"/>
      <c r="L10" s="488"/>
      <c r="M10" s="137"/>
      <c r="N10" s="39"/>
      <c r="O10" s="19"/>
      <c r="P10" s="19"/>
      <c r="Q10" s="137"/>
      <c r="R10" s="39"/>
      <c r="S10" s="19"/>
      <c r="T10" s="19"/>
      <c r="U10" s="137"/>
      <c r="V10" s="39"/>
      <c r="W10" s="19"/>
      <c r="X10" s="19"/>
      <c r="Y10" s="137"/>
    </row>
    <row r="11" spans="1:30">
      <c r="A11" s="39"/>
      <c r="B11" s="39"/>
      <c r="C11" s="39"/>
      <c r="D11" s="39"/>
      <c r="E11" s="39"/>
      <c r="F11" s="39"/>
      <c r="G11" s="488"/>
      <c r="H11" s="488"/>
      <c r="I11" s="488"/>
      <c r="J11" s="488"/>
      <c r="K11" s="488"/>
      <c r="L11" s="488"/>
      <c r="M11" s="137" t="s">
        <v>882</v>
      </c>
      <c r="N11" s="39"/>
      <c r="O11" s="137" t="s">
        <v>883</v>
      </c>
      <c r="P11" s="137"/>
      <c r="Q11" s="137"/>
      <c r="R11" s="39"/>
      <c r="S11" s="137" t="s">
        <v>883</v>
      </c>
      <c r="T11" s="137"/>
      <c r="U11" s="137"/>
      <c r="V11" s="39"/>
      <c r="W11" s="137" t="s">
        <v>883</v>
      </c>
      <c r="X11" s="137"/>
      <c r="Y11" s="137"/>
    </row>
    <row r="12" spans="1:30">
      <c r="A12" s="273" t="s">
        <v>56</v>
      </c>
      <c r="B12" s="39"/>
      <c r="C12" s="39"/>
      <c r="D12" s="39"/>
      <c r="E12" s="273" t="s">
        <v>233</v>
      </c>
      <c r="F12" s="39"/>
      <c r="G12" s="137"/>
      <c r="H12" s="137"/>
      <c r="I12" s="137"/>
      <c r="J12" s="137"/>
      <c r="K12" s="137" t="s">
        <v>884</v>
      </c>
      <c r="L12" s="488"/>
      <c r="M12" s="137" t="s">
        <v>242</v>
      </c>
      <c r="N12" s="39"/>
      <c r="O12" s="137" t="s">
        <v>885</v>
      </c>
      <c r="P12" s="137"/>
      <c r="Q12" s="137" t="s">
        <v>101</v>
      </c>
      <c r="R12" s="39"/>
      <c r="S12" s="137" t="s">
        <v>886</v>
      </c>
      <c r="T12" s="137"/>
      <c r="U12" s="137" t="s">
        <v>101</v>
      </c>
      <c r="V12" s="39"/>
      <c r="W12" s="137" t="s">
        <v>856</v>
      </c>
      <c r="X12" s="137"/>
      <c r="Y12" s="137" t="s">
        <v>101</v>
      </c>
    </row>
    <row r="13" spans="1:30">
      <c r="A13" s="27" t="s">
        <v>57</v>
      </c>
      <c r="B13" s="39"/>
      <c r="C13" s="451" t="s">
        <v>194</v>
      </c>
      <c r="D13" s="39"/>
      <c r="E13" s="27" t="s">
        <v>245</v>
      </c>
      <c r="F13" s="39"/>
      <c r="G13" s="139" t="s">
        <v>887</v>
      </c>
      <c r="H13" s="137"/>
      <c r="I13" s="139" t="s">
        <v>880</v>
      </c>
      <c r="J13" s="137"/>
      <c r="K13" s="139" t="s">
        <v>880</v>
      </c>
      <c r="L13" s="488"/>
      <c r="M13" s="27" t="s">
        <v>859</v>
      </c>
      <c r="N13" s="39"/>
      <c r="O13" s="139" t="s">
        <v>248</v>
      </c>
      <c r="P13" s="137"/>
      <c r="Q13" s="139" t="s">
        <v>248</v>
      </c>
      <c r="R13" s="39"/>
      <c r="S13" s="139" t="s">
        <v>248</v>
      </c>
      <c r="T13" s="137"/>
      <c r="U13" s="139" t="s">
        <v>248</v>
      </c>
      <c r="V13" s="39"/>
      <c r="W13" s="139" t="s">
        <v>248</v>
      </c>
      <c r="X13" s="137"/>
      <c r="Y13" s="139" t="s">
        <v>248</v>
      </c>
    </row>
    <row r="14" spans="1:30">
      <c r="A14" s="273"/>
      <c r="B14" s="39"/>
      <c r="C14" s="39"/>
      <c r="D14" s="39"/>
      <c r="E14" s="39"/>
      <c r="F14" s="39"/>
      <c r="G14" s="137" t="s">
        <v>9</v>
      </c>
      <c r="H14" s="137"/>
      <c r="I14" s="489" t="s">
        <v>10</v>
      </c>
      <c r="J14" s="489"/>
      <c r="K14" s="489" t="s">
        <v>522</v>
      </c>
      <c r="L14" s="137"/>
      <c r="M14" s="137" t="s">
        <v>12</v>
      </c>
      <c r="N14" s="39"/>
      <c r="O14" s="137" t="s">
        <v>13</v>
      </c>
      <c r="P14" s="137"/>
      <c r="Q14" s="137" t="s">
        <v>888</v>
      </c>
      <c r="R14" s="39"/>
      <c r="S14" s="137" t="s">
        <v>209</v>
      </c>
      <c r="T14" s="137"/>
      <c r="U14" s="137" t="s">
        <v>889</v>
      </c>
      <c r="V14" s="39"/>
      <c r="W14" s="137" t="s">
        <v>118</v>
      </c>
      <c r="X14" s="137"/>
      <c r="Y14" s="137" t="s">
        <v>890</v>
      </c>
      <c r="AC14" s="484"/>
      <c r="AD14" s="484"/>
    </row>
    <row r="15" spans="1:30">
      <c r="A15" s="273"/>
      <c r="B15" s="39"/>
      <c r="C15" s="39"/>
      <c r="D15" s="39"/>
      <c r="E15" s="39"/>
      <c r="F15" s="39"/>
      <c r="G15" s="39"/>
      <c r="H15" s="39"/>
      <c r="I15" s="39"/>
      <c r="J15" s="39"/>
      <c r="K15" s="39"/>
      <c r="L15" s="39"/>
      <c r="M15" s="39"/>
      <c r="N15" s="39"/>
      <c r="O15" s="39"/>
      <c r="P15" s="39"/>
      <c r="Q15" s="39"/>
      <c r="R15" s="39"/>
      <c r="S15" s="39"/>
      <c r="T15" s="39"/>
      <c r="U15" s="39"/>
      <c r="V15" s="39"/>
      <c r="W15" s="39"/>
      <c r="X15" s="39"/>
      <c r="Y15" s="39"/>
      <c r="AC15" s="484"/>
      <c r="AD15" s="484"/>
    </row>
    <row r="16" spans="1:30">
      <c r="A16" s="273"/>
      <c r="B16" s="39"/>
      <c r="C16" s="9" t="s">
        <v>891</v>
      </c>
      <c r="D16" s="39"/>
      <c r="E16" s="39"/>
      <c r="F16" s="39"/>
      <c r="G16" s="39"/>
      <c r="H16" s="39"/>
      <c r="I16" s="39"/>
      <c r="J16" s="39"/>
      <c r="K16" s="39"/>
      <c r="L16" s="39"/>
      <c r="M16" s="39"/>
      <c r="N16" s="39"/>
      <c r="O16" s="39"/>
      <c r="P16" s="39"/>
      <c r="Q16" s="39"/>
      <c r="R16" s="39"/>
      <c r="S16" s="39"/>
      <c r="T16" s="39"/>
      <c r="U16" s="39"/>
      <c r="V16" s="39"/>
      <c r="W16" s="39"/>
      <c r="X16" s="39"/>
      <c r="Y16" s="39"/>
      <c r="AC16" s="484"/>
      <c r="AD16" s="484"/>
    </row>
    <row r="17" spans="1:31">
      <c r="A17" s="6">
        <v>1</v>
      </c>
      <c r="B17" s="39"/>
      <c r="C17" s="16" t="s">
        <v>258</v>
      </c>
      <c r="D17" s="39"/>
      <c r="E17" s="273" t="s">
        <v>259</v>
      </c>
      <c r="F17" s="39"/>
      <c r="G17" s="36">
        <v>25957058</v>
      </c>
      <c r="H17" s="36"/>
      <c r="I17" s="36">
        <f>G17</f>
        <v>25957058</v>
      </c>
      <c r="J17" s="36"/>
      <c r="K17" s="36">
        <v>0</v>
      </c>
      <c r="L17" s="39"/>
      <c r="M17" s="37">
        <v>2.2523657482546349</v>
      </c>
      <c r="N17" s="39"/>
      <c r="O17" s="38"/>
      <c r="P17" s="39"/>
      <c r="Q17" s="36">
        <f>$M17*I17/1000</f>
        <v>58464.788364658962</v>
      </c>
      <c r="R17" s="39"/>
      <c r="S17" s="39"/>
      <c r="T17" s="39"/>
      <c r="U17" s="36">
        <f>$M17*K17/1000</f>
        <v>0</v>
      </c>
      <c r="V17" s="39"/>
      <c r="W17" s="39"/>
      <c r="X17" s="39"/>
      <c r="Y17" s="36">
        <f>Q17+U17</f>
        <v>58464.788364658962</v>
      </c>
      <c r="AC17" s="485"/>
      <c r="AD17" s="485"/>
    </row>
    <row r="18" spans="1:31">
      <c r="A18" s="6"/>
      <c r="B18" s="39"/>
      <c r="C18" s="16" t="s">
        <v>501</v>
      </c>
      <c r="D18" s="39"/>
      <c r="E18" s="273"/>
      <c r="F18" s="39"/>
      <c r="G18" s="36"/>
      <c r="H18" s="36"/>
      <c r="I18" s="36"/>
      <c r="J18" s="36"/>
      <c r="K18" s="36"/>
      <c r="L18" s="39"/>
      <c r="M18" s="39"/>
      <c r="N18" s="39"/>
      <c r="O18" s="36"/>
      <c r="P18" s="39"/>
      <c r="Q18" s="40"/>
      <c r="R18" s="39"/>
      <c r="S18" s="39"/>
      <c r="T18" s="39"/>
      <c r="U18" s="40"/>
      <c r="V18" s="39"/>
      <c r="W18" s="39"/>
      <c r="X18" s="39"/>
      <c r="Y18" s="40"/>
      <c r="AC18" s="485"/>
      <c r="AD18" s="485"/>
    </row>
    <row r="19" spans="1:31">
      <c r="A19" s="6">
        <f>MAX(A$17:A18)+1</f>
        <v>2</v>
      </c>
      <c r="B19" s="39"/>
      <c r="C19" s="12" t="s">
        <v>261</v>
      </c>
      <c r="D19" s="39"/>
      <c r="E19" s="273" t="s">
        <v>262</v>
      </c>
      <c r="F19" s="39"/>
      <c r="G19" s="36">
        <v>712504.72543658817</v>
      </c>
      <c r="H19" s="36"/>
      <c r="I19" s="36">
        <f>G19</f>
        <v>712504.72543658817</v>
      </c>
      <c r="J19" s="36"/>
      <c r="K19" s="36">
        <v>0</v>
      </c>
      <c r="L19" s="39"/>
      <c r="M19" s="41">
        <v>0.20899999999999999</v>
      </c>
      <c r="N19" s="39"/>
      <c r="O19" s="38"/>
      <c r="P19" s="39"/>
      <c r="Q19" s="36">
        <f>$M19*I19/100</f>
        <v>1489.1348761624693</v>
      </c>
      <c r="R19" s="39"/>
      <c r="S19" s="39"/>
      <c r="T19" s="39"/>
      <c r="U19" s="36">
        <f>$M19*K19/100</f>
        <v>0</v>
      </c>
      <c r="V19" s="39"/>
      <c r="W19" s="39"/>
      <c r="X19" s="39"/>
      <c r="Y19" s="36">
        <f t="shared" ref="Y19:Y22" si="0">Q19+U19</f>
        <v>1489.1348761624693</v>
      </c>
      <c r="AC19" s="485"/>
      <c r="AD19" s="485"/>
    </row>
    <row r="20" spans="1:31">
      <c r="A20" s="6">
        <f>MAX(A$17:A19)+1</f>
        <v>3</v>
      </c>
      <c r="B20" s="39"/>
      <c r="C20" s="12" t="s">
        <v>263</v>
      </c>
      <c r="D20" s="39"/>
      <c r="E20" s="273" t="s">
        <v>262</v>
      </c>
      <c r="F20" s="39"/>
      <c r="G20" s="36">
        <v>1022924.1636396735</v>
      </c>
      <c r="H20" s="36"/>
      <c r="I20" s="36">
        <f t="shared" ref="I20:I22" si="1">G20</f>
        <v>1022924.1636396735</v>
      </c>
      <c r="J20" s="36"/>
      <c r="K20" s="36">
        <v>0</v>
      </c>
      <c r="L20" s="39"/>
      <c r="M20" s="41">
        <v>0.20899999999999999</v>
      </c>
      <c r="N20" s="39"/>
      <c r="O20" s="38"/>
      <c r="P20" s="39"/>
      <c r="Q20" s="36">
        <f t="shared" ref="Q20:Q22" si="2">$M20*I20/100</f>
        <v>2137.9115020069175</v>
      </c>
      <c r="R20" s="39"/>
      <c r="S20" s="39"/>
      <c r="T20" s="39"/>
      <c r="U20" s="36">
        <f>$M20*K20/100</f>
        <v>0</v>
      </c>
      <c r="V20" s="39"/>
      <c r="W20" s="39"/>
      <c r="X20" s="39"/>
      <c r="Y20" s="36">
        <f t="shared" si="0"/>
        <v>2137.9115020069175</v>
      </c>
      <c r="AC20" s="485"/>
      <c r="AD20" s="485"/>
    </row>
    <row r="21" spans="1:31">
      <c r="A21" s="6">
        <f>MAX(A$17:A20)+1</f>
        <v>4</v>
      </c>
      <c r="B21" s="39"/>
      <c r="C21" s="12" t="s">
        <v>264</v>
      </c>
      <c r="D21" s="39"/>
      <c r="E21" s="273" t="s">
        <v>262</v>
      </c>
      <c r="F21" s="39"/>
      <c r="G21" s="36">
        <v>1109755.6772268531</v>
      </c>
      <c r="H21" s="36"/>
      <c r="I21" s="36">
        <f t="shared" si="1"/>
        <v>1109755.6772268531</v>
      </c>
      <c r="J21" s="36"/>
      <c r="K21" s="36">
        <v>0</v>
      </c>
      <c r="L21" s="39"/>
      <c r="M21" s="41">
        <v>0.20899999999999999</v>
      </c>
      <c r="N21" s="39"/>
      <c r="O21" s="38"/>
      <c r="P21" s="39"/>
      <c r="Q21" s="36">
        <f t="shared" si="2"/>
        <v>2319.3893654041226</v>
      </c>
      <c r="R21" s="39"/>
      <c r="S21" s="39"/>
      <c r="T21" s="39"/>
      <c r="U21" s="36">
        <f>$M21*K21/100</f>
        <v>0</v>
      </c>
      <c r="V21" s="39"/>
      <c r="W21" s="39"/>
      <c r="X21" s="39"/>
      <c r="Y21" s="36">
        <f t="shared" si="0"/>
        <v>2319.3893654041226</v>
      </c>
      <c r="AC21" s="485"/>
      <c r="AD21" s="485"/>
    </row>
    <row r="22" spans="1:31">
      <c r="A22" s="6">
        <f>MAX(A$17:A21)+1</f>
        <v>5</v>
      </c>
      <c r="B22" s="39"/>
      <c r="C22" s="12" t="s">
        <v>892</v>
      </c>
      <c r="D22" s="39"/>
      <c r="E22" s="273" t="s">
        <v>262</v>
      </c>
      <c r="F22" s="39"/>
      <c r="G22" s="36">
        <v>2166403.060431628</v>
      </c>
      <c r="H22" s="36"/>
      <c r="I22" s="36">
        <f t="shared" si="1"/>
        <v>2166403.060431628</v>
      </c>
      <c r="J22" s="36"/>
      <c r="K22" s="36">
        <v>0</v>
      </c>
      <c r="L22" s="39"/>
      <c r="M22" s="41">
        <v>0.20899999999999999</v>
      </c>
      <c r="N22" s="39"/>
      <c r="O22" s="38"/>
      <c r="P22" s="39"/>
      <c r="Q22" s="36">
        <f t="shared" si="2"/>
        <v>4527.7823963021019</v>
      </c>
      <c r="R22" s="39"/>
      <c r="S22" s="39"/>
      <c r="T22" s="39"/>
      <c r="U22" s="36">
        <f>$M22*K22/100</f>
        <v>0</v>
      </c>
      <c r="V22" s="39"/>
      <c r="W22" s="39"/>
      <c r="X22" s="39"/>
      <c r="Y22" s="36">
        <f t="shared" si="0"/>
        <v>4527.7823963021019</v>
      </c>
      <c r="AC22" s="485"/>
      <c r="AD22" s="485"/>
    </row>
    <row r="23" spans="1:31">
      <c r="A23" s="6">
        <f>MAX(A$17:A22)+1</f>
        <v>6</v>
      </c>
      <c r="B23" s="39"/>
      <c r="C23" s="39" t="s">
        <v>501</v>
      </c>
      <c r="D23" s="39"/>
      <c r="E23" s="273"/>
      <c r="F23" s="39"/>
      <c r="G23" s="42">
        <f>SUM(G19:G22)</f>
        <v>5011587.6267347429</v>
      </c>
      <c r="H23" s="36"/>
      <c r="I23" s="42">
        <f t="shared" ref="I23:K23" si="3">SUM(I19:I22)</f>
        <v>5011587.6267347429</v>
      </c>
      <c r="J23" s="36"/>
      <c r="K23" s="42">
        <f t="shared" si="3"/>
        <v>0</v>
      </c>
      <c r="L23" s="39"/>
      <c r="M23" s="41"/>
      <c r="N23" s="39"/>
      <c r="O23" s="38"/>
      <c r="P23" s="39"/>
      <c r="Q23" s="42">
        <f>SUM(Q19:Q22)</f>
        <v>10474.218139875611</v>
      </c>
      <c r="R23" s="39"/>
      <c r="S23" s="39"/>
      <c r="T23" s="39"/>
      <c r="U23" s="42">
        <f>SUM(U19:U22)</f>
        <v>0</v>
      </c>
      <c r="V23" s="39"/>
      <c r="W23" s="39"/>
      <c r="X23" s="39"/>
      <c r="Y23" s="42">
        <f>SUM(Y19:Y22)</f>
        <v>10474.218139875611</v>
      </c>
      <c r="AC23" s="485"/>
      <c r="AD23" s="485"/>
    </row>
    <row r="24" spans="1:31">
      <c r="A24" s="273"/>
      <c r="B24" s="39"/>
      <c r="C24" s="39"/>
      <c r="D24" s="39"/>
      <c r="E24" s="273"/>
      <c r="F24" s="39"/>
      <c r="G24" s="490"/>
      <c r="H24" s="490"/>
      <c r="I24" s="490"/>
      <c r="J24" s="490"/>
      <c r="K24" s="490"/>
      <c r="L24" s="39"/>
      <c r="M24" s="41"/>
      <c r="N24" s="39"/>
      <c r="O24" s="38"/>
      <c r="P24" s="39"/>
      <c r="Q24" s="490"/>
      <c r="R24" s="39"/>
      <c r="S24" s="39"/>
      <c r="T24" s="39"/>
      <c r="U24" s="490"/>
      <c r="V24" s="39"/>
      <c r="W24" s="39"/>
      <c r="X24" s="39"/>
      <c r="Y24" s="490"/>
      <c r="AC24" s="486"/>
      <c r="AD24" s="486"/>
    </row>
    <row r="25" spans="1:31">
      <c r="A25" s="6">
        <f>MAX(A$17:A24)+1</f>
        <v>7</v>
      </c>
      <c r="B25" s="39"/>
      <c r="C25" s="39" t="s">
        <v>271</v>
      </c>
      <c r="D25" s="39"/>
      <c r="E25" s="273"/>
      <c r="F25" s="39"/>
      <c r="G25" s="490"/>
      <c r="H25" s="490"/>
      <c r="I25" s="490"/>
      <c r="J25" s="490"/>
      <c r="K25" s="490"/>
      <c r="L25" s="39"/>
      <c r="M25" s="41"/>
      <c r="N25" s="39"/>
      <c r="O25" s="38"/>
      <c r="P25" s="39"/>
      <c r="Q25" s="42">
        <f>Q17+Q23</f>
        <v>68939.006504534569</v>
      </c>
      <c r="R25" s="39"/>
      <c r="S25" s="39"/>
      <c r="T25" s="39"/>
      <c r="U25" s="42">
        <f>U17+U23</f>
        <v>0</v>
      </c>
      <c r="V25" s="39"/>
      <c r="W25" s="39"/>
      <c r="X25" s="39"/>
      <c r="Y25" s="42">
        <f>Y17+Y23</f>
        <v>68939.006504534569</v>
      </c>
      <c r="AC25" s="486"/>
      <c r="AD25" s="486"/>
    </row>
    <row r="26" spans="1:31">
      <c r="A26" s="39"/>
      <c r="B26" s="39"/>
      <c r="C26" s="39"/>
      <c r="D26" s="39"/>
      <c r="E26" s="273"/>
      <c r="F26" s="39"/>
      <c r="G26" s="39"/>
      <c r="H26" s="39"/>
      <c r="I26" s="39"/>
      <c r="J26" s="39"/>
      <c r="K26" s="39"/>
      <c r="L26" s="39"/>
      <c r="M26" s="39"/>
      <c r="N26" s="39"/>
      <c r="O26" s="38"/>
      <c r="P26" s="39"/>
      <c r="Q26" s="39"/>
      <c r="R26" s="39"/>
      <c r="S26" s="39"/>
      <c r="T26" s="39"/>
      <c r="U26" s="39"/>
      <c r="V26" s="39"/>
      <c r="W26" s="39"/>
      <c r="X26" s="39"/>
      <c r="Y26" s="39"/>
      <c r="AC26" s="484"/>
      <c r="AD26" s="484"/>
    </row>
    <row r="27" spans="1:31">
      <c r="A27" s="273"/>
      <c r="B27" s="39"/>
      <c r="C27" s="9" t="s">
        <v>893</v>
      </c>
      <c r="D27" s="39"/>
      <c r="E27" s="273"/>
      <c r="F27" s="39"/>
      <c r="G27" s="39"/>
      <c r="H27" s="39"/>
      <c r="I27" s="39"/>
      <c r="J27" s="39"/>
      <c r="K27" s="39"/>
      <c r="L27" s="39"/>
      <c r="M27" s="39"/>
      <c r="N27" s="39"/>
      <c r="O27" s="38"/>
      <c r="P27" s="39"/>
      <c r="Q27" s="39"/>
      <c r="R27" s="39"/>
      <c r="S27" s="39"/>
      <c r="T27" s="39"/>
      <c r="U27" s="39"/>
      <c r="V27" s="39"/>
      <c r="W27" s="39"/>
      <c r="X27" s="39"/>
      <c r="Y27" s="39"/>
      <c r="AC27" s="484"/>
      <c r="AD27" s="484"/>
    </row>
    <row r="28" spans="1:31">
      <c r="A28" s="6">
        <f>MAX(A$17:A27)+1</f>
        <v>8</v>
      </c>
      <c r="B28" s="39"/>
      <c r="C28" s="16" t="s">
        <v>258</v>
      </c>
      <c r="D28" s="39"/>
      <c r="E28" s="273" t="s">
        <v>259</v>
      </c>
      <c r="F28" s="39"/>
      <c r="G28" s="36">
        <v>4435128.0000000037</v>
      </c>
      <c r="H28" s="36"/>
      <c r="I28" s="36">
        <v>4083428</v>
      </c>
      <c r="J28" s="36"/>
      <c r="K28" s="36">
        <v>351700</v>
      </c>
      <c r="L28" s="39"/>
      <c r="M28" s="37">
        <v>2.2523657482546349</v>
      </c>
      <c r="N28" s="39"/>
      <c r="O28" s="38"/>
      <c r="P28" s="39"/>
      <c r="Q28" s="36">
        <f>$M28*I28/1000</f>
        <v>9197.3733626639259</v>
      </c>
      <c r="R28" s="39"/>
      <c r="S28" s="39"/>
      <c r="T28" s="39"/>
      <c r="U28" s="36">
        <f>$M28*K28/1000</f>
        <v>792.15703366115508</v>
      </c>
      <c r="V28" s="39"/>
      <c r="W28" s="39"/>
      <c r="X28" s="39"/>
      <c r="Y28" s="36">
        <f>Q28+U28</f>
        <v>9989.5303963250808</v>
      </c>
      <c r="AC28" s="485"/>
      <c r="AD28" s="485"/>
    </row>
    <row r="29" spans="1:31">
      <c r="A29" s="273"/>
      <c r="B29" s="39"/>
      <c r="C29" s="16" t="s">
        <v>501</v>
      </c>
      <c r="D29" s="39"/>
      <c r="E29" s="273"/>
      <c r="F29" s="39"/>
      <c r="G29" s="36"/>
      <c r="H29" s="36"/>
      <c r="I29" s="36"/>
      <c r="J29" s="36"/>
      <c r="K29" s="36"/>
      <c r="L29" s="39"/>
      <c r="M29" s="39"/>
      <c r="N29" s="39"/>
      <c r="O29" s="38"/>
      <c r="P29" s="39"/>
      <c r="Q29" s="40"/>
      <c r="R29" s="39"/>
      <c r="S29" s="39"/>
      <c r="T29" s="39"/>
      <c r="U29" s="40"/>
      <c r="V29" s="39"/>
      <c r="W29" s="39"/>
      <c r="X29" s="39"/>
      <c r="Y29" s="40"/>
      <c r="AC29" s="485"/>
      <c r="AD29" s="485"/>
    </row>
    <row r="30" spans="1:31">
      <c r="A30" s="6">
        <f>MAX(A$17:A29)+1</f>
        <v>9</v>
      </c>
      <c r="B30" s="39"/>
      <c r="C30" s="43" t="s">
        <v>301</v>
      </c>
      <c r="D30" s="39"/>
      <c r="E30" s="273" t="s">
        <v>262</v>
      </c>
      <c r="F30" s="39"/>
      <c r="G30" s="36">
        <v>299290.46273039118</v>
      </c>
      <c r="H30" s="36"/>
      <c r="I30" s="36">
        <v>275148.81098988513</v>
      </c>
      <c r="J30" s="36"/>
      <c r="K30" s="36">
        <v>24141.651740510715</v>
      </c>
      <c r="L30" s="39"/>
      <c r="M30" s="41">
        <v>0.20899999999999999</v>
      </c>
      <c r="N30" s="39"/>
      <c r="O30" s="38"/>
      <c r="P30" s="39"/>
      <c r="Q30" s="36">
        <f t="shared" ref="Q30:Q34" si="4">$M30*I30/100</f>
        <v>575.06101496885992</v>
      </c>
      <c r="R30" s="39"/>
      <c r="S30" s="39"/>
      <c r="T30" s="39"/>
      <c r="U30" s="36">
        <f>$M30*K30/100</f>
        <v>50.456052137667392</v>
      </c>
      <c r="V30" s="39"/>
      <c r="W30" s="39"/>
      <c r="X30" s="39"/>
      <c r="Y30" s="36">
        <f t="shared" ref="Y30:Y34" si="5">Q30+U30</f>
        <v>625.51706710652729</v>
      </c>
      <c r="AC30" s="485"/>
      <c r="AD30" s="485"/>
      <c r="AE30" s="44"/>
    </row>
    <row r="31" spans="1:31">
      <c r="A31" s="6">
        <f>MAX(A$17:A30)+1</f>
        <v>10</v>
      </c>
      <c r="B31" s="39"/>
      <c r="C31" s="43" t="s">
        <v>302</v>
      </c>
      <c r="D31" s="39"/>
      <c r="E31" s="273" t="s">
        <v>262</v>
      </c>
      <c r="F31" s="39"/>
      <c r="G31" s="36">
        <v>342667.32910551433</v>
      </c>
      <c r="H31" s="36"/>
      <c r="I31" s="36">
        <v>305390.69979678956</v>
      </c>
      <c r="J31" s="36"/>
      <c r="K31" s="36">
        <v>37276.629308728734</v>
      </c>
      <c r="L31" s="39"/>
      <c r="M31" s="41">
        <v>0.20899999999999999</v>
      </c>
      <c r="N31" s="39"/>
      <c r="O31" s="38"/>
      <c r="P31" s="39"/>
      <c r="Q31" s="36">
        <f t="shared" si="4"/>
        <v>638.26656257529021</v>
      </c>
      <c r="R31" s="39"/>
      <c r="S31" s="39"/>
      <c r="T31" s="39"/>
      <c r="U31" s="36">
        <f>$M31*K31/100</f>
        <v>77.908155255243059</v>
      </c>
      <c r="V31" s="39"/>
      <c r="W31" s="39"/>
      <c r="X31" s="39"/>
      <c r="Y31" s="36">
        <f t="shared" si="5"/>
        <v>716.17471783053327</v>
      </c>
      <c r="AC31" s="485"/>
      <c r="AD31" s="485"/>
      <c r="AE31" s="44"/>
    </row>
    <row r="32" spans="1:31">
      <c r="A32" s="6">
        <f>MAX(A$17:A31)+1</f>
        <v>11</v>
      </c>
      <c r="B32" s="39"/>
      <c r="C32" s="43" t="s">
        <v>302</v>
      </c>
      <c r="D32" s="39"/>
      <c r="E32" s="273" t="s">
        <v>262</v>
      </c>
      <c r="F32" s="39"/>
      <c r="G32" s="36">
        <v>128559.93934024102</v>
      </c>
      <c r="H32" s="36"/>
      <c r="I32" s="36">
        <v>99846.327225891058</v>
      </c>
      <c r="J32" s="36"/>
      <c r="K32" s="36">
        <v>28713.612114352421</v>
      </c>
      <c r="L32" s="39"/>
      <c r="M32" s="41">
        <v>0.20899999999999999</v>
      </c>
      <c r="N32" s="39"/>
      <c r="O32" s="38"/>
      <c r="P32" s="39"/>
      <c r="Q32" s="36">
        <f t="shared" si="4"/>
        <v>208.6788239021123</v>
      </c>
      <c r="R32" s="39"/>
      <c r="S32" s="39"/>
      <c r="T32" s="39"/>
      <c r="U32" s="36">
        <f>$M32*K32/100</f>
        <v>60.011449318996554</v>
      </c>
      <c r="V32" s="39"/>
      <c r="W32" s="39"/>
      <c r="X32" s="39"/>
      <c r="Y32" s="36">
        <f t="shared" si="5"/>
        <v>268.69027322110884</v>
      </c>
      <c r="AC32" s="485"/>
      <c r="AD32" s="485"/>
      <c r="AE32" s="44"/>
    </row>
    <row r="33" spans="1:31">
      <c r="A33" s="6">
        <f>MAX(A$17:A32)+1</f>
        <v>12</v>
      </c>
      <c r="B33" s="39"/>
      <c r="C33" s="43" t="s">
        <v>304</v>
      </c>
      <c r="D33" s="39"/>
      <c r="E33" s="273" t="s">
        <v>262</v>
      </c>
      <c r="F33" s="39"/>
      <c r="G33" s="36">
        <v>86233.647863598511</v>
      </c>
      <c r="H33" s="36"/>
      <c r="I33" s="36">
        <v>36991.181550098125</v>
      </c>
      <c r="J33" s="36"/>
      <c r="K33" s="36">
        <v>49242.466313501245</v>
      </c>
      <c r="L33" s="39"/>
      <c r="M33" s="41">
        <v>0.20899999999999999</v>
      </c>
      <c r="N33" s="39"/>
      <c r="O33" s="38"/>
      <c r="P33" s="39"/>
      <c r="Q33" s="36">
        <f t="shared" si="4"/>
        <v>77.311569439705082</v>
      </c>
      <c r="R33" s="39"/>
      <c r="S33" s="39"/>
      <c r="T33" s="39"/>
      <c r="U33" s="36">
        <f>$M33*K33/100</f>
        <v>102.91675459521758</v>
      </c>
      <c r="V33" s="39"/>
      <c r="W33" s="39"/>
      <c r="X33" s="39"/>
      <c r="Y33" s="36">
        <f t="shared" si="5"/>
        <v>180.22832403492265</v>
      </c>
      <c r="AC33" s="485"/>
      <c r="AD33" s="485"/>
      <c r="AE33" s="44"/>
    </row>
    <row r="34" spans="1:31">
      <c r="A34" s="6">
        <f>MAX(A$17:A33)+1</f>
        <v>13</v>
      </c>
      <c r="B34" s="39"/>
      <c r="C34" s="43" t="s">
        <v>894</v>
      </c>
      <c r="D34" s="39"/>
      <c r="E34" s="273" t="s">
        <v>262</v>
      </c>
      <c r="F34" s="39"/>
      <c r="G34" s="36">
        <v>120128.48102739092</v>
      </c>
      <c r="H34" s="36"/>
      <c r="I34" s="36">
        <v>6970.9939065417047</v>
      </c>
      <c r="J34" s="36"/>
      <c r="K34" s="36">
        <v>113157.48712084911</v>
      </c>
      <c r="L34" s="39"/>
      <c r="M34" s="41">
        <v>0.20899999999999999</v>
      </c>
      <c r="N34" s="39"/>
      <c r="O34" s="38"/>
      <c r="P34" s="39"/>
      <c r="Q34" s="36">
        <f t="shared" si="4"/>
        <v>14.569377264672163</v>
      </c>
      <c r="R34" s="39"/>
      <c r="S34" s="39"/>
      <c r="T34" s="39"/>
      <c r="U34" s="36">
        <f>$M34*K34/100</f>
        <v>236.49914808257461</v>
      </c>
      <c r="V34" s="39"/>
      <c r="W34" s="39"/>
      <c r="X34" s="39"/>
      <c r="Y34" s="36">
        <f t="shared" si="5"/>
        <v>251.06852534724678</v>
      </c>
      <c r="AC34" s="485"/>
      <c r="AD34" s="485"/>
      <c r="AE34" s="44"/>
    </row>
    <row r="35" spans="1:31">
      <c r="A35" s="6">
        <f>MAX(A$17:A34)+1</f>
        <v>14</v>
      </c>
      <c r="B35" s="39"/>
      <c r="C35" s="39" t="s">
        <v>501</v>
      </c>
      <c r="D35" s="39"/>
      <c r="E35" s="273"/>
      <c r="F35" s="39"/>
      <c r="G35" s="42">
        <f>SUM(G30:G34)</f>
        <v>976879.860067136</v>
      </c>
      <c r="H35" s="36"/>
      <c r="I35" s="42">
        <f>SUM(I30:I34)</f>
        <v>724348.01346920559</v>
      </c>
      <c r="J35" s="36"/>
      <c r="K35" s="42">
        <f>SUM(K30:K34)</f>
        <v>252531.84659794223</v>
      </c>
      <c r="L35" s="39"/>
      <c r="M35" s="41"/>
      <c r="N35" s="39"/>
      <c r="O35" s="38"/>
      <c r="P35" s="39"/>
      <c r="Q35" s="42">
        <f>SUM(Q30:Q34)</f>
        <v>1513.8873481506398</v>
      </c>
      <c r="R35" s="39"/>
      <c r="S35" s="39"/>
      <c r="T35" s="39"/>
      <c r="U35" s="42">
        <f>SUM(U30:U34)</f>
        <v>527.79155938969916</v>
      </c>
      <c r="V35" s="39"/>
      <c r="W35" s="39"/>
      <c r="X35" s="39"/>
      <c r="Y35" s="42">
        <f>SUM(Y30:Y34)</f>
        <v>2041.678907540339</v>
      </c>
      <c r="AC35" s="485"/>
      <c r="AD35" s="485"/>
      <c r="AE35" s="44"/>
    </row>
    <row r="36" spans="1:31">
      <c r="A36" s="273"/>
      <c r="B36" s="39"/>
      <c r="C36" s="39"/>
      <c r="D36" s="39"/>
      <c r="E36" s="273"/>
      <c r="F36" s="39"/>
      <c r="G36" s="490"/>
      <c r="H36" s="490"/>
      <c r="I36" s="490"/>
      <c r="J36" s="490"/>
      <c r="K36" s="490"/>
      <c r="L36" s="39"/>
      <c r="M36" s="41"/>
      <c r="N36" s="39"/>
      <c r="O36" s="38"/>
      <c r="P36" s="39"/>
      <c r="Q36" s="490"/>
      <c r="R36" s="39"/>
      <c r="S36" s="39"/>
      <c r="T36" s="39"/>
      <c r="U36" s="490"/>
      <c r="V36" s="39"/>
      <c r="W36" s="39"/>
      <c r="X36" s="39"/>
      <c r="Y36" s="490"/>
      <c r="AC36" s="486"/>
      <c r="AD36" s="486"/>
    </row>
    <row r="37" spans="1:31">
      <c r="A37" s="6">
        <f>MAX(A$17:A36)+1</f>
        <v>15</v>
      </c>
      <c r="B37" s="39"/>
      <c r="C37" s="39" t="s">
        <v>310</v>
      </c>
      <c r="D37" s="39"/>
      <c r="E37" s="273"/>
      <c r="F37" s="39"/>
      <c r="G37" s="490"/>
      <c r="H37" s="490"/>
      <c r="I37" s="490"/>
      <c r="J37" s="490"/>
      <c r="K37" s="490"/>
      <c r="L37" s="39"/>
      <c r="M37" s="41"/>
      <c r="N37" s="39"/>
      <c r="O37" s="38"/>
      <c r="P37" s="39"/>
      <c r="Q37" s="42">
        <f>Q28+Q35</f>
        <v>10711.260710814566</v>
      </c>
      <c r="R37" s="39"/>
      <c r="S37" s="39"/>
      <c r="T37" s="39"/>
      <c r="U37" s="42">
        <f>U28+U35</f>
        <v>1319.9485930508542</v>
      </c>
      <c r="V37" s="39"/>
      <c r="W37" s="39"/>
      <c r="X37" s="39"/>
      <c r="Y37" s="42">
        <f>Y28+Y35</f>
        <v>12031.20930386542</v>
      </c>
      <c r="AC37" s="486"/>
      <c r="AD37" s="486"/>
      <c r="AE37" s="44"/>
    </row>
    <row r="38" spans="1:31">
      <c r="A38" s="39"/>
      <c r="B38" s="39"/>
      <c r="C38" s="39"/>
      <c r="D38" s="39"/>
      <c r="E38" s="273"/>
      <c r="F38" s="39"/>
      <c r="G38" s="39"/>
      <c r="H38" s="39"/>
      <c r="I38" s="39"/>
      <c r="J38" s="39"/>
      <c r="K38" s="39"/>
      <c r="L38" s="39"/>
      <c r="M38" s="39"/>
      <c r="N38" s="39"/>
      <c r="O38" s="38"/>
      <c r="P38" s="39"/>
      <c r="Q38" s="39"/>
      <c r="R38" s="39"/>
      <c r="S38" s="39"/>
      <c r="T38" s="39"/>
      <c r="U38" s="39"/>
      <c r="V38" s="39"/>
      <c r="W38" s="39"/>
      <c r="X38" s="39"/>
      <c r="Y38" s="39"/>
      <c r="AC38" s="484"/>
      <c r="AD38" s="484"/>
    </row>
    <row r="39" spans="1:31">
      <c r="A39" s="39"/>
      <c r="B39" s="39"/>
      <c r="C39" s="9" t="s">
        <v>895</v>
      </c>
      <c r="D39" s="39"/>
      <c r="E39" s="273"/>
      <c r="F39" s="39"/>
      <c r="G39" s="39"/>
      <c r="H39" s="39"/>
      <c r="I39" s="39"/>
      <c r="J39" s="39"/>
      <c r="K39" s="39"/>
      <c r="L39" s="39"/>
      <c r="M39" s="39"/>
      <c r="N39" s="39"/>
      <c r="O39" s="38"/>
      <c r="P39" s="39"/>
      <c r="Q39" s="39"/>
      <c r="R39" s="39"/>
      <c r="S39" s="39"/>
      <c r="T39" s="39"/>
      <c r="U39" s="39"/>
      <c r="V39" s="39"/>
      <c r="W39" s="39"/>
      <c r="X39" s="39"/>
      <c r="Y39" s="39"/>
      <c r="AC39" s="484"/>
      <c r="AD39" s="484"/>
    </row>
    <row r="40" spans="1:31">
      <c r="A40" s="6">
        <f>MAX(A$17:A39)+1</f>
        <v>16</v>
      </c>
      <c r="B40" s="39"/>
      <c r="C40" s="16" t="s">
        <v>258</v>
      </c>
      <c r="D40" s="39"/>
      <c r="E40" s="273" t="s">
        <v>259</v>
      </c>
      <c r="F40" s="39"/>
      <c r="G40" s="36">
        <v>14450119.000000004</v>
      </c>
      <c r="H40" s="36"/>
      <c r="I40" s="36">
        <v>13408892</v>
      </c>
      <c r="J40" s="36"/>
      <c r="K40" s="36">
        <v>1041227</v>
      </c>
      <c r="L40" s="39"/>
      <c r="M40" s="37">
        <v>2.2523657482546349</v>
      </c>
      <c r="N40" s="39"/>
      <c r="O40" s="38"/>
      <c r="P40" s="39"/>
      <c r="Q40" s="36">
        <f>$M40*I40/1000</f>
        <v>30201.729062845588</v>
      </c>
      <c r="R40" s="39"/>
      <c r="S40" s="39"/>
      <c r="T40" s="39"/>
      <c r="U40" s="36">
        <f>$M40*K40/1000</f>
        <v>2345.2240309579288</v>
      </c>
      <c r="V40" s="39"/>
      <c r="W40" s="39"/>
      <c r="X40" s="39"/>
      <c r="Y40" s="36">
        <f>Q40+U40</f>
        <v>32546.953093803517</v>
      </c>
      <c r="AC40" s="485"/>
      <c r="AD40" s="485"/>
    </row>
    <row r="41" spans="1:31">
      <c r="A41" s="273"/>
      <c r="B41" s="39"/>
      <c r="C41" s="16" t="s">
        <v>501</v>
      </c>
      <c r="D41" s="39"/>
      <c r="E41" s="273"/>
      <c r="F41" s="39"/>
      <c r="G41" s="36"/>
      <c r="H41" s="36"/>
      <c r="I41" s="36"/>
      <c r="J41" s="36"/>
      <c r="K41" s="36"/>
      <c r="L41" s="39"/>
      <c r="M41" s="39"/>
      <c r="N41" s="39"/>
      <c r="O41" s="38"/>
      <c r="P41" s="39"/>
      <c r="Q41" s="36"/>
      <c r="R41" s="39"/>
      <c r="S41" s="39"/>
      <c r="T41" s="39"/>
      <c r="U41" s="36"/>
      <c r="V41" s="39"/>
      <c r="W41" s="39"/>
      <c r="X41" s="39"/>
      <c r="Y41" s="36"/>
      <c r="AC41" s="487"/>
      <c r="AD41" s="487"/>
    </row>
    <row r="42" spans="1:31">
      <c r="A42" s="6">
        <f>MAX(A$17:A41)+1</f>
        <v>17</v>
      </c>
      <c r="B42" s="39"/>
      <c r="C42" s="43" t="s">
        <v>896</v>
      </c>
      <c r="D42" s="39"/>
      <c r="E42" s="273" t="s">
        <v>262</v>
      </c>
      <c r="F42" s="39"/>
      <c r="G42" s="36">
        <v>1046589.5733471487</v>
      </c>
      <c r="H42" s="36"/>
      <c r="I42" s="36">
        <v>971539.94724867505</v>
      </c>
      <c r="J42" s="36"/>
      <c r="K42" s="36">
        <v>75049.626098327222</v>
      </c>
      <c r="L42" s="39"/>
      <c r="M42" s="41">
        <v>0.20899999999999999</v>
      </c>
      <c r="N42" s="39"/>
      <c r="O42" s="38"/>
      <c r="P42" s="39"/>
      <c r="Q42" s="36">
        <f t="shared" ref="Q42:Q44" si="6">$M42*I42/100</f>
        <v>2030.5184897497309</v>
      </c>
      <c r="R42" s="39"/>
      <c r="S42" s="39"/>
      <c r="T42" s="39"/>
      <c r="U42" s="36">
        <f>$M42*K42/100</f>
        <v>156.85371854550388</v>
      </c>
      <c r="V42" s="39"/>
      <c r="W42" s="39"/>
      <c r="X42" s="39"/>
      <c r="Y42" s="36">
        <f t="shared" ref="Y42:Y44" si="7">Q42+U42</f>
        <v>2187.3722082952349</v>
      </c>
      <c r="AC42" s="485"/>
      <c r="AD42" s="485"/>
    </row>
    <row r="43" spans="1:31">
      <c r="A43" s="6">
        <f>MAX(A$17:A42)+1</f>
        <v>18</v>
      </c>
      <c r="B43" s="39"/>
      <c r="C43" s="43" t="s">
        <v>897</v>
      </c>
      <c r="D43" s="39"/>
      <c r="E43" s="273" t="s">
        <v>262</v>
      </c>
      <c r="F43" s="39"/>
      <c r="G43" s="36">
        <v>935574.92126953974</v>
      </c>
      <c r="H43" s="36"/>
      <c r="I43" s="36">
        <v>849016.65048747195</v>
      </c>
      <c r="J43" s="36"/>
      <c r="K43" s="36">
        <v>86558.270782026928</v>
      </c>
      <c r="L43" s="39"/>
      <c r="M43" s="41">
        <v>0.20899999999999999</v>
      </c>
      <c r="N43" s="39"/>
      <c r="O43" s="38"/>
      <c r="P43" s="39"/>
      <c r="Q43" s="36">
        <f t="shared" si="6"/>
        <v>1774.4447995188164</v>
      </c>
      <c r="R43" s="39"/>
      <c r="S43" s="39"/>
      <c r="T43" s="39"/>
      <c r="U43" s="36">
        <f>$M43*K43/100</f>
        <v>180.90678593443627</v>
      </c>
      <c r="V43" s="39"/>
      <c r="W43" s="39"/>
      <c r="X43" s="39"/>
      <c r="Y43" s="36">
        <f t="shared" si="7"/>
        <v>1955.3515854532527</v>
      </c>
      <c r="AC43" s="485"/>
      <c r="AD43" s="485"/>
    </row>
    <row r="44" spans="1:31">
      <c r="A44" s="6">
        <f>MAX(A$17:A43)+1</f>
        <v>19</v>
      </c>
      <c r="B44" s="39"/>
      <c r="C44" s="43" t="s">
        <v>898</v>
      </c>
      <c r="D44" s="39"/>
      <c r="E44" s="273" t="s">
        <v>262</v>
      </c>
      <c r="F44" s="39"/>
      <c r="G44" s="36">
        <v>1256700.005050699</v>
      </c>
      <c r="H44" s="36"/>
      <c r="I44" s="36">
        <v>637235.52474036603</v>
      </c>
      <c r="J44" s="36"/>
      <c r="K44" s="36">
        <v>619464.48031032248</v>
      </c>
      <c r="L44" s="39"/>
      <c r="M44" s="41">
        <v>0.20899999999999999</v>
      </c>
      <c r="N44" s="39"/>
      <c r="O44" s="38"/>
      <c r="P44" s="39"/>
      <c r="Q44" s="36">
        <f t="shared" si="6"/>
        <v>1331.8222467073649</v>
      </c>
      <c r="R44" s="39"/>
      <c r="S44" s="39"/>
      <c r="T44" s="39"/>
      <c r="U44" s="36">
        <f>$M44*K44/100</f>
        <v>1294.6807638485741</v>
      </c>
      <c r="V44" s="39"/>
      <c r="W44" s="39"/>
      <c r="X44" s="39"/>
      <c r="Y44" s="36">
        <f t="shared" si="7"/>
        <v>2626.503010555939</v>
      </c>
      <c r="AC44" s="485"/>
      <c r="AD44" s="485"/>
    </row>
    <row r="45" spans="1:31">
      <c r="A45" s="6">
        <f>MAX(A$17:A44)+1</f>
        <v>20</v>
      </c>
      <c r="B45" s="39"/>
      <c r="C45" s="39" t="s">
        <v>501</v>
      </c>
      <c r="D45" s="39"/>
      <c r="E45" s="273"/>
      <c r="F45" s="39"/>
      <c r="G45" s="42">
        <f>SUM(G42:G44)</f>
        <v>3238864.4996673875</v>
      </c>
      <c r="H45" s="42"/>
      <c r="I45" s="42">
        <f t="shared" ref="I45:K45" si="8">SUM(I42:I44)</f>
        <v>2457792.122476513</v>
      </c>
      <c r="J45" s="42"/>
      <c r="K45" s="42">
        <f t="shared" si="8"/>
        <v>781072.37719067663</v>
      </c>
      <c r="L45" s="39"/>
      <c r="M45" s="39"/>
      <c r="N45" s="39"/>
      <c r="O45" s="38"/>
      <c r="P45" s="39"/>
      <c r="Q45" s="42">
        <f>SUM(Q42:Q44)</f>
        <v>5136.7855359759124</v>
      </c>
      <c r="R45" s="39"/>
      <c r="S45" s="39"/>
      <c r="T45" s="39"/>
      <c r="U45" s="42">
        <f>SUM(U42:U44)</f>
        <v>1632.4412683285143</v>
      </c>
      <c r="V45" s="39"/>
      <c r="W45" s="39"/>
      <c r="X45" s="39"/>
      <c r="Y45" s="42">
        <f>SUM(Y42:Y44)</f>
        <v>6769.2268043044269</v>
      </c>
      <c r="AC45" s="485"/>
      <c r="AD45" s="485"/>
    </row>
    <row r="46" spans="1:31">
      <c r="A46" s="273"/>
      <c r="B46" s="39"/>
      <c r="C46" s="39"/>
      <c r="D46" s="39"/>
      <c r="E46" s="273"/>
      <c r="F46" s="39"/>
      <c r="G46" s="45"/>
      <c r="H46" s="36"/>
      <c r="I46" s="36"/>
      <c r="J46" s="36"/>
      <c r="K46" s="36"/>
      <c r="L46" s="39"/>
      <c r="M46" s="39"/>
      <c r="N46" s="39"/>
      <c r="O46" s="38"/>
      <c r="P46" s="39"/>
      <c r="Q46" s="45"/>
      <c r="R46" s="39"/>
      <c r="S46" s="39"/>
      <c r="T46" s="39"/>
      <c r="U46" s="45"/>
      <c r="V46" s="39"/>
      <c r="W46" s="39"/>
      <c r="X46" s="39"/>
      <c r="Y46" s="45"/>
    </row>
    <row r="47" spans="1:31">
      <c r="A47" s="6">
        <f>MAX(A$17:A46)+1</f>
        <v>21</v>
      </c>
      <c r="B47" s="39"/>
      <c r="C47" s="39" t="s">
        <v>340</v>
      </c>
      <c r="D47" s="39"/>
      <c r="E47" s="273"/>
      <c r="F47" s="39"/>
      <c r="G47" s="490"/>
      <c r="H47" s="490"/>
      <c r="I47" s="490"/>
      <c r="J47" s="490"/>
      <c r="K47" s="490"/>
      <c r="L47" s="39"/>
      <c r="M47" s="39"/>
      <c r="N47" s="39"/>
      <c r="O47" s="38"/>
      <c r="P47" s="39"/>
      <c r="Q47" s="42">
        <f>Q40+Q45</f>
        <v>35338.514598821501</v>
      </c>
      <c r="R47" s="39"/>
      <c r="S47" s="39"/>
      <c r="T47" s="39"/>
      <c r="U47" s="42">
        <f>U40+U45</f>
        <v>3977.6652992864429</v>
      </c>
      <c r="V47" s="39"/>
      <c r="W47" s="39"/>
      <c r="X47" s="39"/>
      <c r="Y47" s="42">
        <f>Y40+Y45</f>
        <v>39316.179898107941</v>
      </c>
    </row>
    <row r="48" spans="1:31">
      <c r="A48" s="39"/>
      <c r="B48" s="39"/>
      <c r="C48" s="39"/>
      <c r="D48" s="39"/>
      <c r="E48" s="39"/>
      <c r="F48" s="39"/>
      <c r="G48" s="39"/>
      <c r="H48" s="39"/>
      <c r="I48" s="39"/>
      <c r="J48" s="39"/>
      <c r="K48" s="39"/>
      <c r="L48" s="39"/>
      <c r="M48" s="39"/>
      <c r="N48" s="39"/>
      <c r="O48" s="38"/>
      <c r="P48" s="39"/>
      <c r="Q48" s="39"/>
      <c r="R48" s="39"/>
      <c r="S48" s="39"/>
      <c r="T48" s="39"/>
      <c r="U48" s="39"/>
      <c r="V48" s="39"/>
      <c r="W48" s="39"/>
      <c r="X48" s="39"/>
      <c r="Y48" s="39"/>
    </row>
    <row r="49" spans="1:32" ht="12.95" thickBot="1">
      <c r="A49" s="6">
        <f>MAX(A$17:A48)+1</f>
        <v>22</v>
      </c>
      <c r="B49" s="39"/>
      <c r="C49" s="39" t="s">
        <v>8</v>
      </c>
      <c r="D49" s="39"/>
      <c r="E49" s="39"/>
      <c r="F49" s="39"/>
      <c r="G49" s="39"/>
      <c r="H49" s="39"/>
      <c r="I49" s="39"/>
      <c r="J49" s="39"/>
      <c r="K49" s="39"/>
      <c r="L49" s="39"/>
      <c r="M49" s="39"/>
      <c r="N49" s="39"/>
      <c r="O49" s="46">
        <v>114990.76037705978</v>
      </c>
      <c r="P49" s="39"/>
      <c r="Q49" s="46">
        <f>Q25+Q37+Q47</f>
        <v>114988.78181417062</v>
      </c>
      <c r="R49" s="39"/>
      <c r="S49" s="46">
        <v>5297.8634785807189</v>
      </c>
      <c r="T49" s="39"/>
      <c r="U49" s="46">
        <f>U25+U37+U47</f>
        <v>5297.6138923372973</v>
      </c>
      <c r="V49" s="39"/>
      <c r="W49" s="46">
        <f>O49+S49</f>
        <v>120288.6238556405</v>
      </c>
      <c r="X49" s="39"/>
      <c r="Y49" s="46">
        <f>Y25+Y37+Y47</f>
        <v>120286.39570650793</v>
      </c>
    </row>
    <row r="50" spans="1:32" ht="12.95" thickTop="1">
      <c r="A50" s="39"/>
      <c r="B50" s="39"/>
      <c r="C50" s="39"/>
      <c r="D50" s="39"/>
      <c r="E50" s="39"/>
      <c r="F50" s="39"/>
      <c r="G50" s="39"/>
      <c r="H50" s="39"/>
      <c r="I50" s="39"/>
      <c r="J50" s="39"/>
      <c r="K50" s="39"/>
      <c r="L50" s="39"/>
      <c r="M50" s="39"/>
      <c r="N50" s="39"/>
      <c r="O50" s="38"/>
      <c r="P50" s="39"/>
      <c r="Q50" s="39"/>
      <c r="R50" s="39"/>
      <c r="S50" s="39"/>
      <c r="T50" s="39"/>
      <c r="U50" s="39"/>
      <c r="V50" s="39"/>
      <c r="W50" s="39"/>
      <c r="X50" s="39"/>
      <c r="Y50" s="39"/>
    </row>
    <row r="51" spans="1:32">
      <c r="A51" s="47" t="s">
        <v>80</v>
      </c>
      <c r="B51" s="14"/>
      <c r="C51" s="2"/>
      <c r="D51" s="39"/>
      <c r="E51" s="39"/>
      <c r="F51" s="39"/>
      <c r="G51" s="39"/>
      <c r="H51" s="39"/>
      <c r="I51" s="39"/>
      <c r="J51" s="39"/>
      <c r="K51" s="39"/>
      <c r="L51" s="39"/>
      <c r="M51" s="39"/>
      <c r="N51" s="39"/>
      <c r="O51" s="38"/>
      <c r="P51" s="39"/>
      <c r="Q51" s="39"/>
      <c r="R51" s="39"/>
      <c r="S51" s="39"/>
      <c r="T51" s="39"/>
      <c r="U51" s="39"/>
      <c r="V51" s="39"/>
      <c r="W51" s="39"/>
      <c r="X51" s="39"/>
      <c r="Y51" s="39"/>
    </row>
    <row r="52" spans="1:32">
      <c r="A52" s="49" t="s">
        <v>40</v>
      </c>
      <c r="B52" s="15"/>
      <c r="C52" s="1170" t="s">
        <v>899</v>
      </c>
      <c r="D52" s="1170"/>
      <c r="E52" s="1170"/>
      <c r="F52" s="1170"/>
      <c r="G52" s="1170"/>
      <c r="H52" s="479"/>
      <c r="I52" s="39"/>
      <c r="J52" s="39"/>
      <c r="K52" s="39"/>
      <c r="L52" s="39"/>
      <c r="M52" s="39"/>
      <c r="N52" s="39"/>
      <c r="O52" s="39"/>
      <c r="P52" s="39"/>
      <c r="Q52" s="39"/>
      <c r="R52" s="39"/>
      <c r="S52" s="39"/>
      <c r="T52" s="39"/>
      <c r="U52" s="39"/>
      <c r="V52" s="39"/>
      <c r="W52" s="39"/>
      <c r="X52" s="39"/>
      <c r="Y52" s="39"/>
    </row>
    <row r="53" spans="1:32" ht="12.75" customHeight="1">
      <c r="A53" s="49" t="s">
        <v>20</v>
      </c>
      <c r="B53" s="15"/>
      <c r="C53" s="467" t="s">
        <v>900</v>
      </c>
      <c r="D53" s="467"/>
      <c r="E53" s="467"/>
      <c r="F53" s="467"/>
      <c r="G53" s="467"/>
      <c r="H53" s="467"/>
      <c r="I53" s="39"/>
      <c r="J53" s="39"/>
      <c r="K53" s="39"/>
      <c r="L53" s="39"/>
      <c r="M53" s="39"/>
      <c r="N53" s="39"/>
      <c r="O53" s="39"/>
      <c r="P53" s="39"/>
      <c r="Q53" s="39"/>
      <c r="R53" s="39"/>
      <c r="S53" s="39"/>
      <c r="T53" s="39"/>
      <c r="U53" s="39"/>
      <c r="V53" s="39"/>
      <c r="W53" s="39"/>
      <c r="X53" s="39"/>
      <c r="Y53" s="39"/>
    </row>
    <row r="58" spans="1:32">
      <c r="AC58" s="269"/>
      <c r="AD58" s="269"/>
    </row>
    <row r="60" spans="1:32">
      <c r="G60" s="482"/>
      <c r="H60" s="482"/>
      <c r="I60" s="482"/>
      <c r="J60" s="482"/>
      <c r="K60" s="482"/>
      <c r="M60" s="483"/>
      <c r="Q60" s="482"/>
      <c r="R60" s="39"/>
      <c r="S60" s="39"/>
      <c r="T60" s="39"/>
      <c r="U60" s="482"/>
      <c r="V60" s="39"/>
      <c r="W60" s="39"/>
      <c r="X60" s="39"/>
      <c r="Y60" s="482"/>
      <c r="AD60" s="482"/>
      <c r="AE60" s="44"/>
      <c r="AF60" s="44"/>
    </row>
    <row r="61" spans="1:32">
      <c r="G61" s="482"/>
      <c r="H61" s="482"/>
      <c r="I61" s="482"/>
      <c r="J61" s="482"/>
      <c r="K61" s="482"/>
      <c r="M61" s="483"/>
      <c r="Q61" s="482"/>
      <c r="R61" s="39"/>
      <c r="S61" s="39"/>
      <c r="T61" s="39"/>
      <c r="U61" s="482"/>
      <c r="V61" s="39"/>
      <c r="W61" s="39"/>
      <c r="X61" s="39"/>
      <c r="Y61" s="482"/>
      <c r="AD61" s="482"/>
    </row>
    <row r="62" spans="1:32">
      <c r="G62" s="482"/>
      <c r="H62" s="482"/>
      <c r="I62" s="482"/>
      <c r="J62" s="482"/>
      <c r="K62" s="482"/>
      <c r="M62" s="39"/>
      <c r="O62" s="36"/>
      <c r="Q62" s="482"/>
      <c r="R62" s="39"/>
      <c r="S62" s="36"/>
      <c r="T62" s="39"/>
      <c r="U62" s="36"/>
      <c r="V62" s="39"/>
      <c r="W62" s="36"/>
      <c r="X62" s="39"/>
      <c r="Y62" s="36"/>
      <c r="AC62" s="482"/>
      <c r="AD62" s="482"/>
    </row>
    <row r="63" spans="1:32">
      <c r="M63" s="39"/>
      <c r="R63" s="39"/>
      <c r="S63" s="39"/>
      <c r="T63" s="39"/>
      <c r="U63" s="39"/>
      <c r="V63" s="39"/>
      <c r="W63" s="39"/>
      <c r="X63" s="39"/>
      <c r="Y63" s="39"/>
    </row>
    <row r="65" spans="23:23">
      <c r="W65" s="48"/>
    </row>
    <row r="66" spans="23:23">
      <c r="W66" s="50"/>
    </row>
  </sheetData>
  <mergeCells count="6">
    <mergeCell ref="C52:G52"/>
    <mergeCell ref="A6:Z6"/>
    <mergeCell ref="G9:K9"/>
    <mergeCell ref="O9:Q9"/>
    <mergeCell ref="S9:U9"/>
    <mergeCell ref="W9:Y9"/>
  </mergeCells>
  <pageMargins left="0.7" right="0.7" top="0.75" bottom="0.75" header="0.3" footer="0.3"/>
  <pageSetup scale="70" firstPageNumber="5" fitToHeight="0" orientation="landscape" useFirstPageNumber="1" horizontalDpi="1200" verticalDpi="1200" r:id="rId1"/>
  <headerFooter>
    <oddHeader>&amp;R&amp;10Filed: 2024-02-16
EB-2022-0200
Rate Order
Working Papers
Schedule 22
Page &amp;P of 5</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0108-F705-403C-A41D-975E28793D28}">
  <dimension ref="A3:AF63"/>
  <sheetViews>
    <sheetView view="pageBreakPreview" topLeftCell="A25" zoomScaleNormal="85" zoomScaleSheetLayoutView="100" workbookViewId="0">
      <selection activeCell="M28" sqref="M28"/>
    </sheetView>
  </sheetViews>
  <sheetFormatPr defaultColWidth="8.625" defaultRowHeight="14.45"/>
  <cols>
    <col min="1" max="1" width="5.625" style="140" customWidth="1"/>
    <col min="2" max="2" width="1.625" style="140" customWidth="1"/>
    <col min="3" max="3" width="23.625" style="194" customWidth="1"/>
    <col min="4" max="4" width="1.625" style="194" customWidth="1"/>
    <col min="5" max="5" width="13" style="194" customWidth="1"/>
    <col min="6" max="6" width="1.125" style="194" customWidth="1"/>
    <col min="7" max="7" width="13.5" style="194" customWidth="1"/>
    <col min="8" max="8" width="1.125" style="194" customWidth="1"/>
    <col min="9" max="9" width="13.625" style="194" customWidth="1"/>
    <col min="10" max="10" width="1.125" style="194" customWidth="1"/>
    <col min="11" max="11" width="13.625" style="194" customWidth="1"/>
    <col min="12" max="12" width="1.125" style="194" customWidth="1"/>
    <col min="13" max="13" width="11.5" style="194" customWidth="1"/>
    <col min="14" max="14" width="1.125" style="194" customWidth="1"/>
    <col min="15" max="15" width="12.125" style="194" customWidth="1"/>
    <col min="16" max="16" width="1.125" style="194" customWidth="1"/>
    <col min="17" max="17" width="11" style="194" customWidth="1"/>
    <col min="18" max="18" width="1.125" style="194" customWidth="1"/>
    <col min="19" max="19" width="11.125" style="194" customWidth="1"/>
    <col min="20" max="20" width="1.125" style="194" customWidth="1"/>
    <col min="21" max="21" width="11.625" style="194" customWidth="1"/>
    <col min="22" max="22" width="1.125" style="194" customWidth="1"/>
    <col min="23" max="23" width="12.625" style="194" customWidth="1"/>
    <col min="24" max="24" width="6.125" style="194" customWidth="1"/>
    <col min="25" max="25" width="13.125" style="194" customWidth="1"/>
    <col min="26" max="26" width="17.5" style="194" customWidth="1"/>
    <col min="27" max="27" width="10.625" style="194" customWidth="1"/>
    <col min="28" max="28" width="8.625" style="194" customWidth="1"/>
    <col min="29" max="29" width="8.625" style="194"/>
    <col min="30" max="30" width="10.125" style="194" bestFit="1" customWidth="1"/>
    <col min="31" max="31" width="8.625" style="194" bestFit="1" customWidth="1"/>
    <col min="32" max="32" width="9.625" style="194" bestFit="1" customWidth="1"/>
    <col min="33" max="16384" width="8.625" style="194"/>
  </cols>
  <sheetData>
    <row r="3" spans="1:29">
      <c r="A3" s="1175" t="s">
        <v>901</v>
      </c>
      <c r="B3" s="1175"/>
      <c r="C3" s="1175"/>
      <c r="D3" s="1175"/>
      <c r="E3" s="1175"/>
      <c r="F3" s="1175"/>
      <c r="G3" s="1175"/>
      <c r="H3" s="1175"/>
      <c r="I3" s="1175"/>
      <c r="J3" s="1175"/>
      <c r="K3" s="1175"/>
      <c r="L3" s="1175"/>
      <c r="M3" s="1175"/>
      <c r="N3" s="1175"/>
      <c r="O3" s="1175"/>
      <c r="P3" s="1175"/>
      <c r="Q3" s="1175"/>
      <c r="R3" s="1175"/>
      <c r="S3" s="1175"/>
      <c r="T3" s="1175"/>
      <c r="U3" s="1175"/>
      <c r="V3" s="1175"/>
      <c r="W3" s="1175"/>
    </row>
    <row r="4" spans="1:29">
      <c r="A4" s="1175" t="s">
        <v>902</v>
      </c>
      <c r="B4" s="1175"/>
      <c r="C4" s="1175"/>
      <c r="D4" s="1175"/>
      <c r="E4" s="1175"/>
      <c r="F4" s="1175"/>
      <c r="G4" s="1175"/>
      <c r="H4" s="1175"/>
      <c r="I4" s="1175"/>
      <c r="J4" s="1175"/>
      <c r="K4" s="1175"/>
      <c r="L4" s="1175"/>
      <c r="M4" s="1175"/>
      <c r="N4" s="1175"/>
      <c r="O4" s="1175"/>
      <c r="P4" s="1175"/>
      <c r="Q4" s="1175"/>
      <c r="R4" s="1175"/>
      <c r="S4" s="1175"/>
      <c r="T4" s="1175"/>
      <c r="U4" s="1175"/>
      <c r="V4" s="1175"/>
      <c r="W4" s="1175"/>
    </row>
    <row r="5" spans="1:29">
      <c r="C5" s="195"/>
      <c r="D5" s="195"/>
      <c r="E5" s="195"/>
      <c r="F5" s="195"/>
      <c r="G5" s="195"/>
      <c r="H5" s="195"/>
      <c r="I5" s="195"/>
      <c r="J5" s="195"/>
      <c r="K5" s="195"/>
      <c r="L5" s="195"/>
      <c r="M5" s="195"/>
      <c r="N5" s="195"/>
      <c r="O5" s="195"/>
      <c r="P5" s="195"/>
      <c r="Q5" s="195"/>
      <c r="R5" s="195"/>
      <c r="S5" s="195"/>
      <c r="T5" s="195"/>
      <c r="U5" s="195"/>
      <c r="V5" s="195"/>
      <c r="W5" s="195"/>
      <c r="AA5" s="196"/>
    </row>
    <row r="6" spans="1:29">
      <c r="C6" s="195"/>
      <c r="D6" s="195"/>
      <c r="X6" s="195"/>
      <c r="Y6" s="195"/>
    </row>
    <row r="7" spans="1:29">
      <c r="A7" s="140" t="s">
        <v>56</v>
      </c>
      <c r="D7" s="195"/>
      <c r="E7" s="1176" t="s">
        <v>903</v>
      </c>
      <c r="F7" s="1176"/>
      <c r="G7" s="1176"/>
      <c r="H7" s="1176"/>
      <c r="I7" s="1176"/>
      <c r="J7" s="1176"/>
      <c r="K7" s="1176"/>
      <c r="L7" s="1176"/>
      <c r="M7" s="1176"/>
      <c r="N7" s="198"/>
      <c r="O7" s="1176" t="s">
        <v>904</v>
      </c>
      <c r="P7" s="1176"/>
      <c r="Q7" s="1176"/>
      <c r="R7" s="1176"/>
      <c r="S7" s="1176"/>
      <c r="T7" s="1176"/>
      <c r="U7" s="1176"/>
      <c r="V7" s="1176"/>
      <c r="W7" s="1176"/>
      <c r="X7" s="195"/>
      <c r="Y7" s="198"/>
    </row>
    <row r="8" spans="1:29">
      <c r="A8" s="199" t="s">
        <v>57</v>
      </c>
      <c r="C8" s="200" t="s">
        <v>905</v>
      </c>
      <c r="D8" s="195"/>
      <c r="E8" s="403" t="s">
        <v>906</v>
      </c>
      <c r="F8" s="140"/>
      <c r="G8" s="403" t="s">
        <v>907</v>
      </c>
      <c r="H8" s="195"/>
      <c r="I8" s="403" t="s">
        <v>908</v>
      </c>
      <c r="J8" s="140"/>
      <c r="K8" s="403" t="s">
        <v>909</v>
      </c>
      <c r="L8" s="140"/>
      <c r="M8" s="403" t="s">
        <v>8</v>
      </c>
      <c r="N8" s="198"/>
      <c r="O8" s="403" t="s">
        <v>906</v>
      </c>
      <c r="P8" s="195"/>
      <c r="Q8" s="403" t="s">
        <v>907</v>
      </c>
      <c r="R8" s="140"/>
      <c r="S8" s="403" t="s">
        <v>908</v>
      </c>
      <c r="T8" s="140"/>
      <c r="U8" s="403" t="s">
        <v>909</v>
      </c>
      <c r="V8" s="140"/>
      <c r="W8" s="403" t="s">
        <v>8</v>
      </c>
      <c r="X8" s="195"/>
      <c r="Y8" s="198"/>
    </row>
    <row r="9" spans="1:29">
      <c r="C9" s="195"/>
      <c r="D9" s="195"/>
      <c r="E9" s="240" t="s">
        <v>9</v>
      </c>
      <c r="F9" s="195"/>
      <c r="G9" s="240" t="s">
        <v>10</v>
      </c>
      <c r="H9" s="195"/>
      <c r="I9" s="240" t="s">
        <v>58</v>
      </c>
      <c r="J9" s="195"/>
      <c r="K9" s="240" t="s">
        <v>12</v>
      </c>
      <c r="L9" s="195"/>
      <c r="M9" s="240" t="s">
        <v>13</v>
      </c>
      <c r="N9" s="195"/>
      <c r="O9" s="240" t="s">
        <v>115</v>
      </c>
      <c r="P9" s="195"/>
      <c r="Q9" s="240" t="s">
        <v>209</v>
      </c>
      <c r="R9" s="195"/>
      <c r="S9" s="240" t="s">
        <v>210</v>
      </c>
      <c r="T9" s="195"/>
      <c r="U9" s="240" t="s">
        <v>118</v>
      </c>
      <c r="V9" s="195"/>
      <c r="W9" s="240" t="s">
        <v>119</v>
      </c>
      <c r="X9" s="195"/>
      <c r="Y9" s="195"/>
    </row>
    <row r="10" spans="1:29">
      <c r="C10" s="201" t="s">
        <v>125</v>
      </c>
      <c r="D10" s="195"/>
      <c r="E10" s="140"/>
      <c r="F10" s="114"/>
      <c r="G10" s="140"/>
      <c r="H10" s="114"/>
      <c r="I10" s="202"/>
      <c r="J10" s="114"/>
      <c r="K10" s="140"/>
      <c r="L10" s="114"/>
      <c r="M10" s="140"/>
      <c r="N10" s="114"/>
      <c r="O10" s="114"/>
      <c r="P10" s="114"/>
      <c r="Q10" s="114"/>
      <c r="R10" s="114"/>
      <c r="S10" s="114"/>
      <c r="T10" s="114"/>
      <c r="U10" s="114"/>
      <c r="V10" s="114"/>
      <c r="W10" s="114"/>
      <c r="X10" s="195"/>
      <c r="Y10" s="195"/>
    </row>
    <row r="11" spans="1:29">
      <c r="A11" s="140">
        <v>1</v>
      </c>
      <c r="C11" s="195" t="s">
        <v>910</v>
      </c>
      <c r="D11" s="195"/>
      <c r="E11" s="203">
        <v>15787.788096522025</v>
      </c>
      <c r="F11" s="114"/>
      <c r="G11" s="203">
        <v>530.0902523540974</v>
      </c>
      <c r="H11" s="114"/>
      <c r="I11" s="203">
        <v>13027.395706562267</v>
      </c>
      <c r="J11" s="114"/>
      <c r="K11" s="203">
        <v>5985.1968992662751</v>
      </c>
      <c r="L11" s="114"/>
      <c r="M11" s="203">
        <f t="shared" ref="M11:M21" si="0">I11+K11+G11+E11</f>
        <v>35330.470954704666</v>
      </c>
      <c r="N11" s="114"/>
      <c r="O11" s="203">
        <v>15733.138523330314</v>
      </c>
      <c r="P11" s="114"/>
      <c r="Q11" s="203">
        <v>443.30283568334914</v>
      </c>
      <c r="R11" s="114"/>
      <c r="S11" s="203">
        <v>14276.994192075203</v>
      </c>
      <c r="T11" s="114"/>
      <c r="U11" s="203">
        <v>5345.7130368717526</v>
      </c>
      <c r="V11" s="114"/>
      <c r="W11" s="204">
        <f t="shared" ref="W11:W20" si="1">S11 + U11 + Q11 + O11</f>
        <v>35799.148587960619</v>
      </c>
      <c r="X11" s="195"/>
      <c r="Y11" s="205"/>
    </row>
    <row r="12" spans="1:29">
      <c r="A12" s="140">
        <v>2</v>
      </c>
      <c r="C12" s="195" t="s">
        <v>911</v>
      </c>
      <c r="D12" s="195"/>
      <c r="E12" s="203">
        <v>14219.390273088122</v>
      </c>
      <c r="F12" s="114"/>
      <c r="G12" s="203">
        <v>507.62961049273036</v>
      </c>
      <c r="H12" s="114"/>
      <c r="I12" s="203">
        <v>12313.689619333925</v>
      </c>
      <c r="J12" s="114"/>
      <c r="K12" s="203">
        <v>4882.6596804294222</v>
      </c>
      <c r="L12" s="114"/>
      <c r="M12" s="203">
        <f t="shared" si="0"/>
        <v>31923.369183344199</v>
      </c>
      <c r="N12" s="114"/>
      <c r="O12" s="203">
        <v>14170.169723336643</v>
      </c>
      <c r="P12" s="114"/>
      <c r="Q12" s="203">
        <v>424.5194941972639</v>
      </c>
      <c r="R12" s="114"/>
      <c r="S12" s="203">
        <v>13494.828831344279</v>
      </c>
      <c r="T12" s="114"/>
      <c r="U12" s="203">
        <v>4360.9755781767817</v>
      </c>
      <c r="V12" s="114"/>
      <c r="W12" s="204">
        <f t="shared" si="1"/>
        <v>32450.493627054966</v>
      </c>
      <c r="X12" s="195"/>
      <c r="Y12" s="205"/>
    </row>
    <row r="13" spans="1:29">
      <c r="A13" s="140">
        <v>3</v>
      </c>
      <c r="C13" s="195" t="s">
        <v>912</v>
      </c>
      <c r="D13" s="195"/>
      <c r="E13" s="203">
        <v>0</v>
      </c>
      <c r="F13" s="114"/>
      <c r="G13" s="203">
        <v>2.9012610510117431</v>
      </c>
      <c r="H13" s="114"/>
      <c r="I13" s="203">
        <v>58.27058444301003</v>
      </c>
      <c r="J13" s="114"/>
      <c r="K13" s="203">
        <v>0</v>
      </c>
      <c r="L13" s="114"/>
      <c r="M13" s="203">
        <f t="shared" si="0"/>
        <v>61.171845494021774</v>
      </c>
      <c r="N13" s="114"/>
      <c r="O13" s="203">
        <v>0</v>
      </c>
      <c r="P13" s="114"/>
      <c r="Q13" s="203">
        <v>2.4262608966294046</v>
      </c>
      <c r="R13" s="114"/>
      <c r="S13" s="203">
        <v>63.859946715414175</v>
      </c>
      <c r="T13" s="114"/>
      <c r="U13" s="203">
        <v>0</v>
      </c>
      <c r="V13" s="114"/>
      <c r="W13" s="204">
        <f t="shared" si="1"/>
        <v>66.286207612043583</v>
      </c>
      <c r="X13" s="195"/>
      <c r="Y13" s="205"/>
      <c r="AC13" s="194" t="s">
        <v>168</v>
      </c>
    </row>
    <row r="14" spans="1:29">
      <c r="A14" s="140">
        <v>4</v>
      </c>
      <c r="C14" s="195" t="s">
        <v>913</v>
      </c>
      <c r="D14" s="195"/>
      <c r="E14" s="203">
        <v>730.61878451440805</v>
      </c>
      <c r="F14" s="114"/>
      <c r="G14" s="203">
        <v>112.99521739962435</v>
      </c>
      <c r="H14" s="114"/>
      <c r="I14" s="203">
        <v>2382.67535616847</v>
      </c>
      <c r="J14" s="114"/>
      <c r="K14" s="203">
        <v>143.22101713704333</v>
      </c>
      <c r="L14" s="114"/>
      <c r="M14" s="203">
        <f t="shared" si="0"/>
        <v>3369.5103752195459</v>
      </c>
      <c r="N14" s="114"/>
      <c r="O14" s="203">
        <v>728.08974089566607</v>
      </c>
      <c r="P14" s="114"/>
      <c r="Q14" s="203">
        <v>94.495418599867804</v>
      </c>
      <c r="R14" s="114"/>
      <c r="S14" s="203">
        <v>2611.2235313833617</v>
      </c>
      <c r="T14" s="114"/>
      <c r="U14" s="203">
        <v>127.91867524982882</v>
      </c>
      <c r="V14" s="114"/>
      <c r="W14" s="204">
        <f t="shared" si="1"/>
        <v>3561.7273661287245</v>
      </c>
      <c r="X14" s="195"/>
      <c r="Y14" s="205"/>
    </row>
    <row r="15" spans="1:29">
      <c r="A15" s="140">
        <v>5</v>
      </c>
      <c r="C15" s="195" t="s">
        <v>914</v>
      </c>
      <c r="D15" s="195"/>
      <c r="E15" s="203">
        <v>88.058747902106859</v>
      </c>
      <c r="F15" s="114"/>
      <c r="G15" s="203">
        <v>40.391816945015499</v>
      </c>
      <c r="H15" s="114"/>
      <c r="I15" s="203">
        <v>822.74413908553538</v>
      </c>
      <c r="J15" s="114"/>
      <c r="K15" s="203">
        <v>20.314503846852869</v>
      </c>
      <c r="L15" s="114"/>
      <c r="M15" s="203">
        <f t="shared" si="0"/>
        <v>971.50920777951069</v>
      </c>
      <c r="N15" s="114"/>
      <c r="O15" s="203">
        <v>87.753931739182406</v>
      </c>
      <c r="P15" s="114"/>
      <c r="Q15" s="203">
        <v>33.778789386542314</v>
      </c>
      <c r="R15" s="114"/>
      <c r="S15" s="203">
        <v>901.66243199100415</v>
      </c>
      <c r="T15" s="114"/>
      <c r="U15" s="203">
        <v>18.144015957940407</v>
      </c>
      <c r="V15" s="114"/>
      <c r="W15" s="204">
        <f t="shared" si="1"/>
        <v>1041.3391690746694</v>
      </c>
      <c r="X15" s="195"/>
      <c r="Y15" s="205"/>
    </row>
    <row r="16" spans="1:29">
      <c r="A16" s="140">
        <v>6</v>
      </c>
      <c r="C16" s="195" t="s">
        <v>915</v>
      </c>
      <c r="D16" s="195"/>
      <c r="E16" s="203">
        <v>0</v>
      </c>
      <c r="F16" s="114"/>
      <c r="G16" s="203">
        <v>0</v>
      </c>
      <c r="H16" s="114"/>
      <c r="I16" s="203">
        <v>588.24265500000001</v>
      </c>
      <c r="J16" s="114"/>
      <c r="K16" s="203">
        <v>0</v>
      </c>
      <c r="L16" s="114"/>
      <c r="M16" s="203">
        <f t="shared" si="0"/>
        <v>588.24265500000001</v>
      </c>
      <c r="N16" s="114"/>
      <c r="O16" s="203">
        <v>0</v>
      </c>
      <c r="P16" s="114"/>
      <c r="Q16" s="203">
        <v>0</v>
      </c>
      <c r="R16" s="114"/>
      <c r="S16" s="203">
        <v>717.82949090787918</v>
      </c>
      <c r="T16" s="114"/>
      <c r="U16" s="203">
        <v>0</v>
      </c>
      <c r="V16" s="114"/>
      <c r="W16" s="204">
        <f t="shared" si="1"/>
        <v>717.82949090787918</v>
      </c>
      <c r="X16" s="195"/>
      <c r="Y16" s="404"/>
    </row>
    <row r="17" spans="1:25">
      <c r="A17" s="140">
        <v>7</v>
      </c>
      <c r="C17" s="195" t="s">
        <v>916</v>
      </c>
      <c r="D17" s="195"/>
      <c r="E17" s="203">
        <v>0</v>
      </c>
      <c r="F17" s="114"/>
      <c r="G17" s="203">
        <v>5.5685738769876725</v>
      </c>
      <c r="H17" s="114"/>
      <c r="I17" s="203">
        <v>111.84241907945309</v>
      </c>
      <c r="J17" s="114"/>
      <c r="K17" s="203">
        <v>0</v>
      </c>
      <c r="L17" s="114"/>
      <c r="M17" s="203">
        <f t="shared" si="0"/>
        <v>117.41099295644077</v>
      </c>
      <c r="N17" s="114"/>
      <c r="O17" s="203">
        <v>0</v>
      </c>
      <c r="P17" s="114"/>
      <c r="Q17" s="203">
        <v>4.6568760308610049</v>
      </c>
      <c r="R17" s="114"/>
      <c r="S17" s="203">
        <v>122.57043568736097</v>
      </c>
      <c r="T17" s="114"/>
      <c r="U17" s="203">
        <v>0</v>
      </c>
      <c r="V17" s="114"/>
      <c r="W17" s="204">
        <f t="shared" si="1"/>
        <v>127.22731171822197</v>
      </c>
      <c r="X17" s="195"/>
      <c r="Y17" s="404"/>
    </row>
    <row r="18" spans="1:25">
      <c r="A18" s="140">
        <v>8</v>
      </c>
      <c r="C18" s="195" t="s">
        <v>917</v>
      </c>
      <c r="D18" s="195"/>
      <c r="E18" s="203">
        <v>23.910450696564268</v>
      </c>
      <c r="F18" s="114"/>
      <c r="G18" s="203">
        <v>1.662079898703499</v>
      </c>
      <c r="H18" s="114"/>
      <c r="I18" s="203">
        <v>36.932415941470509</v>
      </c>
      <c r="J18" s="114"/>
      <c r="K18" s="203">
        <v>4.4912034239250485</v>
      </c>
      <c r="L18" s="114"/>
      <c r="M18" s="203">
        <f t="shared" si="0"/>
        <v>66.996149960663331</v>
      </c>
      <c r="N18" s="114"/>
      <c r="O18" s="203">
        <v>23.82768445233804</v>
      </c>
      <c r="P18" s="114"/>
      <c r="Q18" s="203">
        <v>1.3899609150620136</v>
      </c>
      <c r="R18" s="114"/>
      <c r="S18" s="203">
        <v>40.475003582647929</v>
      </c>
      <c r="T18" s="114"/>
      <c r="U18" s="203">
        <v>4.0113441710601707</v>
      </c>
      <c r="V18" s="114"/>
      <c r="W18" s="204">
        <f t="shared" si="1"/>
        <v>69.703993121108155</v>
      </c>
      <c r="X18" s="195"/>
      <c r="Y18" s="404"/>
    </row>
    <row r="19" spans="1:25">
      <c r="A19" s="140">
        <v>9</v>
      </c>
      <c r="C19" s="195" t="s">
        <v>918</v>
      </c>
      <c r="D19" s="195"/>
      <c r="E19" s="203">
        <v>215.84879949943192</v>
      </c>
      <c r="F19" s="114"/>
      <c r="G19" s="203">
        <v>34.191490404322586</v>
      </c>
      <c r="H19" s="114"/>
      <c r="I19" s="203">
        <v>719.46119587671512</v>
      </c>
      <c r="J19" s="114"/>
      <c r="K19" s="203">
        <v>41.417029465537894</v>
      </c>
      <c r="L19" s="114"/>
      <c r="M19" s="203">
        <f t="shared" si="0"/>
        <v>1010.9185152460076</v>
      </c>
      <c r="N19" s="114"/>
      <c r="O19" s="203">
        <v>215.10163690170319</v>
      </c>
      <c r="P19" s="114"/>
      <c r="Q19" s="203">
        <v>28.593592478194282</v>
      </c>
      <c r="R19" s="114"/>
      <c r="S19" s="203">
        <v>788.47250412307449</v>
      </c>
      <c r="T19" s="114"/>
      <c r="U19" s="203">
        <v>36.991858094020145</v>
      </c>
      <c r="V19" s="114"/>
      <c r="W19" s="204">
        <f t="shared" si="1"/>
        <v>1069.1595915969922</v>
      </c>
      <c r="X19" s="195"/>
      <c r="Y19" s="404"/>
    </row>
    <row r="20" spans="1:25">
      <c r="A20" s="140">
        <v>10</v>
      </c>
      <c r="C20" s="195" t="s">
        <v>919</v>
      </c>
      <c r="D20" s="195"/>
      <c r="E20" s="203">
        <v>550.32869750354416</v>
      </c>
      <c r="F20" s="114"/>
      <c r="G20" s="203">
        <v>19.975437885703734</v>
      </c>
      <c r="H20" s="114"/>
      <c r="I20" s="203">
        <v>484.16838165175238</v>
      </c>
      <c r="J20" s="114"/>
      <c r="K20" s="203">
        <v>150.91966472771608</v>
      </c>
      <c r="L20" s="114"/>
      <c r="M20" s="203">
        <f t="shared" si="0"/>
        <v>1205.3921817687165</v>
      </c>
      <c r="N20" s="114"/>
      <c r="O20" s="203">
        <v>548.42372967335484</v>
      </c>
      <c r="P20" s="114"/>
      <c r="Q20" s="203">
        <v>16.705019983717541</v>
      </c>
      <c r="R20" s="114"/>
      <c r="S20" s="203">
        <v>530.61021009337355</v>
      </c>
      <c r="T20" s="114"/>
      <c r="U20" s="203">
        <v>134.79476662733822</v>
      </c>
      <c r="V20" s="114"/>
      <c r="W20" s="204">
        <f t="shared" si="1"/>
        <v>1230.5337263777842</v>
      </c>
      <c r="X20" s="195"/>
      <c r="Y20" s="404"/>
    </row>
    <row r="21" spans="1:25">
      <c r="A21" s="140">
        <v>11</v>
      </c>
      <c r="C21" s="195" t="s">
        <v>920</v>
      </c>
      <c r="D21" s="195"/>
      <c r="E21" s="203">
        <v>0</v>
      </c>
      <c r="F21" s="114"/>
      <c r="G21" s="203">
        <v>0</v>
      </c>
      <c r="H21" s="114"/>
      <c r="I21" s="203">
        <v>0</v>
      </c>
      <c r="J21" s="114"/>
      <c r="K21" s="203">
        <v>0</v>
      </c>
      <c r="L21" s="114"/>
      <c r="M21" s="203">
        <f t="shared" si="0"/>
        <v>0</v>
      </c>
      <c r="N21" s="114"/>
      <c r="O21" s="203">
        <v>0</v>
      </c>
      <c r="P21" s="114"/>
      <c r="Q21" s="203">
        <v>0</v>
      </c>
      <c r="R21" s="114"/>
      <c r="S21" s="203">
        <v>0</v>
      </c>
      <c r="T21" s="114"/>
      <c r="U21" s="203">
        <v>0</v>
      </c>
      <c r="V21" s="114"/>
      <c r="W21" s="114"/>
      <c r="X21" s="195"/>
      <c r="Y21" s="404"/>
    </row>
    <row r="22" spans="1:25">
      <c r="A22" s="140">
        <v>12</v>
      </c>
      <c r="C22" s="195" t="s">
        <v>138</v>
      </c>
      <c r="D22" s="195"/>
      <c r="E22" s="216">
        <f>SUM(E11:E21)</f>
        <v>31615.943849726202</v>
      </c>
      <c r="F22" s="114"/>
      <c r="G22" s="216">
        <f>SUM(G11:G21)</f>
        <v>1255.405740308197</v>
      </c>
      <c r="H22" s="114"/>
      <c r="I22" s="216">
        <f>SUM(I11:I21)</f>
        <v>30545.422473142604</v>
      </c>
      <c r="J22" s="114"/>
      <c r="K22" s="216">
        <f>SUM(K11:K21)</f>
        <v>11228.219998296772</v>
      </c>
      <c r="L22" s="114"/>
      <c r="M22" s="216">
        <f>SUM(M11:M21)</f>
        <v>74644.992061473778</v>
      </c>
      <c r="N22" s="114"/>
      <c r="O22" s="216">
        <f>SUM(O11:O21)</f>
        <v>31506.504970329202</v>
      </c>
      <c r="P22" s="114"/>
      <c r="Q22" s="216">
        <f>SUM(Q11:Q21)</f>
        <v>1049.8682481714875</v>
      </c>
      <c r="R22" s="114"/>
      <c r="S22" s="216">
        <f>SUM(S11:S21)</f>
        <v>33548.526577903598</v>
      </c>
      <c r="T22" s="114"/>
      <c r="U22" s="216">
        <f>SUM(U11:U21)</f>
        <v>10028.549275148718</v>
      </c>
      <c r="V22" s="114"/>
      <c r="W22" s="216">
        <f>SUM(W11:W21)</f>
        <v>76133.449071552997</v>
      </c>
      <c r="X22" s="195"/>
      <c r="Y22" s="405"/>
    </row>
    <row r="23" spans="1:25">
      <c r="A23" s="197"/>
      <c r="B23" s="197"/>
      <c r="C23" s="195"/>
      <c r="D23" s="195"/>
      <c r="E23" s="114"/>
      <c r="F23" s="114"/>
      <c r="G23" s="114"/>
      <c r="H23" s="114"/>
      <c r="I23" s="114"/>
      <c r="J23" s="114"/>
      <c r="K23" s="114"/>
      <c r="L23" s="114"/>
      <c r="M23" s="114"/>
      <c r="N23" s="114"/>
      <c r="O23" s="114"/>
      <c r="P23" s="114"/>
      <c r="Q23" s="114"/>
      <c r="R23" s="114"/>
      <c r="S23" s="114"/>
      <c r="T23" s="114"/>
      <c r="U23" s="114"/>
      <c r="V23" s="114"/>
      <c r="W23" s="114"/>
      <c r="X23" s="195"/>
      <c r="Y23" s="195"/>
    </row>
    <row r="24" spans="1:25">
      <c r="C24" s="201" t="s">
        <v>139</v>
      </c>
      <c r="D24" s="195"/>
      <c r="E24" s="114"/>
      <c r="F24" s="114"/>
      <c r="G24" s="114"/>
      <c r="H24" s="114"/>
      <c r="I24" s="114"/>
      <c r="J24" s="114"/>
      <c r="K24" s="114"/>
      <c r="L24" s="114"/>
      <c r="M24" s="114"/>
      <c r="N24" s="114"/>
      <c r="O24" s="114"/>
      <c r="P24" s="114"/>
      <c r="Q24" s="114"/>
      <c r="R24" s="114"/>
      <c r="S24" s="114"/>
      <c r="T24" s="114"/>
      <c r="U24" s="114"/>
      <c r="V24" s="114"/>
      <c r="W24" s="114"/>
      <c r="X24" s="195"/>
      <c r="Y24" s="195"/>
    </row>
    <row r="25" spans="1:25">
      <c r="A25" s="140">
        <v>13</v>
      </c>
      <c r="C25" s="195" t="s">
        <v>921</v>
      </c>
      <c r="D25" s="195"/>
      <c r="E25" s="203">
        <v>2800.9558375251568</v>
      </c>
      <c r="F25" s="114"/>
      <c r="G25" s="203">
        <v>633.99502918357121</v>
      </c>
      <c r="H25" s="114"/>
      <c r="I25" s="203">
        <v>419.94052423709411</v>
      </c>
      <c r="J25" s="114"/>
      <c r="K25" s="203">
        <v>1855.1570796763663</v>
      </c>
      <c r="L25" s="114"/>
      <c r="M25" s="203">
        <f>I25+K25+G25+E25</f>
        <v>5710.0484706221887</v>
      </c>
      <c r="N25" s="114"/>
      <c r="O25" s="203">
        <v>2723.3095686261609</v>
      </c>
      <c r="P25" s="114"/>
      <c r="Q25" s="203">
        <v>594.2901811550862</v>
      </c>
      <c r="R25" s="114"/>
      <c r="S25" s="203">
        <v>515.8565803135383</v>
      </c>
      <c r="T25" s="114"/>
      <c r="U25" s="203">
        <v>1857.2479959658408</v>
      </c>
      <c r="V25" s="114"/>
      <c r="W25" s="204">
        <f>S25 + U25 + Q25 + O25</f>
        <v>5690.704326060626</v>
      </c>
      <c r="X25" s="195"/>
      <c r="Y25" s="195"/>
    </row>
    <row r="26" spans="1:25">
      <c r="A26" s="140">
        <v>14</v>
      </c>
      <c r="C26" s="195" t="s">
        <v>922</v>
      </c>
      <c r="D26" s="195"/>
      <c r="E26" s="203">
        <v>734.43604650190275</v>
      </c>
      <c r="F26" s="114"/>
      <c r="G26" s="203">
        <v>54.6662150220398</v>
      </c>
      <c r="H26" s="114"/>
      <c r="I26" s="203">
        <v>128.39221721433157</v>
      </c>
      <c r="J26" s="114"/>
      <c r="K26" s="203">
        <v>578.56725669838522</v>
      </c>
      <c r="L26" s="114"/>
      <c r="M26" s="203">
        <f>I26+K26+G26+E26</f>
        <v>1496.0617354366593</v>
      </c>
      <c r="N26" s="114"/>
      <c r="O26" s="203">
        <v>714.07648995630962</v>
      </c>
      <c r="P26" s="114"/>
      <c r="Q26" s="203">
        <v>51.24266489967107</v>
      </c>
      <c r="R26" s="114"/>
      <c r="S26" s="203">
        <v>157.71750114229079</v>
      </c>
      <c r="T26" s="114"/>
      <c r="U26" s="203">
        <v>579.21935010591403</v>
      </c>
      <c r="V26" s="114"/>
      <c r="W26" s="204">
        <f>S26 + U26 + Q26 + O26</f>
        <v>1502.2560061041854</v>
      </c>
      <c r="X26" s="195"/>
      <c r="Y26" s="195"/>
    </row>
    <row r="27" spans="1:25">
      <c r="A27" s="140">
        <v>15</v>
      </c>
      <c r="C27" s="195" t="s">
        <v>923</v>
      </c>
      <c r="D27" s="195"/>
      <c r="E27" s="203">
        <v>196.90344974972743</v>
      </c>
      <c r="F27" s="114"/>
      <c r="G27" s="203">
        <v>67.252376714950017</v>
      </c>
      <c r="H27" s="114"/>
      <c r="I27" s="203">
        <v>40.689596186354336</v>
      </c>
      <c r="J27" s="114"/>
      <c r="K27" s="203">
        <v>166.77869668835763</v>
      </c>
      <c r="L27" s="114"/>
      <c r="M27" s="203">
        <f>I27+K27+G27+E27</f>
        <v>471.62411933938938</v>
      </c>
      <c r="N27" s="114"/>
      <c r="O27" s="203">
        <v>191.44502087998987</v>
      </c>
      <c r="P27" s="114"/>
      <c r="Q27" s="203">
        <v>63.040600164493235</v>
      </c>
      <c r="R27" s="114"/>
      <c r="S27" s="203">
        <v>49.983258894016146</v>
      </c>
      <c r="T27" s="114"/>
      <c r="U27" s="203">
        <v>166.96667014756673</v>
      </c>
      <c r="V27" s="114"/>
      <c r="W27" s="204">
        <f>S27 + U27 + Q27 + O27</f>
        <v>471.43555008606597</v>
      </c>
      <c r="X27" s="195"/>
      <c r="Y27" s="195"/>
    </row>
    <row r="28" spans="1:25">
      <c r="A28" s="140">
        <v>16</v>
      </c>
      <c r="C28" s="195" t="s">
        <v>924</v>
      </c>
      <c r="D28" s="195"/>
      <c r="E28" s="203">
        <v>0</v>
      </c>
      <c r="F28" s="114"/>
      <c r="G28" s="203">
        <v>14.737676449939997</v>
      </c>
      <c r="H28" s="114"/>
      <c r="I28" s="203">
        <v>0</v>
      </c>
      <c r="J28" s="114"/>
      <c r="K28" s="203">
        <v>0</v>
      </c>
      <c r="L28" s="114"/>
      <c r="M28" s="203">
        <f>I28+K28+G28+E28</f>
        <v>14.737676449939997</v>
      </c>
      <c r="N28" s="114"/>
      <c r="O28" s="203">
        <v>0</v>
      </c>
      <c r="P28" s="114"/>
      <c r="Q28" s="203">
        <v>13.814708324320168</v>
      </c>
      <c r="R28" s="114"/>
      <c r="S28" s="203">
        <v>0</v>
      </c>
      <c r="T28" s="114"/>
      <c r="U28" s="203">
        <v>0</v>
      </c>
      <c r="V28" s="114"/>
      <c r="W28" s="204">
        <f>S28 + U28 + Q28 + O28</f>
        <v>13.814708324320168</v>
      </c>
      <c r="X28" s="195"/>
      <c r="Y28" s="195"/>
    </row>
    <row r="29" spans="1:25">
      <c r="A29" s="140">
        <v>17</v>
      </c>
      <c r="C29" s="195" t="s">
        <v>912</v>
      </c>
      <c r="D29" s="195"/>
      <c r="E29" s="203">
        <v>13.760700020675317</v>
      </c>
      <c r="F29" s="114"/>
      <c r="G29" s="203">
        <v>23.194032140369998</v>
      </c>
      <c r="H29" s="114"/>
      <c r="I29" s="203">
        <v>0</v>
      </c>
      <c r="J29" s="114"/>
      <c r="K29" s="203">
        <v>0</v>
      </c>
      <c r="L29" s="114"/>
      <c r="M29" s="203">
        <f>I29+K29+G29+E29</f>
        <v>36.954732161045314</v>
      </c>
      <c r="N29" s="114"/>
      <c r="O29" s="203">
        <v>13.37923487947986</v>
      </c>
      <c r="P29" s="114"/>
      <c r="Q29" s="203">
        <v>21.741472610862168</v>
      </c>
      <c r="R29" s="114"/>
      <c r="S29" s="203">
        <v>0</v>
      </c>
      <c r="T29" s="114"/>
      <c r="U29" s="203">
        <v>0</v>
      </c>
      <c r="V29" s="114"/>
      <c r="W29" s="204">
        <f>S29 + U29 + Q29 + O29</f>
        <v>35.120707490342028</v>
      </c>
      <c r="X29" s="195"/>
      <c r="Y29" s="195"/>
    </row>
    <row r="30" spans="1:25">
      <c r="A30" s="140">
        <v>18</v>
      </c>
      <c r="C30" s="195" t="s">
        <v>144</v>
      </c>
      <c r="D30" s="195"/>
      <c r="E30" s="216">
        <f>SUM(E25:E29)</f>
        <v>3746.0560337974621</v>
      </c>
      <c r="F30" s="114"/>
      <c r="G30" s="216">
        <f>SUM(G25:G29)</f>
        <v>793.84532951087101</v>
      </c>
      <c r="H30" s="114"/>
      <c r="I30" s="216">
        <f>SUM(I25:I29)</f>
        <v>589.02233763778008</v>
      </c>
      <c r="J30" s="114"/>
      <c r="K30" s="216">
        <f>SUM(K25:K29)</f>
        <v>2600.5030330631093</v>
      </c>
      <c r="L30" s="114"/>
      <c r="M30" s="216">
        <f>SUM(M25:M29)</f>
        <v>7729.4267340092238</v>
      </c>
      <c r="N30" s="114"/>
      <c r="O30" s="216">
        <f>SUM(O25:O29)</f>
        <v>3642.2103143419404</v>
      </c>
      <c r="P30" s="114"/>
      <c r="Q30" s="216">
        <f>SUM(Q25:Q29)</f>
        <v>744.1296271544328</v>
      </c>
      <c r="R30" s="114"/>
      <c r="S30" s="216">
        <f>SUM(S25:S29)</f>
        <v>723.55734034984516</v>
      </c>
      <c r="T30" s="114"/>
      <c r="U30" s="216">
        <f>SUM(U25:U29)</f>
        <v>2603.4340162193216</v>
      </c>
      <c r="V30" s="114"/>
      <c r="W30" s="216">
        <f>SUM(W25:W29)</f>
        <v>7713.3312980655401</v>
      </c>
      <c r="X30" s="195"/>
      <c r="Y30" s="195"/>
    </row>
    <row r="31" spans="1:25">
      <c r="A31" s="197"/>
      <c r="B31" s="197"/>
      <c r="C31" s="195"/>
      <c r="D31" s="195"/>
      <c r="E31" s="114"/>
      <c r="F31" s="114"/>
      <c r="G31" s="114"/>
      <c r="H31" s="114"/>
      <c r="I31" s="114"/>
      <c r="J31" s="114"/>
      <c r="K31" s="114"/>
      <c r="L31" s="114"/>
      <c r="M31" s="114"/>
      <c r="N31" s="114"/>
      <c r="O31" s="114"/>
      <c r="P31" s="114"/>
      <c r="Q31" s="114"/>
      <c r="R31" s="114"/>
      <c r="S31" s="114"/>
      <c r="T31" s="114"/>
      <c r="U31" s="114"/>
      <c r="V31" s="114"/>
      <c r="W31" s="114"/>
      <c r="X31" s="195"/>
      <c r="Y31" s="195"/>
    </row>
    <row r="32" spans="1:25">
      <c r="C32" s="201" t="s">
        <v>145</v>
      </c>
      <c r="D32" s="195"/>
      <c r="E32" s="114"/>
      <c r="F32" s="114"/>
      <c r="G32" s="114"/>
      <c r="H32" s="114"/>
      <c r="I32" s="114"/>
      <c r="J32" s="114"/>
      <c r="K32" s="114"/>
      <c r="L32" s="114"/>
      <c r="M32" s="114"/>
      <c r="N32" s="114"/>
      <c r="O32" s="114"/>
      <c r="P32" s="114"/>
      <c r="Q32" s="114"/>
      <c r="R32" s="114"/>
      <c r="S32" s="114"/>
      <c r="T32" s="114"/>
      <c r="U32" s="114"/>
      <c r="V32" s="114"/>
      <c r="W32" s="114"/>
      <c r="X32" s="195"/>
      <c r="Y32" s="195"/>
    </row>
    <row r="33" spans="1:25">
      <c r="A33" s="140">
        <v>19</v>
      </c>
      <c r="C33" s="195" t="s">
        <v>925</v>
      </c>
      <c r="D33" s="195"/>
      <c r="E33" s="203">
        <v>7786.7630788190054</v>
      </c>
      <c r="F33" s="114"/>
      <c r="G33" s="203">
        <v>1662.2711717529742</v>
      </c>
      <c r="H33" s="114"/>
      <c r="I33" s="203">
        <v>2033.0541288685467</v>
      </c>
      <c r="J33" s="114"/>
      <c r="K33" s="203">
        <v>2183.0645940097743</v>
      </c>
      <c r="L33" s="114"/>
      <c r="M33" s="203">
        <f t="shared" ref="M33:M44" si="2">I33+K33+G33+E33</f>
        <v>13665.1529734503</v>
      </c>
      <c r="N33" s="114"/>
      <c r="O33" s="203">
        <v>7570.9035169613735</v>
      </c>
      <c r="P33" s="114"/>
      <c r="Q33" s="203">
        <v>1558.1690554610284</v>
      </c>
      <c r="R33" s="114"/>
      <c r="S33" s="203">
        <v>2497.4116332681588</v>
      </c>
      <c r="T33" s="114"/>
      <c r="U33" s="203">
        <v>2185.5250893341849</v>
      </c>
      <c r="V33" s="114"/>
      <c r="W33" s="204">
        <f t="shared" ref="W33:W44" si="3">S33 + U33 + Q33 + O33</f>
        <v>13812.009295024745</v>
      </c>
      <c r="X33" s="195"/>
      <c r="Y33" s="195"/>
    </row>
    <row r="34" spans="1:25">
      <c r="A34" s="140">
        <v>20</v>
      </c>
      <c r="C34" s="195" t="s">
        <v>926</v>
      </c>
      <c r="D34" s="195"/>
      <c r="E34" s="203">
        <v>2654.934493458682</v>
      </c>
      <c r="F34" s="114"/>
      <c r="G34" s="203">
        <v>179.18666996406699</v>
      </c>
      <c r="H34" s="114"/>
      <c r="I34" s="203">
        <v>775.9686179721092</v>
      </c>
      <c r="J34" s="114"/>
      <c r="K34" s="203">
        <v>884.99160096949186</v>
      </c>
      <c r="L34" s="114"/>
      <c r="M34" s="203">
        <f t="shared" si="2"/>
        <v>4495.0813823643502</v>
      </c>
      <c r="N34" s="114"/>
      <c r="O34" s="203">
        <v>2581.3361329181394</v>
      </c>
      <c r="P34" s="114"/>
      <c r="Q34" s="203">
        <v>167.96484775385909</v>
      </c>
      <c r="R34" s="114"/>
      <c r="S34" s="203">
        <v>953.2028813483023</v>
      </c>
      <c r="T34" s="114"/>
      <c r="U34" s="203">
        <v>885.98906009291989</v>
      </c>
      <c r="V34" s="114"/>
      <c r="W34" s="204">
        <f t="shared" si="3"/>
        <v>4588.4929221132206</v>
      </c>
      <c r="X34" s="195"/>
      <c r="Y34" s="195"/>
    </row>
    <row r="35" spans="1:25">
      <c r="A35" s="140">
        <v>21</v>
      </c>
      <c r="C35" s="195" t="s">
        <v>927</v>
      </c>
      <c r="D35" s="195"/>
      <c r="E35" s="203">
        <v>388.30110748325848</v>
      </c>
      <c r="F35" s="114"/>
      <c r="G35" s="203">
        <v>118.15817852974007</v>
      </c>
      <c r="H35" s="114"/>
      <c r="I35" s="203">
        <v>563.17446288753706</v>
      </c>
      <c r="J35" s="114"/>
      <c r="K35" s="203">
        <v>649.88411438477726</v>
      </c>
      <c r="L35" s="114"/>
      <c r="M35" s="203">
        <f t="shared" si="2"/>
        <v>1719.5178632853128</v>
      </c>
      <c r="N35" s="114"/>
      <c r="O35" s="203">
        <v>377.53687771515797</v>
      </c>
      <c r="P35" s="114"/>
      <c r="Q35" s="203">
        <v>110.75835312750092</v>
      </c>
      <c r="R35" s="114"/>
      <c r="S35" s="203">
        <v>691.8057100415856</v>
      </c>
      <c r="T35" s="114"/>
      <c r="U35" s="203">
        <v>650.61658782108327</v>
      </c>
      <c r="V35" s="114"/>
      <c r="W35" s="204">
        <f t="shared" si="3"/>
        <v>1830.7175287053278</v>
      </c>
      <c r="X35" s="195"/>
      <c r="Y35" s="195"/>
    </row>
    <row r="36" spans="1:25">
      <c r="A36" s="140">
        <v>22</v>
      </c>
      <c r="C36" s="195" t="s">
        <v>928</v>
      </c>
      <c r="D36" s="195"/>
      <c r="E36" s="203">
        <v>19.643156988174308</v>
      </c>
      <c r="F36" s="114"/>
      <c r="G36" s="203">
        <v>2.9490087921875002E-2</v>
      </c>
      <c r="H36" s="114"/>
      <c r="I36" s="203">
        <v>0.17679428565583963</v>
      </c>
      <c r="J36" s="114"/>
      <c r="K36" s="203">
        <v>0.13488452849963448</v>
      </c>
      <c r="L36" s="114"/>
      <c r="M36" s="203">
        <f t="shared" si="2"/>
        <v>19.984325890251657</v>
      </c>
      <c r="N36" s="114"/>
      <c r="O36" s="203">
        <v>19.098622215760113</v>
      </c>
      <c r="P36" s="114"/>
      <c r="Q36" s="203">
        <v>2.7643228868748766E-2</v>
      </c>
      <c r="R36" s="114"/>
      <c r="S36" s="203">
        <v>0.21717479108042784</v>
      </c>
      <c r="T36" s="114"/>
      <c r="U36" s="203">
        <v>0.1350365545792197</v>
      </c>
      <c r="V36" s="114"/>
      <c r="W36" s="204">
        <f t="shared" si="3"/>
        <v>19.478476790288507</v>
      </c>
      <c r="X36" s="195"/>
      <c r="Y36" s="195"/>
    </row>
    <row r="37" spans="1:25">
      <c r="A37" s="140">
        <v>23</v>
      </c>
      <c r="C37" s="195" t="s">
        <v>929</v>
      </c>
      <c r="D37" s="195"/>
      <c r="E37" s="203">
        <v>41.057865435177092</v>
      </c>
      <c r="F37" s="114"/>
      <c r="G37" s="203">
        <v>1.7443777838000429</v>
      </c>
      <c r="H37" s="114"/>
      <c r="I37" s="203">
        <v>3.917595260881924</v>
      </c>
      <c r="J37" s="114"/>
      <c r="K37" s="203">
        <v>2.997899813752662</v>
      </c>
      <c r="L37" s="114"/>
      <c r="M37" s="203">
        <f t="shared" si="2"/>
        <v>49.717738293611724</v>
      </c>
      <c r="N37" s="114"/>
      <c r="O37" s="203">
        <v>39.919686097506641</v>
      </c>
      <c r="P37" s="114"/>
      <c r="Q37" s="203">
        <v>1.6351336231648461</v>
      </c>
      <c r="R37" s="114"/>
      <c r="S37" s="203">
        <v>4.8123893210889177</v>
      </c>
      <c r="T37" s="114"/>
      <c r="U37" s="203">
        <v>3.00127869612519</v>
      </c>
      <c r="V37" s="114"/>
      <c r="W37" s="204">
        <f t="shared" si="3"/>
        <v>49.368487737885594</v>
      </c>
      <c r="X37" s="195"/>
      <c r="Y37" s="195"/>
    </row>
    <row r="38" spans="1:25">
      <c r="A38" s="140">
        <v>24</v>
      </c>
      <c r="C38" s="195" t="s">
        <v>930</v>
      </c>
      <c r="D38" s="195"/>
      <c r="E38" s="203">
        <v>463.16522971377901</v>
      </c>
      <c r="F38" s="114"/>
      <c r="G38" s="203">
        <v>7.352396845245841</v>
      </c>
      <c r="H38" s="114"/>
      <c r="I38" s="203">
        <v>44.077920403529298</v>
      </c>
      <c r="J38" s="114"/>
      <c r="K38" s="203">
        <v>33.629081894922024</v>
      </c>
      <c r="L38" s="114"/>
      <c r="M38" s="203">
        <f t="shared" si="2"/>
        <v>548.2246288574762</v>
      </c>
      <c r="N38" s="114"/>
      <c r="O38" s="203">
        <v>450.32566563025625</v>
      </c>
      <c r="P38" s="114"/>
      <c r="Q38" s="203">
        <v>6.8919424474226778</v>
      </c>
      <c r="R38" s="114"/>
      <c r="S38" s="203">
        <v>54.145489597615935</v>
      </c>
      <c r="T38" s="114"/>
      <c r="U38" s="203">
        <v>33.666984666554946</v>
      </c>
      <c r="V38" s="114"/>
      <c r="W38" s="204">
        <f t="shared" si="3"/>
        <v>545.03008234184983</v>
      </c>
      <c r="X38" s="195"/>
      <c r="Y38" s="195"/>
    </row>
    <row r="39" spans="1:25">
      <c r="A39" s="140">
        <v>25</v>
      </c>
      <c r="C39" s="195" t="s">
        <v>931</v>
      </c>
      <c r="D39" s="195"/>
      <c r="E39" s="203">
        <v>128.4609163617869</v>
      </c>
      <c r="F39" s="114"/>
      <c r="G39" s="203">
        <v>96.729260561217899</v>
      </c>
      <c r="H39" s="114"/>
      <c r="I39" s="203">
        <v>603.10218693489446</v>
      </c>
      <c r="J39" s="114"/>
      <c r="K39" s="203">
        <v>876.18024926415137</v>
      </c>
      <c r="L39" s="114"/>
      <c r="M39" s="203">
        <f t="shared" si="2"/>
        <v>1704.4726131220507</v>
      </c>
      <c r="N39" s="114"/>
      <c r="O39" s="203">
        <v>124.8998067144274</v>
      </c>
      <c r="P39" s="114"/>
      <c r="Q39" s="203">
        <v>90.671451881808125</v>
      </c>
      <c r="R39" s="114"/>
      <c r="S39" s="203">
        <v>740.85308222408923</v>
      </c>
      <c r="T39" s="114"/>
      <c r="U39" s="203">
        <v>877.16777726152293</v>
      </c>
      <c r="V39" s="114"/>
      <c r="W39" s="204">
        <f t="shared" si="3"/>
        <v>1833.5921180818475</v>
      </c>
      <c r="X39" s="195"/>
      <c r="Y39" s="195"/>
    </row>
    <row r="40" spans="1:25">
      <c r="A40" s="140">
        <v>26</v>
      </c>
      <c r="C40" s="195" t="s">
        <v>932</v>
      </c>
      <c r="D40" s="195"/>
      <c r="E40" s="203">
        <v>14.566461358042149</v>
      </c>
      <c r="F40" s="114"/>
      <c r="G40" s="203">
        <v>9.9870469053464248</v>
      </c>
      <c r="H40" s="114"/>
      <c r="I40" s="203">
        <v>62.268746754492533</v>
      </c>
      <c r="J40" s="114"/>
      <c r="K40" s="203">
        <v>90.463353034744088</v>
      </c>
      <c r="L40" s="114"/>
      <c r="M40" s="203">
        <f t="shared" si="2"/>
        <v>177.28560805262521</v>
      </c>
      <c r="N40" s="114"/>
      <c r="O40" s="203">
        <v>14.162659427158182</v>
      </c>
      <c r="P40" s="114"/>
      <c r="Q40" s="203">
        <v>9.3615937686857631</v>
      </c>
      <c r="R40" s="114"/>
      <c r="S40" s="203">
        <v>76.491171742802919</v>
      </c>
      <c r="T40" s="114"/>
      <c r="U40" s="203">
        <v>90.565312755855061</v>
      </c>
      <c r="V40" s="114"/>
      <c r="W40" s="204">
        <f t="shared" si="3"/>
        <v>190.58073769450195</v>
      </c>
      <c r="X40" s="195"/>
      <c r="Y40" s="195"/>
    </row>
    <row r="41" spans="1:25">
      <c r="A41" s="140">
        <v>27</v>
      </c>
      <c r="C41" s="195" t="s">
        <v>933</v>
      </c>
      <c r="D41" s="195"/>
      <c r="E41" s="203">
        <v>65.613483750987882</v>
      </c>
      <c r="F41" s="114"/>
      <c r="G41" s="203">
        <v>2.8522366222343125</v>
      </c>
      <c r="H41" s="114"/>
      <c r="I41" s="203">
        <v>53.547075007156863</v>
      </c>
      <c r="J41" s="114"/>
      <c r="K41" s="203">
        <v>75.954499308342562</v>
      </c>
      <c r="L41" s="114"/>
      <c r="M41" s="203">
        <f t="shared" si="2"/>
        <v>197.96729468872161</v>
      </c>
      <c r="N41" s="114"/>
      <c r="O41" s="203">
        <v>63.794589595473241</v>
      </c>
      <c r="P41" s="114"/>
      <c r="Q41" s="203">
        <v>2.6736112128633147</v>
      </c>
      <c r="R41" s="114"/>
      <c r="S41" s="203">
        <v>65.777436100425092</v>
      </c>
      <c r="T41" s="114"/>
      <c r="U41" s="203">
        <v>76.040106344858529</v>
      </c>
      <c r="V41" s="114"/>
      <c r="W41" s="204">
        <f t="shared" si="3"/>
        <v>208.28574325362015</v>
      </c>
      <c r="X41" s="195"/>
      <c r="Y41" s="195"/>
    </row>
    <row r="42" spans="1:25">
      <c r="A42" s="140">
        <v>28</v>
      </c>
      <c r="C42" s="195" t="s">
        <v>934</v>
      </c>
      <c r="D42" s="195"/>
      <c r="E42" s="203">
        <v>0</v>
      </c>
      <c r="F42" s="114"/>
      <c r="G42" s="203">
        <v>31.389357744205046</v>
      </c>
      <c r="H42" s="114"/>
      <c r="I42" s="203">
        <v>154.05655875252384</v>
      </c>
      <c r="J42" s="114"/>
      <c r="K42" s="203">
        <v>244.41388709747616</v>
      </c>
      <c r="L42" s="114"/>
      <c r="M42" s="203">
        <f t="shared" si="2"/>
        <v>429.85980359420506</v>
      </c>
      <c r="N42" s="114"/>
      <c r="O42" s="203">
        <v>0</v>
      </c>
      <c r="P42" s="114"/>
      <c r="Q42" s="203">
        <v>29.423554194372251</v>
      </c>
      <c r="R42" s="114"/>
      <c r="S42" s="203">
        <v>187.99442747031662</v>
      </c>
      <c r="T42" s="114"/>
      <c r="U42" s="203">
        <v>243.07409816296237</v>
      </c>
      <c r="V42" s="114"/>
      <c r="W42" s="204">
        <f t="shared" si="3"/>
        <v>460.49207982765125</v>
      </c>
      <c r="X42" s="195"/>
      <c r="Y42" s="195"/>
    </row>
    <row r="43" spans="1:25">
      <c r="A43" s="140">
        <v>29</v>
      </c>
      <c r="C43" s="195" t="s">
        <v>935</v>
      </c>
      <c r="D43" s="195"/>
      <c r="E43" s="203">
        <v>0</v>
      </c>
      <c r="F43" s="114"/>
      <c r="G43" s="203">
        <v>109.9260462507728</v>
      </c>
      <c r="H43" s="114"/>
      <c r="I43" s="203">
        <v>2565.4189413444342</v>
      </c>
      <c r="J43" s="114"/>
      <c r="K43" s="203">
        <v>1387.0988552155645</v>
      </c>
      <c r="L43" s="114"/>
      <c r="M43" s="203">
        <f t="shared" si="2"/>
        <v>4062.4438428107715</v>
      </c>
      <c r="N43" s="114"/>
      <c r="O43" s="203">
        <v>0</v>
      </c>
      <c r="P43" s="114"/>
      <c r="Q43" s="203">
        <v>103.04176993967982</v>
      </c>
      <c r="R43" s="114"/>
      <c r="S43" s="203">
        <v>3130.5675591150489</v>
      </c>
      <c r="T43" s="114"/>
      <c r="U43" s="203">
        <v>1379.4952786783879</v>
      </c>
      <c r="V43" s="114"/>
      <c r="W43" s="204">
        <f t="shared" si="3"/>
        <v>4613.1046077331166</v>
      </c>
      <c r="X43" s="195"/>
      <c r="Y43" s="195"/>
    </row>
    <row r="44" spans="1:25">
      <c r="A44" s="140">
        <v>30</v>
      </c>
      <c r="C44" s="195" t="s">
        <v>936</v>
      </c>
      <c r="D44" s="195"/>
      <c r="E44" s="203">
        <v>0</v>
      </c>
      <c r="F44" s="114"/>
      <c r="G44" s="203">
        <v>10.217205964270001</v>
      </c>
      <c r="H44" s="114"/>
      <c r="I44" s="203">
        <v>163.59611982924099</v>
      </c>
      <c r="J44" s="114"/>
      <c r="K44" s="203">
        <v>205.02580077075902</v>
      </c>
      <c r="L44" s="114"/>
      <c r="M44" s="203">
        <f t="shared" si="2"/>
        <v>378.83912656427003</v>
      </c>
      <c r="N44" s="114"/>
      <c r="O44" s="203">
        <v>0</v>
      </c>
      <c r="P44" s="114"/>
      <c r="Q44" s="203">
        <v>9.5773387864319055</v>
      </c>
      <c r="R44" s="114"/>
      <c r="S44" s="203">
        <v>199.63550486070835</v>
      </c>
      <c r="T44" s="114"/>
      <c r="U44" s="203">
        <v>203.90192314488201</v>
      </c>
      <c r="V44" s="114"/>
      <c r="W44" s="204">
        <f t="shared" si="3"/>
        <v>413.11476679202224</v>
      </c>
      <c r="X44" s="195"/>
      <c r="Y44" s="195"/>
    </row>
    <row r="45" spans="1:25">
      <c r="A45" s="140">
        <v>31</v>
      </c>
      <c r="C45" s="195" t="s">
        <v>155</v>
      </c>
      <c r="D45" s="195"/>
      <c r="E45" s="216">
        <f>SUM(E33:E44)</f>
        <v>11562.505793368895</v>
      </c>
      <c r="F45" s="114"/>
      <c r="G45" s="216">
        <f>SUM(G33:G44)</f>
        <v>2229.843439011795</v>
      </c>
      <c r="H45" s="114"/>
      <c r="I45" s="216">
        <f>SUM(I33:I44)</f>
        <v>7022.3591483010023</v>
      </c>
      <c r="J45" s="114"/>
      <c r="K45" s="216">
        <f>SUM(K33:K44)</f>
        <v>6633.8388202922551</v>
      </c>
      <c r="L45" s="114"/>
      <c r="M45" s="216">
        <f>SUM(M33:M44)</f>
        <v>27448.54720097395</v>
      </c>
      <c r="N45" s="114"/>
      <c r="O45" s="216">
        <f>SUM(O33:O44)</f>
        <v>11241.977557275253</v>
      </c>
      <c r="P45" s="114"/>
      <c r="Q45" s="216">
        <f>SUM(Q33:Q44)</f>
        <v>2090.1962954256855</v>
      </c>
      <c r="R45" s="114"/>
      <c r="S45" s="216">
        <f>SUM(S33:S44)</f>
        <v>8602.9144598812236</v>
      </c>
      <c r="T45" s="114"/>
      <c r="U45" s="216">
        <f>SUM(U33:U44)</f>
        <v>6629.1785335139166</v>
      </c>
      <c r="V45" s="114"/>
      <c r="W45" s="216">
        <f>SUM(W33:W44)</f>
        <v>28564.266846096081</v>
      </c>
      <c r="X45" s="195"/>
      <c r="Y45" s="195"/>
    </row>
    <row r="46" spans="1:25">
      <c r="A46" s="197"/>
      <c r="B46" s="197"/>
      <c r="C46" s="195"/>
      <c r="D46" s="195"/>
      <c r="E46" s="114"/>
      <c r="F46" s="114"/>
      <c r="G46" s="114"/>
      <c r="H46" s="114"/>
      <c r="I46" s="114"/>
      <c r="J46" s="114"/>
      <c r="K46" s="114"/>
      <c r="L46" s="114"/>
      <c r="M46" s="114"/>
      <c r="N46" s="114"/>
      <c r="O46" s="114"/>
      <c r="P46" s="114"/>
      <c r="Q46" s="114"/>
      <c r="R46" s="114"/>
      <c r="S46" s="114"/>
      <c r="T46" s="114"/>
      <c r="U46" s="114"/>
      <c r="V46" s="114"/>
      <c r="W46" s="114"/>
      <c r="X46" s="195"/>
      <c r="Y46" s="195"/>
    </row>
    <row r="47" spans="1:25">
      <c r="C47" s="201" t="s">
        <v>624</v>
      </c>
      <c r="D47" s="195"/>
      <c r="E47" s="203"/>
      <c r="F47" s="114"/>
      <c r="G47" s="203"/>
      <c r="H47" s="114"/>
      <c r="I47" s="203"/>
      <c r="J47" s="114"/>
      <c r="K47" s="203"/>
      <c r="L47" s="114"/>
      <c r="M47" s="114"/>
      <c r="N47" s="114"/>
      <c r="O47" s="114"/>
      <c r="P47" s="114"/>
      <c r="Q47" s="114"/>
      <c r="R47" s="114"/>
      <c r="S47" s="114"/>
      <c r="T47" s="114"/>
      <c r="U47" s="114"/>
      <c r="V47" s="114"/>
      <c r="W47" s="114"/>
      <c r="X47" s="195"/>
      <c r="Y47" s="195"/>
    </row>
    <row r="48" spans="1:25">
      <c r="A48" s="140">
        <v>32</v>
      </c>
      <c r="C48" s="195" t="s">
        <v>937</v>
      </c>
      <c r="D48" s="195"/>
      <c r="E48" s="203">
        <v>0</v>
      </c>
      <c r="F48" s="114"/>
      <c r="G48" s="203">
        <v>0</v>
      </c>
      <c r="H48" s="114"/>
      <c r="I48" s="203">
        <v>0</v>
      </c>
      <c r="J48" s="114"/>
      <c r="K48" s="203">
        <v>0</v>
      </c>
      <c r="L48" s="114"/>
      <c r="M48" s="203">
        <f t="shared" ref="M48:M56" si="4">I48+K48+G48+E48</f>
        <v>0</v>
      </c>
      <c r="N48" s="114"/>
      <c r="O48" s="203">
        <v>0</v>
      </c>
      <c r="P48" s="114"/>
      <c r="Q48" s="203">
        <v>0</v>
      </c>
      <c r="R48" s="114"/>
      <c r="S48" s="203">
        <v>0</v>
      </c>
      <c r="T48" s="114"/>
      <c r="U48" s="203">
        <v>0</v>
      </c>
      <c r="V48" s="114"/>
      <c r="W48" s="204">
        <f t="shared" ref="W48:W56" si="5">S48 + U48 + Q48 + O48</f>
        <v>0</v>
      </c>
      <c r="X48" s="195"/>
      <c r="Y48" s="195"/>
    </row>
    <row r="49" spans="1:32">
      <c r="A49" s="140">
        <v>33</v>
      </c>
      <c r="C49" s="195" t="s">
        <v>938</v>
      </c>
      <c r="D49" s="195"/>
      <c r="E49" s="203">
        <v>0</v>
      </c>
      <c r="F49" s="114"/>
      <c r="G49" s="203">
        <v>0</v>
      </c>
      <c r="H49" s="114"/>
      <c r="I49" s="203">
        <v>0</v>
      </c>
      <c r="J49" s="114"/>
      <c r="K49" s="203">
        <v>0</v>
      </c>
      <c r="L49" s="114"/>
      <c r="M49" s="203">
        <f t="shared" si="4"/>
        <v>0</v>
      </c>
      <c r="N49" s="114"/>
      <c r="O49" s="203">
        <v>0</v>
      </c>
      <c r="P49" s="114"/>
      <c r="Q49" s="203">
        <v>0</v>
      </c>
      <c r="R49" s="114"/>
      <c r="S49" s="203">
        <v>0</v>
      </c>
      <c r="T49" s="114"/>
      <c r="U49" s="203">
        <v>0</v>
      </c>
      <c r="V49" s="114"/>
      <c r="W49" s="204">
        <f t="shared" si="5"/>
        <v>0</v>
      </c>
      <c r="X49" s="195"/>
      <c r="Y49" s="195"/>
    </row>
    <row r="50" spans="1:32">
      <c r="A50" s="140">
        <v>34</v>
      </c>
      <c r="C50" s="195" t="s">
        <v>939</v>
      </c>
      <c r="D50" s="195"/>
      <c r="E50" s="203">
        <v>0</v>
      </c>
      <c r="F50" s="114"/>
      <c r="G50" s="203">
        <v>0</v>
      </c>
      <c r="H50" s="114"/>
      <c r="I50" s="203">
        <v>0</v>
      </c>
      <c r="J50" s="114"/>
      <c r="K50" s="203">
        <v>0</v>
      </c>
      <c r="L50" s="114"/>
      <c r="M50" s="203">
        <f t="shared" si="4"/>
        <v>0</v>
      </c>
      <c r="N50" s="114"/>
      <c r="O50" s="203">
        <v>0</v>
      </c>
      <c r="P50" s="114"/>
      <c r="Q50" s="203">
        <v>0</v>
      </c>
      <c r="R50" s="114"/>
      <c r="S50" s="203">
        <v>0</v>
      </c>
      <c r="T50" s="114"/>
      <c r="U50" s="203">
        <v>0</v>
      </c>
      <c r="V50" s="114"/>
      <c r="W50" s="204">
        <f t="shared" si="5"/>
        <v>0</v>
      </c>
      <c r="X50" s="195"/>
      <c r="Y50" s="195"/>
    </row>
    <row r="51" spans="1:32">
      <c r="A51" s="140">
        <v>35</v>
      </c>
      <c r="C51" s="195" t="s">
        <v>940</v>
      </c>
      <c r="D51" s="195"/>
      <c r="E51" s="203">
        <v>0</v>
      </c>
      <c r="F51" s="114"/>
      <c r="G51" s="203">
        <v>0</v>
      </c>
      <c r="H51" s="114"/>
      <c r="I51" s="203">
        <v>2356.8045680071191</v>
      </c>
      <c r="J51" s="114"/>
      <c r="K51" s="203">
        <v>1673.0697185397185</v>
      </c>
      <c r="L51" s="114"/>
      <c r="M51" s="203">
        <f t="shared" si="4"/>
        <v>4029.8742865468375</v>
      </c>
      <c r="N51" s="114"/>
      <c r="O51" s="203">
        <v>0</v>
      </c>
      <c r="P51" s="114"/>
      <c r="Q51" s="203">
        <v>0</v>
      </c>
      <c r="R51" s="114"/>
      <c r="S51" s="203">
        <v>2875.996510694918</v>
      </c>
      <c r="T51" s="114"/>
      <c r="U51" s="203">
        <v>1663.8985526858091</v>
      </c>
      <c r="V51" s="114"/>
      <c r="W51" s="204">
        <f t="shared" si="5"/>
        <v>4539.8950633807272</v>
      </c>
      <c r="X51" s="195"/>
      <c r="Y51" s="195"/>
    </row>
    <row r="52" spans="1:32">
      <c r="A52" s="140">
        <v>36</v>
      </c>
      <c r="C52" s="195" t="s">
        <v>941</v>
      </c>
      <c r="D52" s="195"/>
      <c r="E52" s="203">
        <v>0</v>
      </c>
      <c r="F52" s="114"/>
      <c r="G52" s="203">
        <v>0</v>
      </c>
      <c r="H52" s="114"/>
      <c r="I52" s="203">
        <v>410.98500000000001</v>
      </c>
      <c r="J52" s="114"/>
      <c r="K52" s="203">
        <v>1977.3150000000001</v>
      </c>
      <c r="L52" s="114"/>
      <c r="M52" s="203">
        <f t="shared" si="4"/>
        <v>2388.3000000000002</v>
      </c>
      <c r="N52" s="114"/>
      <c r="O52" s="203">
        <v>0</v>
      </c>
      <c r="P52" s="114"/>
      <c r="Q52" s="203">
        <v>0</v>
      </c>
      <c r="R52" s="114"/>
      <c r="S52" s="203">
        <v>511.42336737272689</v>
      </c>
      <c r="T52" s="114"/>
      <c r="U52" s="203">
        <v>1969.0537638875649</v>
      </c>
      <c r="V52" s="114"/>
      <c r="W52" s="204">
        <f t="shared" si="5"/>
        <v>2480.4771312602916</v>
      </c>
      <c r="X52" s="195"/>
      <c r="Y52" s="195"/>
    </row>
    <row r="53" spans="1:32">
      <c r="A53" s="140">
        <v>37</v>
      </c>
      <c r="C53" s="195" t="s">
        <v>942</v>
      </c>
      <c r="D53" s="195"/>
      <c r="E53" s="203">
        <v>0</v>
      </c>
      <c r="F53" s="114"/>
      <c r="G53" s="203">
        <v>0</v>
      </c>
      <c r="H53" s="114"/>
      <c r="I53" s="203">
        <v>3367.7501347010402</v>
      </c>
      <c r="J53" s="114"/>
      <c r="K53" s="203">
        <v>12354.326469932752</v>
      </c>
      <c r="L53" s="114"/>
      <c r="M53" s="203">
        <f t="shared" si="4"/>
        <v>15722.076604633792</v>
      </c>
      <c r="N53" s="114"/>
      <c r="O53" s="203">
        <v>0</v>
      </c>
      <c r="P53" s="114"/>
      <c r="Q53" s="203">
        <v>0</v>
      </c>
      <c r="R53" s="114"/>
      <c r="S53" s="203">
        <v>4109.6481939028881</v>
      </c>
      <c r="T53" s="114"/>
      <c r="U53" s="203">
        <v>12286.604500062909</v>
      </c>
      <c r="V53" s="114"/>
      <c r="W53" s="204">
        <f t="shared" si="5"/>
        <v>16396.252693965798</v>
      </c>
      <c r="X53" s="195"/>
      <c r="Y53" s="195"/>
    </row>
    <row r="54" spans="1:32">
      <c r="A54" s="140">
        <v>38</v>
      </c>
      <c r="C54" s="195" t="s">
        <v>943</v>
      </c>
      <c r="D54" s="195"/>
      <c r="E54" s="203">
        <v>0</v>
      </c>
      <c r="F54" s="114"/>
      <c r="G54" s="203">
        <v>0</v>
      </c>
      <c r="H54" s="114"/>
      <c r="I54" s="203">
        <v>43.120009500000002</v>
      </c>
      <c r="J54" s="114"/>
      <c r="K54" s="203">
        <v>0</v>
      </c>
      <c r="L54" s="114"/>
      <c r="M54" s="203">
        <f t="shared" si="4"/>
        <v>43.120009500000002</v>
      </c>
      <c r="N54" s="114"/>
      <c r="O54" s="203">
        <v>0</v>
      </c>
      <c r="P54" s="114"/>
      <c r="Q54" s="203">
        <v>0</v>
      </c>
      <c r="R54" s="114"/>
      <c r="S54" s="203">
        <v>53.702699847298454</v>
      </c>
      <c r="T54" s="114"/>
      <c r="U54" s="203">
        <v>0</v>
      </c>
      <c r="V54" s="114"/>
      <c r="W54" s="204">
        <f t="shared" si="5"/>
        <v>53.702699847298454</v>
      </c>
      <c r="X54" s="195"/>
      <c r="Y54" s="195"/>
    </row>
    <row r="55" spans="1:32">
      <c r="A55" s="140">
        <v>39</v>
      </c>
      <c r="C55" s="195" t="s">
        <v>944</v>
      </c>
      <c r="D55" s="195"/>
      <c r="E55" s="203">
        <v>0</v>
      </c>
      <c r="F55" s="114"/>
      <c r="G55" s="203">
        <v>0</v>
      </c>
      <c r="H55" s="114"/>
      <c r="I55" s="203">
        <v>99.780409569172775</v>
      </c>
      <c r="J55" s="114"/>
      <c r="K55" s="203">
        <v>96.428791883564728</v>
      </c>
      <c r="L55" s="114"/>
      <c r="M55" s="203">
        <f t="shared" si="4"/>
        <v>196.20920145273749</v>
      </c>
      <c r="N55" s="114"/>
      <c r="O55" s="203">
        <v>0</v>
      </c>
      <c r="P55" s="114"/>
      <c r="Q55" s="203">
        <v>0</v>
      </c>
      <c r="R55" s="114"/>
      <c r="S55" s="203">
        <v>121.85619856187017</v>
      </c>
      <c r="T55" s="114"/>
      <c r="U55" s="203">
        <v>96.021835502270036</v>
      </c>
      <c r="V55" s="114"/>
      <c r="W55" s="204">
        <f t="shared" si="5"/>
        <v>217.87803406414019</v>
      </c>
      <c r="X55" s="195"/>
      <c r="Y55" s="195"/>
    </row>
    <row r="56" spans="1:32">
      <c r="A56" s="140">
        <v>40</v>
      </c>
      <c r="C56" s="195" t="s">
        <v>945</v>
      </c>
      <c r="D56" s="195"/>
      <c r="E56" s="203">
        <v>0</v>
      </c>
      <c r="F56" s="114"/>
      <c r="G56" s="203">
        <v>0</v>
      </c>
      <c r="H56" s="114"/>
      <c r="I56" s="203">
        <v>11.973151205783873</v>
      </c>
      <c r="J56" s="114"/>
      <c r="K56" s="203">
        <v>29.198154308992827</v>
      </c>
      <c r="L56" s="114"/>
      <c r="M56" s="203">
        <f t="shared" si="4"/>
        <v>41.171305514776698</v>
      </c>
      <c r="N56" s="114"/>
      <c r="O56" s="203">
        <v>0</v>
      </c>
      <c r="P56" s="114"/>
      <c r="Q56" s="203">
        <v>0</v>
      </c>
      <c r="R56" s="114"/>
      <c r="S56" s="203">
        <v>14.61077492690648</v>
      </c>
      <c r="T56" s="114"/>
      <c r="U56" s="203">
        <v>29.038100539070125</v>
      </c>
      <c r="V56" s="114"/>
      <c r="W56" s="204">
        <f t="shared" si="5"/>
        <v>43.648875465976602</v>
      </c>
      <c r="X56" s="195"/>
      <c r="Y56" s="195"/>
    </row>
    <row r="57" spans="1:32">
      <c r="A57" s="140">
        <v>41</v>
      </c>
      <c r="C57" s="195" t="s">
        <v>946</v>
      </c>
      <c r="D57" s="195"/>
      <c r="E57" s="216">
        <f>SUM(E48:E56)</f>
        <v>0</v>
      </c>
      <c r="F57" s="114"/>
      <c r="G57" s="216">
        <f>SUM(G48:G56)</f>
        <v>0</v>
      </c>
      <c r="H57" s="114"/>
      <c r="I57" s="216">
        <f>SUM(I48:I56)</f>
        <v>6290.4132729831172</v>
      </c>
      <c r="J57" s="114"/>
      <c r="K57" s="216">
        <f>SUM(K48:K56)</f>
        <v>16130.338134665029</v>
      </c>
      <c r="L57" s="114"/>
      <c r="M57" s="216">
        <f>SUM(M48:M56)</f>
        <v>22420.751407648142</v>
      </c>
      <c r="N57" s="114"/>
      <c r="O57" s="216">
        <f>SUM(O48:O56)</f>
        <v>0</v>
      </c>
      <c r="P57" s="114"/>
      <c r="Q57" s="216">
        <f>SUM(Q48:Q56)</f>
        <v>0</v>
      </c>
      <c r="R57" s="114"/>
      <c r="S57" s="216">
        <f>SUM(S48:S56)</f>
        <v>7687.2377453066074</v>
      </c>
      <c r="T57" s="114"/>
      <c r="U57" s="216">
        <f>SUM(U48:U56)</f>
        <v>16044.616752677623</v>
      </c>
      <c r="V57" s="114"/>
      <c r="W57" s="216">
        <f>SUM(W48:W56)</f>
        <v>23731.85449798423</v>
      </c>
      <c r="X57" s="195"/>
      <c r="Y57" s="195"/>
      <c r="Z57" s="195"/>
      <c r="AB57" s="406"/>
    </row>
    <row r="58" spans="1:32">
      <c r="C58" s="195"/>
      <c r="D58" s="195"/>
      <c r="E58" s="114"/>
      <c r="F58" s="114"/>
      <c r="G58" s="114"/>
      <c r="H58" s="114"/>
      <c r="I58" s="114"/>
      <c r="J58" s="114"/>
      <c r="K58" s="114"/>
      <c r="L58" s="114"/>
      <c r="M58" s="114"/>
      <c r="N58" s="114"/>
      <c r="O58" s="114"/>
      <c r="P58" s="114"/>
      <c r="Q58" s="114"/>
      <c r="R58" s="114"/>
      <c r="S58" s="114"/>
      <c r="T58" s="114"/>
      <c r="U58" s="114"/>
      <c r="V58" s="114"/>
      <c r="W58" s="114"/>
      <c r="X58" s="195"/>
      <c r="Y58" s="195"/>
    </row>
    <row r="59" spans="1:32" ht="15" thickBot="1">
      <c r="A59" s="140">
        <v>42</v>
      </c>
      <c r="C59" s="195" t="s">
        <v>8</v>
      </c>
      <c r="D59" s="195"/>
      <c r="E59" s="208">
        <f>E57 + E45 + E30 + E22</f>
        <v>46924.505676892557</v>
      </c>
      <c r="F59" s="114"/>
      <c r="G59" s="208">
        <f>G57 + G45 + G30 + G22</f>
        <v>4279.0945088308636</v>
      </c>
      <c r="H59" s="114"/>
      <c r="I59" s="208">
        <f>I57 + I45 + I30 + I22</f>
        <v>44447.217232064504</v>
      </c>
      <c r="J59" s="114"/>
      <c r="K59" s="208">
        <f>K57 + K45 + K30 + K22</f>
        <v>36592.899986317163</v>
      </c>
      <c r="L59" s="114"/>
      <c r="M59" s="208">
        <f>M57 + M45 + M30 + M22</f>
        <v>132243.71740410509</v>
      </c>
      <c r="N59" s="114"/>
      <c r="O59" s="208">
        <f>O57 + O45 + O30 + O22</f>
        <v>46390.692841946395</v>
      </c>
      <c r="P59" s="114"/>
      <c r="Q59" s="208">
        <f>Q57 + Q45 + Q30 + Q22</f>
        <v>3884.1941707516062</v>
      </c>
      <c r="R59" s="114"/>
      <c r="S59" s="208">
        <f>S57 + S45 + S30 + S22</f>
        <v>50562.236123441275</v>
      </c>
      <c r="T59" s="114"/>
      <c r="U59" s="208">
        <f>U57 + U45 + U30 + U22</f>
        <v>35305.778577559584</v>
      </c>
      <c r="V59" s="114"/>
      <c r="W59" s="208">
        <f>W57 + W45 + W30 + W22</f>
        <v>136142.90171369884</v>
      </c>
      <c r="X59" s="195"/>
      <c r="Y59" s="195"/>
      <c r="AC59" s="207"/>
      <c r="AD59" s="206"/>
      <c r="AE59" s="207"/>
      <c r="AF59" s="206"/>
    </row>
    <row r="60" spans="1:32" ht="15" thickTop="1">
      <c r="C60" s="195"/>
      <c r="D60" s="195"/>
      <c r="E60" s="195"/>
      <c r="F60" s="195"/>
      <c r="G60" s="195"/>
      <c r="H60" s="195"/>
      <c r="I60" s="195"/>
      <c r="J60" s="195"/>
      <c r="K60" s="195"/>
      <c r="L60" s="195"/>
      <c r="M60" s="195"/>
      <c r="N60" s="195"/>
      <c r="O60" s="195"/>
      <c r="P60" s="195"/>
      <c r="Q60" s="195"/>
      <c r="R60" s="195"/>
      <c r="S60" s="195"/>
      <c r="T60" s="195"/>
      <c r="U60" s="195"/>
      <c r="V60" s="195"/>
      <c r="W60" s="204"/>
      <c r="X60" s="195"/>
      <c r="Y60" s="195"/>
      <c r="AC60" s="207"/>
    </row>
    <row r="61" spans="1:32">
      <c r="A61" s="197" t="s">
        <v>80</v>
      </c>
      <c r="E61" s="223"/>
      <c r="F61" s="224"/>
      <c r="G61" s="224"/>
      <c r="H61" s="224"/>
      <c r="I61" s="224"/>
      <c r="J61" s="224"/>
      <c r="K61" s="224"/>
      <c r="O61" s="224"/>
      <c r="P61" s="224"/>
      <c r="Q61" s="224"/>
      <c r="R61" s="224"/>
      <c r="S61" s="224"/>
      <c r="T61" s="224"/>
      <c r="U61" s="224"/>
    </row>
    <row r="62" spans="1:32">
      <c r="A62" s="202" t="s">
        <v>40</v>
      </c>
      <c r="C62" s="195" t="s">
        <v>947</v>
      </c>
      <c r="E62" s="207" t="s">
        <v>168</v>
      </c>
      <c r="G62" s="207"/>
      <c r="I62" s="207"/>
      <c r="K62" s="207"/>
      <c r="M62" s="207"/>
      <c r="Q62" s="207"/>
      <c r="U62" s="207"/>
    </row>
    <row r="63" spans="1:32">
      <c r="A63" s="202" t="s">
        <v>20</v>
      </c>
      <c r="C63" s="195" t="s">
        <v>948</v>
      </c>
    </row>
  </sheetData>
  <mergeCells count="4">
    <mergeCell ref="A3:W3"/>
    <mergeCell ref="A4:W4"/>
    <mergeCell ref="E7:M7"/>
    <mergeCell ref="O7:W7"/>
  </mergeCells>
  <phoneticPr fontId="43" type="noConversion"/>
  <printOptions horizontalCentered="1"/>
  <pageMargins left="0.45" right="0.7" top="0.75" bottom="0.75" header="0.3" footer="0.3"/>
  <pageSetup scale="55" orientation="landscape" r:id="rId1"/>
  <headerFooter>
    <oddHeader>&amp;R&amp;10Filed: 2024-02-16
EB-2022-0200
Rate Order
Working Papers
Schedule 23
Page &amp;P of 5</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9A641-0EE4-428B-B67A-109F6D5F3BA7}">
  <sheetPr>
    <pageSetUpPr fitToPage="1"/>
  </sheetPr>
  <dimension ref="A1:O64"/>
  <sheetViews>
    <sheetView view="pageLayout" zoomScaleNormal="100" zoomScaleSheetLayoutView="100" workbookViewId="0">
      <selection activeCell="A2" sqref="A2:M2"/>
    </sheetView>
  </sheetViews>
  <sheetFormatPr defaultColWidth="8.625" defaultRowHeight="12.6"/>
  <cols>
    <col min="1" max="1" width="5.625" style="138" customWidth="1"/>
    <col min="2" max="2" width="1.5" style="151" customWidth="1"/>
    <col min="3" max="3" width="21.125" style="151" customWidth="1"/>
    <col min="4" max="4" width="3.125" style="151" customWidth="1"/>
    <col min="5" max="5" width="15" style="151" customWidth="1"/>
    <col min="6" max="6" width="2.125" style="151" customWidth="1"/>
    <col min="7" max="7" width="15" style="151" customWidth="1"/>
    <col min="8" max="8" width="2.125" style="151" customWidth="1"/>
    <col min="9" max="9" width="15" style="151" customWidth="1"/>
    <col min="10" max="10" width="2.125" style="151" customWidth="1"/>
    <col min="11" max="11" width="15" style="151" customWidth="1"/>
    <col min="12" max="12" width="2.125" style="151" customWidth="1"/>
    <col min="13" max="13" width="17.125" style="151" customWidth="1"/>
    <col min="14" max="16384" width="8.625" style="151"/>
  </cols>
  <sheetData>
    <row r="1" spans="1:14" ht="39" customHeight="1"/>
    <row r="2" spans="1:14" ht="42" customHeight="1">
      <c r="A2" s="1177" t="s">
        <v>949</v>
      </c>
      <c r="B2" s="1177"/>
      <c r="C2" s="1177"/>
      <c r="D2" s="1177"/>
      <c r="E2" s="1177"/>
      <c r="F2" s="1177"/>
      <c r="G2" s="1177"/>
      <c r="H2" s="1177"/>
      <c r="I2" s="1177"/>
      <c r="J2" s="1177"/>
      <c r="K2" s="1177"/>
      <c r="L2" s="1177"/>
      <c r="M2" s="1177"/>
    </row>
    <row r="3" spans="1:14">
      <c r="A3" s="188"/>
    </row>
    <row r="4" spans="1:14">
      <c r="E4" s="1179" t="s">
        <v>950</v>
      </c>
      <c r="F4" s="1179"/>
      <c r="G4" s="1179"/>
      <c r="I4" s="138" t="s">
        <v>951</v>
      </c>
      <c r="J4" s="185"/>
      <c r="K4" s="1179" t="s">
        <v>853</v>
      </c>
      <c r="L4" s="1179"/>
      <c r="M4" s="1179"/>
    </row>
    <row r="5" spans="1:14">
      <c r="A5" s="138" t="s">
        <v>56</v>
      </c>
      <c r="E5" s="185" t="s">
        <v>101</v>
      </c>
      <c r="F5" s="185"/>
      <c r="G5" s="185" t="s">
        <v>952</v>
      </c>
      <c r="I5" s="185" t="s">
        <v>517</v>
      </c>
      <c r="J5" s="185"/>
      <c r="K5" s="185" t="s">
        <v>953</v>
      </c>
      <c r="M5" s="185" t="s">
        <v>954</v>
      </c>
    </row>
    <row r="6" spans="1:14" ht="14.45">
      <c r="A6" s="189" t="s">
        <v>57</v>
      </c>
      <c r="C6" s="153" t="s">
        <v>955</v>
      </c>
      <c r="E6" s="154" t="s">
        <v>248</v>
      </c>
      <c r="G6" s="154" t="s">
        <v>956</v>
      </c>
      <c r="I6" s="154" t="s">
        <v>956</v>
      </c>
      <c r="K6" s="154" t="s">
        <v>956</v>
      </c>
      <c r="M6" s="154" t="s">
        <v>248</v>
      </c>
    </row>
    <row r="7" spans="1:14" ht="24.95">
      <c r="E7" s="155" t="s">
        <v>9</v>
      </c>
      <c r="F7" s="156"/>
      <c r="G7" s="157" t="s">
        <v>957</v>
      </c>
      <c r="H7" s="156"/>
      <c r="I7" s="155" t="s">
        <v>958</v>
      </c>
      <c r="J7" s="156"/>
      <c r="K7" s="158" t="s">
        <v>959</v>
      </c>
      <c r="L7" s="156"/>
      <c r="M7" s="158" t="s">
        <v>960</v>
      </c>
    </row>
    <row r="8" spans="1:14">
      <c r="C8" s="152" t="s">
        <v>125</v>
      </c>
      <c r="E8" s="185"/>
    </row>
    <row r="9" spans="1:14">
      <c r="A9" s="140">
        <v>1</v>
      </c>
      <c r="C9" s="151" t="s">
        <v>910</v>
      </c>
      <c r="E9" s="161">
        <v>15787.788096522025</v>
      </c>
      <c r="G9" s="162">
        <v>925925.13006156124</v>
      </c>
      <c r="I9" s="162">
        <v>106554.10962046956</v>
      </c>
      <c r="K9" s="162">
        <v>1032479.2396820309</v>
      </c>
      <c r="M9" s="161">
        <v>15733.138523330314</v>
      </c>
      <c r="N9" s="164"/>
    </row>
    <row r="10" spans="1:14">
      <c r="A10" s="140">
        <v>2</v>
      </c>
      <c r="C10" s="151" t="s">
        <v>911</v>
      </c>
      <c r="E10" s="161">
        <v>14219.390273088122</v>
      </c>
      <c r="G10" s="162">
        <v>833941.44306418987</v>
      </c>
      <c r="I10" s="162">
        <v>95968.761464986179</v>
      </c>
      <c r="K10" s="162">
        <v>929910.204529176</v>
      </c>
      <c r="M10" s="161">
        <v>14170.169723336643</v>
      </c>
      <c r="N10" s="164"/>
    </row>
    <row r="11" spans="1:14">
      <c r="A11" s="140">
        <v>3</v>
      </c>
      <c r="C11" s="151" t="s">
        <v>912</v>
      </c>
      <c r="E11" s="161">
        <v>0</v>
      </c>
      <c r="G11" s="162">
        <v>0</v>
      </c>
      <c r="I11" s="162">
        <v>0</v>
      </c>
      <c r="K11" s="162">
        <v>0</v>
      </c>
      <c r="M11" s="161">
        <v>0</v>
      </c>
      <c r="N11" s="164"/>
    </row>
    <row r="12" spans="1:14">
      <c r="A12" s="140">
        <v>4</v>
      </c>
      <c r="C12" s="151" t="s">
        <v>913</v>
      </c>
      <c r="E12" s="161">
        <v>730.61878451440805</v>
      </c>
      <c r="G12" s="162">
        <v>42849.466241946357</v>
      </c>
      <c r="I12" s="162">
        <v>4931.053899378885</v>
      </c>
      <c r="K12" s="162">
        <v>47780.520141325243</v>
      </c>
      <c r="M12" s="161">
        <v>728.08974089566607</v>
      </c>
      <c r="N12" s="164"/>
    </row>
    <row r="13" spans="1:14">
      <c r="A13" s="140">
        <v>5</v>
      </c>
      <c r="C13" s="151" t="s">
        <v>914</v>
      </c>
      <c r="E13" s="161">
        <v>88.058747902106859</v>
      </c>
      <c r="G13" s="162">
        <v>5164.4858105410276</v>
      </c>
      <c r="I13" s="162">
        <v>594.32147300415227</v>
      </c>
      <c r="K13" s="162">
        <v>5758.8072835451803</v>
      </c>
      <c r="M13" s="161">
        <v>87.753931739182406</v>
      </c>
      <c r="N13" s="164"/>
    </row>
    <row r="14" spans="1:14">
      <c r="A14" s="140">
        <v>6</v>
      </c>
      <c r="C14" s="151" t="s">
        <v>915</v>
      </c>
      <c r="E14" s="161">
        <v>0</v>
      </c>
      <c r="G14" s="162">
        <v>0</v>
      </c>
      <c r="I14" s="162">
        <v>0</v>
      </c>
      <c r="K14" s="162">
        <v>0</v>
      </c>
      <c r="M14" s="161">
        <v>0</v>
      </c>
      <c r="N14" s="164"/>
    </row>
    <row r="15" spans="1:14">
      <c r="A15" s="140">
        <v>7</v>
      </c>
      <c r="C15" s="151" t="s">
        <v>916</v>
      </c>
      <c r="E15" s="161">
        <v>0</v>
      </c>
      <c r="G15" s="162">
        <v>0</v>
      </c>
      <c r="I15" s="162">
        <v>0</v>
      </c>
      <c r="K15" s="162">
        <v>0</v>
      </c>
      <c r="M15" s="161">
        <v>0</v>
      </c>
      <c r="N15" s="164"/>
    </row>
    <row r="16" spans="1:14">
      <c r="A16" s="140">
        <v>8</v>
      </c>
      <c r="C16" s="151" t="s">
        <v>917</v>
      </c>
      <c r="E16" s="161">
        <v>23.910450696564268</v>
      </c>
      <c r="G16" s="162">
        <v>1402.3045556282832</v>
      </c>
      <c r="I16" s="162">
        <v>161.37515711639182</v>
      </c>
      <c r="K16" s="162">
        <v>1563.679712744675</v>
      </c>
      <c r="M16" s="161">
        <v>23.82768445233804</v>
      </c>
      <c r="N16" s="164"/>
    </row>
    <row r="17" spans="1:14">
      <c r="A17" s="140">
        <v>9</v>
      </c>
      <c r="C17" s="151" t="s">
        <v>918</v>
      </c>
      <c r="E17" s="161">
        <v>215.84879949943192</v>
      </c>
      <c r="G17" s="162">
        <v>12659.140503296438</v>
      </c>
      <c r="I17" s="162">
        <v>1456.7953726447547</v>
      </c>
      <c r="K17" s="162">
        <v>14115.935875941192</v>
      </c>
      <c r="M17" s="161">
        <v>215.10163690170319</v>
      </c>
      <c r="N17" s="164"/>
    </row>
    <row r="18" spans="1:14">
      <c r="A18" s="140">
        <v>10</v>
      </c>
      <c r="C18" s="151" t="s">
        <v>919</v>
      </c>
      <c r="E18" s="161">
        <v>550.32869750354416</v>
      </c>
      <c r="G18" s="162">
        <v>32275.779716402012</v>
      </c>
      <c r="I18" s="162">
        <v>3714.2495201085803</v>
      </c>
      <c r="K18" s="162">
        <v>35990.029236510592</v>
      </c>
      <c r="M18" s="161">
        <v>548.42372967335484</v>
      </c>
      <c r="N18" s="164"/>
    </row>
    <row r="19" spans="1:14">
      <c r="A19" s="140">
        <v>11</v>
      </c>
      <c r="C19" s="151" t="s">
        <v>920</v>
      </c>
      <c r="G19" s="162">
        <v>0</v>
      </c>
      <c r="I19" s="162">
        <v>0</v>
      </c>
      <c r="K19" s="162">
        <v>0</v>
      </c>
      <c r="M19" s="161">
        <v>0</v>
      </c>
      <c r="N19" s="164"/>
    </row>
    <row r="20" spans="1:14">
      <c r="A20" s="140">
        <v>12</v>
      </c>
      <c r="C20" s="151" t="s">
        <v>138</v>
      </c>
      <c r="E20" s="163">
        <f>SUM(E9:E19)</f>
        <v>31615.943849726202</v>
      </c>
      <c r="G20" s="163">
        <f>SUM(G9:G19)</f>
        <v>1854217.7499535654</v>
      </c>
      <c r="I20" s="163">
        <f>SUM(I9:I19)</f>
        <v>213380.66650770852</v>
      </c>
      <c r="K20" s="163">
        <f>SUM(K9:K19)</f>
        <v>2067598.4164612738</v>
      </c>
      <c r="M20" s="163">
        <f>SUM(M9:M19)</f>
        <v>31506.504970329202</v>
      </c>
      <c r="N20" s="162"/>
    </row>
    <row r="21" spans="1:14">
      <c r="A21" s="197"/>
    </row>
    <row r="22" spans="1:14">
      <c r="A22" s="140"/>
      <c r="C22" s="152" t="s">
        <v>139</v>
      </c>
    </row>
    <row r="23" spans="1:14">
      <c r="A23" s="140">
        <v>13</v>
      </c>
      <c r="C23" s="151" t="s">
        <v>921</v>
      </c>
      <c r="E23" s="161">
        <v>2800.9558375251568</v>
      </c>
      <c r="G23" s="162">
        <v>160271.94846018023</v>
      </c>
      <c r="I23" s="162">
        <v>18443.861399654277</v>
      </c>
      <c r="K23" s="162">
        <v>178715.8098598345</v>
      </c>
      <c r="M23" s="161">
        <v>2723.3095686261609</v>
      </c>
      <c r="N23" s="164"/>
    </row>
    <row r="24" spans="1:14">
      <c r="A24" s="140">
        <v>14</v>
      </c>
      <c r="C24" s="151" t="s">
        <v>922</v>
      </c>
      <c r="E24" s="161">
        <v>734.43604650190275</v>
      </c>
      <c r="G24" s="162">
        <v>42024.759767814183</v>
      </c>
      <c r="I24" s="162">
        <v>4836.1478846306427</v>
      </c>
      <c r="K24" s="162">
        <v>46860.907652444825</v>
      </c>
      <c r="M24" s="161">
        <v>714.07648995630962</v>
      </c>
      <c r="N24" s="164"/>
    </row>
    <row r="25" spans="1:14">
      <c r="A25" s="140">
        <v>15</v>
      </c>
      <c r="C25" s="151" t="s">
        <v>923</v>
      </c>
      <c r="E25" s="161">
        <v>196.90344974972743</v>
      </c>
      <c r="G25" s="162">
        <v>11266.903650220998</v>
      </c>
      <c r="I25" s="162">
        <v>1296.5787920121554</v>
      </c>
      <c r="K25" s="162">
        <v>12563.482442233153</v>
      </c>
      <c r="M25" s="161">
        <v>191.44502087998987</v>
      </c>
      <c r="N25" s="164"/>
    </row>
    <row r="26" spans="1:14">
      <c r="A26" s="140">
        <v>16</v>
      </c>
      <c r="C26" s="151" t="s">
        <v>924</v>
      </c>
      <c r="E26" s="161">
        <v>0</v>
      </c>
      <c r="G26" s="162">
        <v>0</v>
      </c>
      <c r="I26" s="162">
        <v>0</v>
      </c>
      <c r="K26" s="162">
        <v>0</v>
      </c>
      <c r="M26" s="161">
        <v>0</v>
      </c>
      <c r="N26" s="164"/>
    </row>
    <row r="27" spans="1:14">
      <c r="A27" s="140">
        <v>17</v>
      </c>
      <c r="C27" s="151" t="s">
        <v>912</v>
      </c>
      <c r="E27" s="161">
        <v>13.760700020675317</v>
      </c>
      <c r="G27" s="162">
        <v>787.39342296747918</v>
      </c>
      <c r="I27" s="162">
        <v>90.61208339786107</v>
      </c>
      <c r="K27" s="162">
        <v>878.00550636534024</v>
      </c>
      <c r="M27" s="161">
        <v>13.37923487947986</v>
      </c>
      <c r="N27" s="164"/>
    </row>
    <row r="28" spans="1:14">
      <c r="A28" s="140">
        <v>18</v>
      </c>
      <c r="C28" s="151" t="s">
        <v>144</v>
      </c>
      <c r="E28" s="163">
        <f>SUM(E23:E27)</f>
        <v>3746.0560337974621</v>
      </c>
      <c r="G28" s="163">
        <f>SUM(G23:G27)</f>
        <v>214351.00530118291</v>
      </c>
      <c r="I28" s="163">
        <f>SUM(I23:I27)</f>
        <v>24667.200159694934</v>
      </c>
      <c r="K28" s="163">
        <f>SUM(K23:K27)</f>
        <v>239018.2054608778</v>
      </c>
      <c r="M28" s="163">
        <f>SUM(M23:M27)</f>
        <v>3642.2103143419404</v>
      </c>
      <c r="N28" s="162"/>
    </row>
    <row r="29" spans="1:14">
      <c r="A29" s="197"/>
    </row>
    <row r="30" spans="1:14">
      <c r="A30" s="140"/>
      <c r="C30" s="152" t="s">
        <v>145</v>
      </c>
      <c r="I30" s="162"/>
      <c r="K30" s="151" t="s">
        <v>168</v>
      </c>
    </row>
    <row r="31" spans="1:14">
      <c r="A31" s="140">
        <v>19</v>
      </c>
      <c r="C31" s="151" t="s">
        <v>925</v>
      </c>
      <c r="E31" s="161">
        <v>7786.7630788190054</v>
      </c>
      <c r="G31" s="162">
        <v>445562.07353230176</v>
      </c>
      <c r="I31" s="162">
        <v>51274.631700219739</v>
      </c>
      <c r="K31" s="162">
        <v>496836.70523252152</v>
      </c>
      <c r="M31" s="161">
        <v>7570.9035169613735</v>
      </c>
      <c r="N31" s="164"/>
    </row>
    <row r="32" spans="1:14">
      <c r="A32" s="140">
        <v>20</v>
      </c>
      <c r="C32" s="151" t="s">
        <v>926</v>
      </c>
      <c r="E32" s="161">
        <v>2654.934493458682</v>
      </c>
      <c r="G32" s="162">
        <v>151916.54170339729</v>
      </c>
      <c r="I32" s="162">
        <v>17482.333411504016</v>
      </c>
      <c r="K32" s="162">
        <v>169398.87511490131</v>
      </c>
      <c r="M32" s="161">
        <v>2581.3361329181394</v>
      </c>
      <c r="N32" s="164"/>
    </row>
    <row r="33" spans="1:14">
      <c r="A33" s="140">
        <v>21</v>
      </c>
      <c r="C33" s="151" t="s">
        <v>927</v>
      </c>
      <c r="E33" s="161">
        <v>388.30110748325848</v>
      </c>
      <c r="G33" s="162">
        <v>22218.763413483754</v>
      </c>
      <c r="I33" s="162">
        <v>2556.9027943266001</v>
      </c>
      <c r="K33" s="162">
        <v>24775.666207810355</v>
      </c>
      <c r="M33" s="161">
        <v>377.53687771515797</v>
      </c>
      <c r="N33" s="164"/>
    </row>
    <row r="34" spans="1:14">
      <c r="A34" s="140">
        <v>22</v>
      </c>
      <c r="C34" s="151" t="s">
        <v>928</v>
      </c>
      <c r="E34" s="161">
        <v>19.643156988174308</v>
      </c>
      <c r="G34" s="162">
        <v>1123.9902472670192</v>
      </c>
      <c r="I34" s="162">
        <v>129.34715359941242</v>
      </c>
      <c r="K34" s="162">
        <v>1253.3374008664316</v>
      </c>
      <c r="M34" s="161">
        <v>19.098622215760113</v>
      </c>
      <c r="N34" s="164"/>
    </row>
    <row r="35" spans="1:14">
      <c r="A35" s="140">
        <v>23</v>
      </c>
      <c r="C35" s="151" t="s">
        <v>929</v>
      </c>
      <c r="E35" s="161">
        <v>41.057865435177092</v>
      </c>
      <c r="G35" s="162">
        <v>2349.3494630482965</v>
      </c>
      <c r="I35" s="162">
        <v>270.3596998234575</v>
      </c>
      <c r="K35" s="162">
        <v>2619.709162871754</v>
      </c>
      <c r="M35" s="161">
        <v>39.919686097506641</v>
      </c>
      <c r="N35" s="164"/>
    </row>
    <row r="36" spans="1:14">
      <c r="A36" s="140">
        <v>24</v>
      </c>
      <c r="C36" s="151" t="s">
        <v>930</v>
      </c>
      <c r="E36" s="161">
        <v>463.16522971377901</v>
      </c>
      <c r="G36" s="162">
        <v>26502.522042912289</v>
      </c>
      <c r="I36" s="162">
        <v>3049.871471564481</v>
      </c>
      <c r="K36" s="162">
        <v>29552.393514476771</v>
      </c>
      <c r="M36" s="161">
        <v>450.32566563025625</v>
      </c>
      <c r="N36" s="164"/>
    </row>
    <row r="37" spans="1:14">
      <c r="A37" s="140">
        <v>25</v>
      </c>
      <c r="C37" s="151" t="s">
        <v>931</v>
      </c>
      <c r="E37" s="161">
        <v>128.4609163617869</v>
      </c>
      <c r="G37" s="162">
        <v>7350.5912126323974</v>
      </c>
      <c r="I37" s="162">
        <v>845.895285069127</v>
      </c>
      <c r="K37" s="162">
        <v>8196.4864977015241</v>
      </c>
      <c r="M37" s="161">
        <v>124.8998067144274</v>
      </c>
      <c r="N37" s="164"/>
    </row>
    <row r="38" spans="1:14">
      <c r="A38" s="140">
        <v>26</v>
      </c>
      <c r="C38" s="151" t="s">
        <v>932</v>
      </c>
      <c r="E38" s="161">
        <v>14.566461358042149</v>
      </c>
      <c r="G38" s="162">
        <v>833.49944784781701</v>
      </c>
      <c r="I38" s="162">
        <v>95.917897301990649</v>
      </c>
      <c r="K38" s="162">
        <v>929.41734514980772</v>
      </c>
      <c r="M38" s="161">
        <v>14.162659427158182</v>
      </c>
      <c r="N38" s="164"/>
    </row>
    <row r="39" spans="1:14">
      <c r="A39" s="140">
        <v>27</v>
      </c>
      <c r="C39" s="151" t="s">
        <v>933</v>
      </c>
      <c r="E39" s="161">
        <v>65.613483750987882</v>
      </c>
      <c r="G39" s="162">
        <v>3754.4329493330515</v>
      </c>
      <c r="I39" s="162">
        <v>432.05465221506523</v>
      </c>
      <c r="K39" s="162">
        <v>4186.4876015481168</v>
      </c>
      <c r="M39" s="161">
        <v>63.794589595473241</v>
      </c>
      <c r="N39" s="164"/>
    </row>
    <row r="40" spans="1:14">
      <c r="A40" s="140">
        <v>28</v>
      </c>
      <c r="C40" s="195" t="s">
        <v>934</v>
      </c>
      <c r="E40" s="161">
        <v>0</v>
      </c>
      <c r="G40" s="162">
        <v>0</v>
      </c>
      <c r="I40" s="162">
        <v>0</v>
      </c>
      <c r="K40" s="162">
        <v>0</v>
      </c>
      <c r="M40" s="161">
        <v>0</v>
      </c>
      <c r="N40" s="164"/>
    </row>
    <row r="41" spans="1:14">
      <c r="A41" s="140">
        <v>29</v>
      </c>
      <c r="C41" s="195" t="s">
        <v>935</v>
      </c>
      <c r="E41" s="161">
        <v>0</v>
      </c>
      <c r="G41" s="162">
        <v>0</v>
      </c>
      <c r="I41" s="162">
        <v>0</v>
      </c>
      <c r="K41" s="162">
        <v>0</v>
      </c>
      <c r="M41" s="161">
        <v>0</v>
      </c>
      <c r="N41" s="164"/>
    </row>
    <row r="42" spans="1:14">
      <c r="A42" s="140">
        <v>30</v>
      </c>
      <c r="C42" s="195" t="s">
        <v>936</v>
      </c>
      <c r="E42" s="161">
        <v>0</v>
      </c>
      <c r="G42" s="162">
        <v>0</v>
      </c>
      <c r="I42" s="162">
        <v>0</v>
      </c>
      <c r="K42" s="162">
        <v>0</v>
      </c>
      <c r="M42" s="161">
        <v>0</v>
      </c>
      <c r="N42" s="164"/>
    </row>
    <row r="43" spans="1:14">
      <c r="A43" s="140">
        <v>31</v>
      </c>
      <c r="C43" s="151" t="s">
        <v>155</v>
      </c>
      <c r="E43" s="163">
        <f>SUM(E31:E42)</f>
        <v>11562.505793368895</v>
      </c>
      <c r="G43" s="163">
        <f>SUM(G31:G42)</f>
        <v>661611.76401222381</v>
      </c>
      <c r="I43" s="163">
        <f>SUM(I31:I42)</f>
        <v>76137.314065623883</v>
      </c>
      <c r="K43" s="163">
        <f>SUM(K31:K42)</f>
        <v>737749.07807784749</v>
      </c>
      <c r="M43" s="163">
        <f>SUM(M31:M42)</f>
        <v>11241.977557275253</v>
      </c>
      <c r="N43" s="162"/>
    </row>
    <row r="44" spans="1:14">
      <c r="A44" s="197"/>
    </row>
    <row r="45" spans="1:14">
      <c r="A45" s="140"/>
      <c r="C45" s="152" t="s">
        <v>624</v>
      </c>
      <c r="E45" s="161"/>
    </row>
    <row r="46" spans="1:14">
      <c r="A46" s="140">
        <v>32</v>
      </c>
      <c r="C46" s="151" t="s">
        <v>937</v>
      </c>
      <c r="E46" s="161">
        <v>0</v>
      </c>
      <c r="G46" s="162">
        <v>0</v>
      </c>
      <c r="I46" s="162">
        <v>0</v>
      </c>
      <c r="K46" s="162">
        <v>0</v>
      </c>
      <c r="M46" s="161">
        <v>0</v>
      </c>
      <c r="N46" s="164"/>
    </row>
    <row r="47" spans="1:14">
      <c r="A47" s="140">
        <v>33</v>
      </c>
      <c r="C47" s="151" t="s">
        <v>938</v>
      </c>
      <c r="E47" s="161">
        <v>0</v>
      </c>
      <c r="G47" s="162">
        <v>0</v>
      </c>
      <c r="I47" s="162">
        <v>0</v>
      </c>
      <c r="K47" s="162">
        <v>0</v>
      </c>
      <c r="M47" s="161">
        <v>0</v>
      </c>
      <c r="N47" s="164"/>
    </row>
    <row r="48" spans="1:14">
      <c r="A48" s="140">
        <v>34</v>
      </c>
      <c r="C48" s="151" t="s">
        <v>939</v>
      </c>
      <c r="E48" s="161">
        <v>0</v>
      </c>
      <c r="G48" s="162">
        <v>0</v>
      </c>
      <c r="I48" s="162">
        <v>0</v>
      </c>
      <c r="K48" s="162">
        <v>0</v>
      </c>
      <c r="M48" s="161">
        <v>0</v>
      </c>
      <c r="N48" s="164"/>
    </row>
    <row r="49" spans="1:15">
      <c r="A49" s="140">
        <v>35</v>
      </c>
      <c r="C49" s="151" t="s">
        <v>940</v>
      </c>
      <c r="E49" s="161">
        <v>0</v>
      </c>
      <c r="G49" s="162">
        <v>0</v>
      </c>
      <c r="I49" s="162">
        <v>0</v>
      </c>
      <c r="K49" s="162">
        <v>0</v>
      </c>
      <c r="M49" s="161">
        <v>0</v>
      </c>
      <c r="N49" s="164"/>
    </row>
    <row r="50" spans="1:15">
      <c r="A50" s="140">
        <v>36</v>
      </c>
      <c r="C50" s="151" t="s">
        <v>941</v>
      </c>
      <c r="E50" s="161">
        <v>0</v>
      </c>
      <c r="G50" s="162">
        <v>0</v>
      </c>
      <c r="I50" s="162">
        <v>0</v>
      </c>
      <c r="K50" s="162">
        <v>0</v>
      </c>
      <c r="M50" s="161">
        <v>0</v>
      </c>
      <c r="N50" s="164"/>
    </row>
    <row r="51" spans="1:15">
      <c r="A51" s="140">
        <v>37</v>
      </c>
      <c r="C51" s="151" t="s">
        <v>942</v>
      </c>
      <c r="E51" s="161">
        <v>0</v>
      </c>
      <c r="G51" s="162">
        <v>0</v>
      </c>
      <c r="I51" s="162">
        <v>0</v>
      </c>
      <c r="K51" s="162">
        <v>0</v>
      </c>
      <c r="M51" s="161">
        <v>0</v>
      </c>
      <c r="N51" s="164"/>
    </row>
    <row r="52" spans="1:15">
      <c r="A52" s="140">
        <v>38</v>
      </c>
      <c r="C52" s="151" t="s">
        <v>943</v>
      </c>
      <c r="E52" s="161">
        <v>0</v>
      </c>
      <c r="G52" s="162">
        <v>0</v>
      </c>
      <c r="I52" s="162">
        <v>0</v>
      </c>
      <c r="K52" s="162">
        <v>0</v>
      </c>
      <c r="M52" s="161">
        <v>0</v>
      </c>
      <c r="N52" s="164"/>
    </row>
    <row r="53" spans="1:15">
      <c r="A53" s="140">
        <v>39</v>
      </c>
      <c r="C53" s="151" t="s">
        <v>944</v>
      </c>
      <c r="E53" s="161">
        <v>0</v>
      </c>
      <c r="G53" s="162">
        <v>0</v>
      </c>
      <c r="I53" s="162">
        <v>0</v>
      </c>
      <c r="K53" s="162">
        <v>0</v>
      </c>
      <c r="M53" s="161">
        <v>0</v>
      </c>
      <c r="N53" s="164"/>
    </row>
    <row r="54" spans="1:15">
      <c r="A54" s="140">
        <v>40</v>
      </c>
      <c r="C54" s="151" t="s">
        <v>945</v>
      </c>
      <c r="E54" s="161">
        <v>0</v>
      </c>
      <c r="G54" s="162">
        <v>0</v>
      </c>
      <c r="I54" s="162">
        <v>0</v>
      </c>
      <c r="K54" s="162">
        <v>0</v>
      </c>
      <c r="M54" s="161">
        <v>0</v>
      </c>
      <c r="N54" s="164"/>
      <c r="O54" s="151" t="s">
        <v>168</v>
      </c>
    </row>
    <row r="55" spans="1:15">
      <c r="A55" s="140">
        <v>41</v>
      </c>
      <c r="C55" s="151" t="s">
        <v>946</v>
      </c>
      <c r="E55" s="163">
        <f>SUM(E46:E54)</f>
        <v>0</v>
      </c>
      <c r="G55" s="163">
        <f>SUM(G46:G54)</f>
        <v>0</v>
      </c>
      <c r="I55" s="163">
        <f>SUM(I46:I54)</f>
        <v>0</v>
      </c>
      <c r="K55" s="163">
        <f>SUM(K46:K54)</f>
        <v>0</v>
      </c>
      <c r="M55" s="163">
        <f>SUM(M46:M54)</f>
        <v>0</v>
      </c>
      <c r="N55" s="162"/>
    </row>
    <row r="56" spans="1:15">
      <c r="A56" s="140"/>
      <c r="G56" s="162"/>
    </row>
    <row r="57" spans="1:15" ht="12.95" thickBot="1">
      <c r="A57" s="140">
        <v>42</v>
      </c>
      <c r="C57" s="151" t="s">
        <v>8</v>
      </c>
      <c r="E57" s="211">
        <f>E55 + E43 + E28 + E20</f>
        <v>46924.505676892557</v>
      </c>
      <c r="G57" s="211">
        <f>G55 + G43 + G28 + G20</f>
        <v>2730180.5192669723</v>
      </c>
      <c r="I57" s="211">
        <f>I55 + I43 + I28 + I20</f>
        <v>314185.18073302734</v>
      </c>
      <c r="J57" s="210"/>
      <c r="K57" s="211">
        <f>K55 + K43 + K28 + K20</f>
        <v>3044365.6999999993</v>
      </c>
      <c r="L57" s="210"/>
      <c r="M57" s="211">
        <f>M55 + M43 + M28 + M20</f>
        <v>46390.692841946395</v>
      </c>
      <c r="N57" s="162"/>
    </row>
    <row r="58" spans="1:15" ht="12.95" thickTop="1">
      <c r="I58" s="214"/>
    </row>
    <row r="59" spans="1:15">
      <c r="A59" s="188" t="s">
        <v>80</v>
      </c>
    </row>
    <row r="60" spans="1:15" ht="57" customHeight="1">
      <c r="A60" s="190" t="s">
        <v>40</v>
      </c>
      <c r="C60" s="1178" t="s">
        <v>961</v>
      </c>
      <c r="D60" s="1178"/>
      <c r="E60" s="1178"/>
      <c r="F60" s="1178"/>
      <c r="G60" s="1178"/>
      <c r="H60" s="1178"/>
      <c r="I60" s="1178"/>
      <c r="J60" s="1178"/>
      <c r="K60" s="1178"/>
      <c r="L60" s="1178"/>
      <c r="M60" s="1178"/>
    </row>
    <row r="61" spans="1:15" ht="26.25" customHeight="1">
      <c r="A61" s="190" t="s">
        <v>20</v>
      </c>
      <c r="C61" s="1178" t="s">
        <v>962</v>
      </c>
      <c r="D61" s="1178"/>
      <c r="E61" s="1178"/>
      <c r="F61" s="1178"/>
      <c r="G61" s="1178"/>
      <c r="H61" s="1178"/>
      <c r="I61" s="1178"/>
      <c r="J61" s="1178"/>
      <c r="K61" s="1178"/>
      <c r="L61" s="1178"/>
      <c r="M61" s="1178"/>
    </row>
    <row r="62" spans="1:15">
      <c r="A62" s="190" t="s">
        <v>21</v>
      </c>
      <c r="C62" s="1178" t="s">
        <v>963</v>
      </c>
      <c r="D62" s="1178"/>
      <c r="E62" s="1178"/>
      <c r="F62" s="1178"/>
      <c r="G62" s="1178"/>
      <c r="H62" s="1178"/>
      <c r="I62" s="1178"/>
      <c r="J62" s="1178"/>
      <c r="K62" s="1178"/>
      <c r="L62" s="1178"/>
      <c r="M62" s="1178"/>
    </row>
    <row r="63" spans="1:15" ht="31.15" customHeight="1">
      <c r="A63" s="190" t="s">
        <v>28</v>
      </c>
      <c r="C63" s="1178" t="s">
        <v>964</v>
      </c>
      <c r="D63" s="1178"/>
      <c r="E63" s="1178"/>
      <c r="F63" s="1178"/>
      <c r="G63" s="1178"/>
      <c r="H63" s="1178"/>
      <c r="I63" s="1178"/>
      <c r="J63" s="1178"/>
      <c r="K63" s="1178"/>
      <c r="L63" s="1178"/>
      <c r="M63" s="1178"/>
    </row>
    <row r="64" spans="1:15">
      <c r="A64" s="143"/>
      <c r="E64" s="162"/>
    </row>
  </sheetData>
  <mergeCells count="7">
    <mergeCell ref="A2:M2"/>
    <mergeCell ref="C60:M60"/>
    <mergeCell ref="C61:M61"/>
    <mergeCell ref="C63:M63"/>
    <mergeCell ref="E4:G4"/>
    <mergeCell ref="K4:M4"/>
    <mergeCell ref="C62:M62"/>
  </mergeCells>
  <pageMargins left="0.7" right="0.7" top="0.75" bottom="0.75" header="0.3" footer="0.3"/>
  <pageSetup scale="61" firstPageNumber="2" orientation="portrait" useFirstPageNumber="1" r:id="rId1"/>
  <headerFooter>
    <oddHeader>&amp;R&amp;10Filed: 2024-02-16
EB-2022-0200
Rate Order
Working Papers
Schedule 23
Page &amp;P of 5</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FC4C1-4F3C-40C0-B4FB-28EDEEC1C060}">
  <sheetPr>
    <pageSetUpPr fitToPage="1"/>
  </sheetPr>
  <dimension ref="A1:R63"/>
  <sheetViews>
    <sheetView topLeftCell="A25" zoomScaleNormal="100" zoomScaleSheetLayoutView="85" workbookViewId="0">
      <selection activeCell="I35" sqref="I35"/>
    </sheetView>
  </sheetViews>
  <sheetFormatPr defaultColWidth="8.625" defaultRowHeight="12.6"/>
  <cols>
    <col min="1" max="1" width="5.625" style="138" customWidth="1"/>
    <col min="2" max="2" width="1.625" style="151" customWidth="1"/>
    <col min="3" max="3" width="25.125" style="151" bestFit="1" customWidth="1"/>
    <col min="4" max="4" width="1.625" style="151" customWidth="1"/>
    <col min="5" max="5" width="14.625" style="151" customWidth="1"/>
    <col min="6" max="6" width="1.625" style="151" customWidth="1"/>
    <col min="7" max="7" width="14.625" style="151" customWidth="1"/>
    <col min="8" max="8" width="1.625" style="151" customWidth="1"/>
    <col min="9" max="9" width="14.625" style="151" customWidth="1"/>
    <col min="10" max="10" width="1.625" style="151" customWidth="1"/>
    <col min="11" max="11" width="14.625" style="151" customWidth="1"/>
    <col min="12" max="12" width="1.625" style="151" customWidth="1"/>
    <col min="13" max="13" width="14.625" style="151" customWidth="1"/>
    <col min="14" max="14" width="1.625" style="151" customWidth="1"/>
    <col min="15" max="16384" width="8.625" style="151"/>
  </cols>
  <sheetData>
    <row r="1" spans="1:15" ht="59.25" customHeight="1"/>
    <row r="2" spans="1:15">
      <c r="A2" s="1177" t="s">
        <v>965</v>
      </c>
      <c r="B2" s="1177"/>
      <c r="C2" s="1177"/>
      <c r="D2" s="1177"/>
      <c r="E2" s="1177"/>
      <c r="F2" s="1177"/>
      <c r="G2" s="1177"/>
      <c r="H2" s="1177"/>
      <c r="I2" s="1177"/>
      <c r="J2" s="1177"/>
      <c r="K2" s="1177"/>
      <c r="L2" s="1177"/>
      <c r="M2" s="1177"/>
    </row>
    <row r="3" spans="1:15">
      <c r="A3" s="188"/>
    </row>
    <row r="4" spans="1:15">
      <c r="E4" s="1179" t="s">
        <v>950</v>
      </c>
      <c r="F4" s="1179"/>
      <c r="G4" s="1179"/>
      <c r="I4" s="138" t="s">
        <v>951</v>
      </c>
      <c r="J4" s="185"/>
      <c r="K4" s="1179" t="s">
        <v>966</v>
      </c>
      <c r="L4" s="1179"/>
      <c r="M4" s="1179"/>
    </row>
    <row r="5" spans="1:15">
      <c r="A5" s="138" t="s">
        <v>56</v>
      </c>
      <c r="E5" s="185" t="s">
        <v>101</v>
      </c>
      <c r="F5" s="185"/>
      <c r="G5" s="185" t="s">
        <v>952</v>
      </c>
      <c r="I5" s="185" t="s">
        <v>517</v>
      </c>
      <c r="J5" s="185"/>
      <c r="K5" s="185" t="s">
        <v>952</v>
      </c>
      <c r="M5" s="185" t="s">
        <v>101</v>
      </c>
    </row>
    <row r="6" spans="1:15" ht="14.45">
      <c r="A6" s="189" t="s">
        <v>57</v>
      </c>
      <c r="C6" s="153" t="s">
        <v>955</v>
      </c>
      <c r="E6" s="154" t="s">
        <v>248</v>
      </c>
      <c r="G6" s="154" t="s">
        <v>956</v>
      </c>
      <c r="I6" s="154" t="s">
        <v>956</v>
      </c>
      <c r="K6" s="154" t="s">
        <v>956</v>
      </c>
      <c r="M6" s="154" t="s">
        <v>248</v>
      </c>
    </row>
    <row r="7" spans="1:15" ht="24.95">
      <c r="E7" s="155" t="s">
        <v>9</v>
      </c>
      <c r="F7" s="156"/>
      <c r="G7" s="157" t="s">
        <v>967</v>
      </c>
      <c r="H7" s="156"/>
      <c r="I7" s="155" t="s">
        <v>968</v>
      </c>
      <c r="J7" s="156"/>
      <c r="K7" s="158" t="s">
        <v>959</v>
      </c>
      <c r="L7" s="156"/>
      <c r="M7" s="158" t="s">
        <v>969</v>
      </c>
    </row>
    <row r="8" spans="1:15">
      <c r="C8" s="152" t="s">
        <v>125</v>
      </c>
    </row>
    <row r="9" spans="1:15">
      <c r="A9" s="140">
        <v>1</v>
      </c>
      <c r="C9" s="151" t="s">
        <v>910</v>
      </c>
      <c r="E9" s="161">
        <v>530.0902523540974</v>
      </c>
      <c r="G9" s="162">
        <v>2294.3557738847103</v>
      </c>
      <c r="I9" s="162">
        <f t="shared" ref="I9:I19" si="0">$I$57 * G9/$G$57</f>
        <v>-157.88449204219427</v>
      </c>
      <c r="K9" s="162">
        <f t="shared" ref="K9:K19" si="1">G9 + I9</f>
        <v>2136.471281842516</v>
      </c>
      <c r="M9" s="161">
        <v>443.30283568334914</v>
      </c>
      <c r="N9" s="164"/>
    </row>
    <row r="10" spans="1:15">
      <c r="A10" s="140">
        <v>2</v>
      </c>
      <c r="C10" s="151" t="s">
        <v>911</v>
      </c>
      <c r="E10" s="161">
        <v>507.62961049273036</v>
      </c>
      <c r="G10" s="162">
        <v>2197.140812638148</v>
      </c>
      <c r="I10" s="162">
        <f t="shared" si="0"/>
        <v>-151.19471230096119</v>
      </c>
      <c r="K10" s="162">
        <f t="shared" si="1"/>
        <v>2045.9461003371869</v>
      </c>
      <c r="M10" s="161">
        <v>424.5194941972639</v>
      </c>
      <c r="N10" s="164" t="s">
        <v>168</v>
      </c>
    </row>
    <row r="11" spans="1:15">
      <c r="A11" s="140">
        <v>3</v>
      </c>
      <c r="C11" s="151" t="s">
        <v>912</v>
      </c>
      <c r="E11" s="161">
        <v>2.9012610510117431</v>
      </c>
      <c r="G11" s="162">
        <v>12.557342856946356</v>
      </c>
      <c r="I11" s="162">
        <f t="shared" si="0"/>
        <v>-0.86412478872523657</v>
      </c>
      <c r="K11" s="162">
        <f t="shared" si="1"/>
        <v>11.693218068221119</v>
      </c>
      <c r="M11" s="161">
        <v>2.4262608966294046</v>
      </c>
      <c r="N11" s="164"/>
    </row>
    <row r="12" spans="1:15">
      <c r="A12" s="140">
        <v>4</v>
      </c>
      <c r="C12" s="151" t="s">
        <v>913</v>
      </c>
      <c r="E12" s="161">
        <v>112.99521739962435</v>
      </c>
      <c r="G12" s="162">
        <v>489.06998065115869</v>
      </c>
      <c r="I12" s="162">
        <f t="shared" si="0"/>
        <v>-33.655009544336714</v>
      </c>
      <c r="K12" s="162">
        <f t="shared" si="1"/>
        <v>455.41497110682195</v>
      </c>
      <c r="M12" s="161">
        <v>94.495418599867804</v>
      </c>
      <c r="N12" s="164"/>
    </row>
    <row r="13" spans="1:15">
      <c r="A13" s="140">
        <v>5</v>
      </c>
      <c r="C13" s="151" t="s">
        <v>914</v>
      </c>
      <c r="E13" s="161">
        <v>40.391816945015499</v>
      </c>
      <c r="G13" s="162">
        <v>174.82532080892784</v>
      </c>
      <c r="I13" s="162">
        <f t="shared" si="0"/>
        <v>-12.030482493696384</v>
      </c>
      <c r="K13" s="162">
        <f t="shared" si="1"/>
        <v>162.79483831523146</v>
      </c>
      <c r="M13" s="161">
        <v>33.778789386542314</v>
      </c>
      <c r="N13" s="164"/>
    </row>
    <row r="14" spans="1:15">
      <c r="A14" s="140">
        <v>6</v>
      </c>
      <c r="C14" s="151" t="s">
        <v>915</v>
      </c>
      <c r="E14" s="161">
        <v>0</v>
      </c>
      <c r="G14" s="162">
        <v>0</v>
      </c>
      <c r="I14" s="162">
        <f t="shared" si="0"/>
        <v>0</v>
      </c>
      <c r="K14" s="162">
        <f t="shared" si="1"/>
        <v>0</v>
      </c>
      <c r="M14" s="161">
        <v>0</v>
      </c>
      <c r="N14" s="164"/>
    </row>
    <row r="15" spans="1:15">
      <c r="A15" s="140">
        <v>7</v>
      </c>
      <c r="C15" s="151" t="s">
        <v>916</v>
      </c>
      <c r="E15" s="161">
        <v>5.5685738769876725</v>
      </c>
      <c r="G15" s="162">
        <v>24.102102557501365</v>
      </c>
      <c r="I15" s="162">
        <f t="shared" si="0"/>
        <v>-1.6585693739192473</v>
      </c>
      <c r="K15" s="162">
        <f t="shared" si="1"/>
        <v>22.443533183582119</v>
      </c>
      <c r="M15" s="161">
        <v>4.6568760308610049</v>
      </c>
      <c r="N15" s="164"/>
      <c r="O15" s="151" t="s">
        <v>168</v>
      </c>
    </row>
    <row r="16" spans="1:15">
      <c r="A16" s="140">
        <v>8</v>
      </c>
      <c r="C16" s="151" t="s">
        <v>917</v>
      </c>
      <c r="E16" s="161">
        <v>1.662079898703499</v>
      </c>
      <c r="G16" s="162">
        <v>7.193874241816383</v>
      </c>
      <c r="I16" s="162">
        <f t="shared" si="0"/>
        <v>-0.49504143751930529</v>
      </c>
      <c r="K16" s="162">
        <f t="shared" si="1"/>
        <v>6.6988328042970782</v>
      </c>
      <c r="M16" s="161">
        <v>1.3899609150620136</v>
      </c>
      <c r="N16" s="164"/>
    </row>
    <row r="17" spans="1:14">
      <c r="A17" s="140">
        <v>9</v>
      </c>
      <c r="C17" s="151" t="s">
        <v>918</v>
      </c>
      <c r="E17" s="161">
        <v>34.191490404322586</v>
      </c>
      <c r="G17" s="162">
        <v>147.98884355730189</v>
      </c>
      <c r="I17" s="162">
        <f t="shared" si="0"/>
        <v>-10.183749032694895</v>
      </c>
      <c r="K17" s="162">
        <f t="shared" si="1"/>
        <v>137.805094524607</v>
      </c>
      <c r="M17" s="161">
        <v>28.593592478194282</v>
      </c>
      <c r="N17" s="164"/>
    </row>
    <row r="18" spans="1:14">
      <c r="A18" s="140">
        <v>10</v>
      </c>
      <c r="C18" s="151" t="s">
        <v>919</v>
      </c>
      <c r="E18" s="161">
        <v>19.975437885703734</v>
      </c>
      <c r="G18" s="162">
        <v>86.458411648598016</v>
      </c>
      <c r="I18" s="162">
        <f t="shared" si="0"/>
        <v>-5.9495752843951717</v>
      </c>
      <c r="K18" s="162">
        <f t="shared" si="1"/>
        <v>80.50883636420285</v>
      </c>
      <c r="M18" s="161">
        <v>16.705019983717541</v>
      </c>
      <c r="N18" s="164"/>
    </row>
    <row r="19" spans="1:14">
      <c r="A19" s="140">
        <v>11</v>
      </c>
      <c r="C19" s="151" t="s">
        <v>920</v>
      </c>
      <c r="E19" s="161">
        <v>0</v>
      </c>
      <c r="G19" s="162">
        <v>0</v>
      </c>
      <c r="I19" s="162">
        <f t="shared" si="0"/>
        <v>0</v>
      </c>
      <c r="K19" s="162">
        <f t="shared" si="1"/>
        <v>0</v>
      </c>
      <c r="M19" s="161">
        <v>0</v>
      </c>
      <c r="N19" s="164"/>
    </row>
    <row r="20" spans="1:14">
      <c r="A20" s="140">
        <v>12</v>
      </c>
      <c r="C20" s="151" t="s">
        <v>138</v>
      </c>
      <c r="E20" s="163">
        <f>SUM(E9:E19)</f>
        <v>1255.405740308197</v>
      </c>
      <c r="G20" s="163">
        <f>SUM(G9:G19)</f>
        <v>5433.6924628451079</v>
      </c>
      <c r="I20" s="163">
        <f>SUM(I9:I19)</f>
        <v>-373.91575629844243</v>
      </c>
      <c r="K20" s="163">
        <f>SUM(K9:K19)</f>
        <v>5059.7767065466669</v>
      </c>
      <c r="M20" s="163">
        <f>SUM(M9:M19)</f>
        <v>1049.8682481714875</v>
      </c>
      <c r="N20" s="162"/>
    </row>
    <row r="21" spans="1:14">
      <c r="A21" s="197"/>
    </row>
    <row r="22" spans="1:14">
      <c r="A22" s="140"/>
      <c r="C22" s="152" t="s">
        <v>139</v>
      </c>
    </row>
    <row r="23" spans="1:14">
      <c r="A23" s="140">
        <v>13</v>
      </c>
      <c r="C23" s="151" t="s">
        <v>921</v>
      </c>
      <c r="E23" s="161">
        <v>633.99502918357121</v>
      </c>
      <c r="G23" s="162">
        <v>3075.8050676448156</v>
      </c>
      <c r="I23" s="162">
        <f>$I$57 * G23/$G$57</f>
        <v>-211.65938005493948</v>
      </c>
      <c r="K23" s="162">
        <f>G23 + I23</f>
        <v>2864.1456875898762</v>
      </c>
      <c r="M23" s="161">
        <v>594.2901811550862</v>
      </c>
      <c r="N23" s="164"/>
    </row>
    <row r="24" spans="1:14">
      <c r="A24" s="140">
        <v>14</v>
      </c>
      <c r="C24" s="151" t="s">
        <v>922</v>
      </c>
      <c r="E24" s="161">
        <v>54.6662150220398</v>
      </c>
      <c r="G24" s="162">
        <v>265.21126105716831</v>
      </c>
      <c r="I24" s="162">
        <f>$I$57 * G24/$G$57</f>
        <v>-18.250327918840398</v>
      </c>
      <c r="K24" s="162">
        <f>G24 + I24</f>
        <v>246.9609331383279</v>
      </c>
      <c r="M24" s="161">
        <v>51.24266489967107</v>
      </c>
      <c r="N24" s="164"/>
    </row>
    <row r="25" spans="1:14">
      <c r="A25" s="140">
        <v>15</v>
      </c>
      <c r="C25" s="151" t="s">
        <v>923</v>
      </c>
      <c r="E25" s="161">
        <v>67.252376714950017</v>
      </c>
      <c r="G25" s="162">
        <v>326.27259140719093</v>
      </c>
      <c r="I25" s="162">
        <f>$I$57 * G25/$G$57</f>
        <v>-22.452220770623715</v>
      </c>
      <c r="K25" s="162">
        <f>G25 + I25</f>
        <v>303.82037063656719</v>
      </c>
      <c r="M25" s="161">
        <v>63.040600164493235</v>
      </c>
      <c r="N25" s="164"/>
    </row>
    <row r="26" spans="1:14">
      <c r="A26" s="140">
        <v>16</v>
      </c>
      <c r="C26" s="151" t="s">
        <v>924</v>
      </c>
      <c r="E26" s="161">
        <v>14.737676449939997</v>
      </c>
      <c r="G26" s="162">
        <v>71.499330157855042</v>
      </c>
      <c r="I26" s="162">
        <f>$I$57 * G26/$G$57</f>
        <v>-4.9201765270329565</v>
      </c>
      <c r="K26" s="162">
        <f>G26 + I26</f>
        <v>66.579153630822091</v>
      </c>
      <c r="M26" s="161">
        <v>13.814708324320168</v>
      </c>
      <c r="N26" s="164"/>
    </row>
    <row r="27" spans="1:14">
      <c r="A27" s="140">
        <v>17</v>
      </c>
      <c r="C27" s="151" t="s">
        <v>912</v>
      </c>
      <c r="E27" s="161">
        <v>23.194032140369998</v>
      </c>
      <c r="G27" s="162">
        <v>112.52504879783592</v>
      </c>
      <c r="I27" s="162">
        <f>$I$57 * G27/$G$57</f>
        <v>-7.7433327357896378</v>
      </c>
      <c r="K27" s="162">
        <f>G27 + I27</f>
        <v>104.78171606204629</v>
      </c>
      <c r="M27" s="161">
        <v>21.741472610862168</v>
      </c>
      <c r="N27" s="164"/>
    </row>
    <row r="28" spans="1:14">
      <c r="A28" s="140">
        <v>18</v>
      </c>
      <c r="C28" s="151" t="s">
        <v>144</v>
      </c>
      <c r="E28" s="163">
        <f>SUM(E23:E27)</f>
        <v>793.84532951087101</v>
      </c>
      <c r="G28" s="163">
        <f>SUM(G23:G27)</f>
        <v>3851.313299064866</v>
      </c>
      <c r="I28" s="163">
        <f>SUM(I23:I27)</f>
        <v>-265.02543800722617</v>
      </c>
      <c r="K28" s="163">
        <f>SUM(K23:K27)</f>
        <v>3586.2878610576395</v>
      </c>
      <c r="M28" s="163">
        <f>SUM(M23:M27)</f>
        <v>744.1296271544328</v>
      </c>
      <c r="N28" s="162"/>
    </row>
    <row r="29" spans="1:14">
      <c r="A29" s="197"/>
    </row>
    <row r="30" spans="1:14">
      <c r="A30" s="140"/>
      <c r="C30" s="152" t="s">
        <v>145</v>
      </c>
    </row>
    <row r="31" spans="1:14">
      <c r="A31" s="140">
        <v>19</v>
      </c>
      <c r="C31" s="151" t="s">
        <v>925</v>
      </c>
      <c r="E31" s="161">
        <v>1662.2711717529742</v>
      </c>
      <c r="G31" s="162">
        <v>8064.4513892510067</v>
      </c>
      <c r="I31" s="162">
        <f t="shared" ref="I31:I42" si="2">$I$57 * G31/$G$57</f>
        <v>-554.94959660726238</v>
      </c>
      <c r="K31" s="162">
        <f t="shared" ref="K31:K42" si="3">G31 + I31</f>
        <v>7509.501792643744</v>
      </c>
      <c r="M31" s="161">
        <v>1558.1690554610284</v>
      </c>
      <c r="N31" s="164"/>
    </row>
    <row r="32" spans="1:14">
      <c r="A32" s="140">
        <v>20</v>
      </c>
      <c r="C32" s="151" t="s">
        <v>926</v>
      </c>
      <c r="E32" s="161">
        <v>179.18666996406699</v>
      </c>
      <c r="G32" s="162">
        <v>869.31796332790259</v>
      </c>
      <c r="I32" s="162">
        <f t="shared" si="2"/>
        <v>-59.82150921205718</v>
      </c>
      <c r="K32" s="162">
        <f t="shared" si="3"/>
        <v>809.49645411584538</v>
      </c>
      <c r="M32" s="161">
        <v>167.96484775385909</v>
      </c>
      <c r="N32" s="164"/>
    </row>
    <row r="33" spans="1:14">
      <c r="A33" s="140">
        <v>21</v>
      </c>
      <c r="C33" s="151" t="s">
        <v>927</v>
      </c>
      <c r="E33" s="161">
        <v>118.15817852974007</v>
      </c>
      <c r="G33" s="162">
        <v>573.24033718918156</v>
      </c>
      <c r="I33" s="162">
        <f t="shared" si="2"/>
        <v>-39.447133912440009</v>
      </c>
      <c r="K33" s="162">
        <f t="shared" si="3"/>
        <v>533.79320327674156</v>
      </c>
      <c r="M33" s="161">
        <v>110.75835312750092</v>
      </c>
      <c r="N33" s="164"/>
    </row>
    <row r="34" spans="1:14">
      <c r="A34" s="140">
        <v>22</v>
      </c>
      <c r="C34" s="151" t="s">
        <v>928</v>
      </c>
      <c r="E34" s="161">
        <v>2.9490087921875002E-2</v>
      </c>
      <c r="G34" s="162">
        <v>0.14307014676787116</v>
      </c>
      <c r="I34" s="162">
        <f t="shared" si="2"/>
        <v>-9.8452723444025815E-3</v>
      </c>
      <c r="K34" s="162">
        <f t="shared" si="3"/>
        <v>0.13322487442346859</v>
      </c>
      <c r="M34" s="161">
        <v>2.7643228868748766E-2</v>
      </c>
      <c r="N34" s="164"/>
    </row>
    <row r="35" spans="1:14">
      <c r="A35" s="140">
        <v>23</v>
      </c>
      <c r="C35" s="151" t="s">
        <v>929</v>
      </c>
      <c r="E35" s="161">
        <v>1.7443777838000429</v>
      </c>
      <c r="G35" s="162">
        <v>8.4627887922220282</v>
      </c>
      <c r="I35" s="162">
        <f t="shared" si="2"/>
        <v>-0.58236090711339261</v>
      </c>
      <c r="K35" s="162">
        <f t="shared" si="3"/>
        <v>7.8804278851086353</v>
      </c>
      <c r="M35" s="161">
        <v>1.6351336231648461</v>
      </c>
      <c r="N35" s="164"/>
    </row>
    <row r="36" spans="1:14">
      <c r="A36" s="140">
        <v>24</v>
      </c>
      <c r="C36" s="151" t="s">
        <v>930</v>
      </c>
      <c r="E36" s="161">
        <v>7.352396845245841</v>
      </c>
      <c r="G36" s="162">
        <v>35.669900290961024</v>
      </c>
      <c r="I36" s="162">
        <f t="shared" si="2"/>
        <v>-2.4545993052763095</v>
      </c>
      <c r="K36" s="162">
        <f t="shared" si="3"/>
        <v>33.215300985684713</v>
      </c>
      <c r="M36" s="161">
        <v>6.8919424474226778</v>
      </c>
      <c r="N36" s="164"/>
    </row>
    <row r="37" spans="1:14">
      <c r="A37" s="140">
        <v>25</v>
      </c>
      <c r="C37" s="151" t="s">
        <v>931</v>
      </c>
      <c r="E37" s="161">
        <v>96.729260561217899</v>
      </c>
      <c r="G37" s="162">
        <v>469.27867905662043</v>
      </c>
      <c r="I37" s="162">
        <f t="shared" si="2"/>
        <v>-32.293084931478241</v>
      </c>
      <c r="K37" s="162">
        <f t="shared" si="3"/>
        <v>436.9855941251422</v>
      </c>
      <c r="M37" s="161">
        <v>90.671451881808125</v>
      </c>
      <c r="N37" s="164"/>
    </row>
    <row r="38" spans="1:14">
      <c r="A38" s="140">
        <v>26</v>
      </c>
      <c r="C38" s="151" t="s">
        <v>932</v>
      </c>
      <c r="E38" s="161">
        <v>9.9870469053464248</v>
      </c>
      <c r="G38" s="162">
        <v>48.45181439644481</v>
      </c>
      <c r="I38" s="162">
        <f t="shared" si="2"/>
        <v>-3.3341778078092261</v>
      </c>
      <c r="K38" s="162">
        <f t="shared" si="3"/>
        <v>45.117636588635584</v>
      </c>
      <c r="M38" s="161">
        <v>9.3615937686857631</v>
      </c>
      <c r="N38" s="164"/>
    </row>
    <row r="39" spans="1:14">
      <c r="A39" s="140">
        <v>27</v>
      </c>
      <c r="C39" s="151" t="s">
        <v>933</v>
      </c>
      <c r="E39" s="161">
        <v>2.8522366222343125</v>
      </c>
      <c r="G39" s="162">
        <v>13.837527824291911</v>
      </c>
      <c r="I39" s="162">
        <f t="shared" si="2"/>
        <v>-0.952219824198825</v>
      </c>
      <c r="K39" s="162">
        <f t="shared" si="3"/>
        <v>12.885308000093087</v>
      </c>
      <c r="M39" s="161">
        <v>2.6736112128633147</v>
      </c>
      <c r="N39" s="164" t="s">
        <v>168</v>
      </c>
    </row>
    <row r="40" spans="1:14">
      <c r="A40" s="140">
        <v>28</v>
      </c>
      <c r="C40" s="151" t="s">
        <v>934</v>
      </c>
      <c r="E40" s="161">
        <v>31.389357744205046</v>
      </c>
      <c r="G40" s="162">
        <v>152.28438895502271</v>
      </c>
      <c r="I40" s="162">
        <f t="shared" si="2"/>
        <v>-10.479343992675767</v>
      </c>
      <c r="K40" s="162">
        <f t="shared" si="3"/>
        <v>141.80504496234693</v>
      </c>
      <c r="M40" s="161">
        <v>29.423554194372251</v>
      </c>
      <c r="N40" s="164"/>
    </row>
    <row r="41" spans="1:14">
      <c r="A41" s="140">
        <v>29</v>
      </c>
      <c r="C41" s="151" t="s">
        <v>970</v>
      </c>
      <c r="E41" s="161">
        <v>109.9260462507728</v>
      </c>
      <c r="G41" s="162">
        <v>533.30243071414736</v>
      </c>
      <c r="I41" s="162">
        <f t="shared" si="2"/>
        <v>-36.698834738958695</v>
      </c>
      <c r="K41" s="162">
        <f t="shared" si="3"/>
        <v>496.60359597518868</v>
      </c>
      <c r="M41" s="161">
        <v>103.04176993967982</v>
      </c>
      <c r="N41" s="164"/>
    </row>
    <row r="42" spans="1:14">
      <c r="A42" s="140">
        <v>30</v>
      </c>
      <c r="C42" s="151" t="s">
        <v>936</v>
      </c>
      <c r="E42" s="161">
        <v>10.217205964270001</v>
      </c>
      <c r="G42" s="162">
        <v>49.568423150795972</v>
      </c>
      <c r="I42" s="162">
        <f t="shared" si="2"/>
        <v>-3.4110164602960222</v>
      </c>
      <c r="K42" s="162">
        <f t="shared" si="3"/>
        <v>46.157406690499947</v>
      </c>
      <c r="M42" s="161">
        <v>9.5773387864319055</v>
      </c>
      <c r="N42" s="164"/>
    </row>
    <row r="43" spans="1:14">
      <c r="A43" s="140">
        <v>31</v>
      </c>
      <c r="C43" s="151" t="s">
        <v>155</v>
      </c>
      <c r="E43" s="163">
        <f>SUM(E31:E42)</f>
        <v>2229.843439011795</v>
      </c>
      <c r="G43" s="163">
        <f>SUM(G31:G42)</f>
        <v>10818.008713095363</v>
      </c>
      <c r="I43" s="163">
        <f>SUM(I31:I42)</f>
        <v>-744.43372297191047</v>
      </c>
      <c r="K43" s="163">
        <f>SUM(K31:K42)</f>
        <v>10073.574990123454</v>
      </c>
      <c r="M43" s="163">
        <f>SUM(M31:M42)</f>
        <v>2090.1962954256855</v>
      </c>
      <c r="N43" s="162"/>
    </row>
    <row r="44" spans="1:14">
      <c r="A44" s="197"/>
    </row>
    <row r="45" spans="1:14">
      <c r="A45" s="140"/>
      <c r="C45" s="152" t="s">
        <v>624</v>
      </c>
      <c r="E45" s="161"/>
    </row>
    <row r="46" spans="1:14">
      <c r="A46" s="140">
        <v>32</v>
      </c>
      <c r="C46" s="151" t="s">
        <v>937</v>
      </c>
      <c r="E46" s="161">
        <v>0</v>
      </c>
      <c r="G46" s="162">
        <v>0</v>
      </c>
      <c r="I46" s="162">
        <f t="shared" ref="I46:I54" si="4">$I$57 * G46/$G$57</f>
        <v>0</v>
      </c>
      <c r="K46" s="162">
        <f t="shared" ref="K46:K54" si="5">G46 + I46</f>
        <v>0</v>
      </c>
      <c r="M46" s="161">
        <v>0</v>
      </c>
      <c r="N46" s="164"/>
    </row>
    <row r="47" spans="1:14">
      <c r="A47" s="140">
        <v>33</v>
      </c>
      <c r="C47" s="151" t="s">
        <v>938</v>
      </c>
      <c r="E47" s="161">
        <v>0</v>
      </c>
      <c r="G47" s="162">
        <v>0</v>
      </c>
      <c r="I47" s="162">
        <f t="shared" si="4"/>
        <v>0</v>
      </c>
      <c r="K47" s="162">
        <f t="shared" si="5"/>
        <v>0</v>
      </c>
      <c r="M47" s="161">
        <v>0</v>
      </c>
      <c r="N47" s="164"/>
    </row>
    <row r="48" spans="1:14">
      <c r="A48" s="140">
        <v>34</v>
      </c>
      <c r="C48" s="151" t="s">
        <v>939</v>
      </c>
      <c r="E48" s="161">
        <v>0</v>
      </c>
      <c r="G48" s="162">
        <v>0</v>
      </c>
      <c r="I48" s="162">
        <f t="shared" si="4"/>
        <v>0</v>
      </c>
      <c r="K48" s="162">
        <f t="shared" si="5"/>
        <v>0</v>
      </c>
      <c r="M48" s="161">
        <v>0</v>
      </c>
      <c r="N48" s="164"/>
    </row>
    <row r="49" spans="1:18">
      <c r="A49" s="140">
        <v>35</v>
      </c>
      <c r="C49" s="151" t="s">
        <v>940</v>
      </c>
      <c r="E49" s="161">
        <v>0</v>
      </c>
      <c r="G49" s="162">
        <v>0</v>
      </c>
      <c r="I49" s="162">
        <f t="shared" si="4"/>
        <v>0</v>
      </c>
      <c r="K49" s="162">
        <f t="shared" si="5"/>
        <v>0</v>
      </c>
      <c r="M49" s="161">
        <v>0</v>
      </c>
      <c r="N49" s="164"/>
    </row>
    <row r="50" spans="1:18">
      <c r="A50" s="140">
        <v>36</v>
      </c>
      <c r="C50" s="151" t="s">
        <v>941</v>
      </c>
      <c r="E50" s="161">
        <v>0</v>
      </c>
      <c r="G50" s="162">
        <v>0</v>
      </c>
      <c r="I50" s="162">
        <f t="shared" si="4"/>
        <v>0</v>
      </c>
      <c r="K50" s="162">
        <f t="shared" si="5"/>
        <v>0</v>
      </c>
      <c r="M50" s="161">
        <v>0</v>
      </c>
      <c r="N50" s="164"/>
    </row>
    <row r="51" spans="1:18">
      <c r="A51" s="140">
        <v>37</v>
      </c>
      <c r="C51" s="151" t="s">
        <v>942</v>
      </c>
      <c r="E51" s="161">
        <v>0</v>
      </c>
      <c r="G51" s="162">
        <v>0</v>
      </c>
      <c r="I51" s="162">
        <f t="shared" si="4"/>
        <v>0</v>
      </c>
      <c r="K51" s="162">
        <f t="shared" si="5"/>
        <v>0</v>
      </c>
      <c r="M51" s="161">
        <v>0</v>
      </c>
      <c r="N51" s="164"/>
    </row>
    <row r="52" spans="1:18">
      <c r="A52" s="140">
        <v>38</v>
      </c>
      <c r="C52" s="151" t="s">
        <v>943</v>
      </c>
      <c r="E52" s="161">
        <v>0</v>
      </c>
      <c r="G52" s="162">
        <v>0</v>
      </c>
      <c r="I52" s="162">
        <f t="shared" si="4"/>
        <v>0</v>
      </c>
      <c r="K52" s="162">
        <f t="shared" si="5"/>
        <v>0</v>
      </c>
      <c r="M52" s="161">
        <v>0</v>
      </c>
      <c r="N52" s="164"/>
    </row>
    <row r="53" spans="1:18">
      <c r="A53" s="140">
        <v>39</v>
      </c>
      <c r="C53" s="151" t="s">
        <v>944</v>
      </c>
      <c r="E53" s="161">
        <v>0</v>
      </c>
      <c r="G53" s="162">
        <v>0</v>
      </c>
      <c r="I53" s="162">
        <f t="shared" si="4"/>
        <v>0</v>
      </c>
      <c r="K53" s="162">
        <f t="shared" si="5"/>
        <v>0</v>
      </c>
      <c r="M53" s="161">
        <v>0</v>
      </c>
      <c r="N53" s="164"/>
    </row>
    <row r="54" spans="1:18">
      <c r="A54" s="140">
        <v>40</v>
      </c>
      <c r="C54" s="151" t="s">
        <v>945</v>
      </c>
      <c r="E54" s="161">
        <v>0</v>
      </c>
      <c r="G54" s="162">
        <v>0</v>
      </c>
      <c r="I54" s="162">
        <f t="shared" si="4"/>
        <v>0</v>
      </c>
      <c r="K54" s="162">
        <f t="shared" si="5"/>
        <v>0</v>
      </c>
      <c r="M54" s="161">
        <v>0</v>
      </c>
      <c r="N54" s="164"/>
    </row>
    <row r="55" spans="1:18">
      <c r="A55" s="140">
        <v>41</v>
      </c>
      <c r="C55" s="151" t="s">
        <v>946</v>
      </c>
      <c r="E55" s="163">
        <f>SUM(E46:E54)</f>
        <v>0</v>
      </c>
      <c r="G55" s="163">
        <f>SUM(G46:G54)</f>
        <v>0</v>
      </c>
      <c r="I55" s="163">
        <f>SUM(I46:I54)</f>
        <v>0</v>
      </c>
      <c r="K55" s="163">
        <f>SUM(K46:K54)</f>
        <v>0</v>
      </c>
      <c r="M55" s="163">
        <f>SUM(M46:M54)</f>
        <v>0</v>
      </c>
      <c r="N55" s="162"/>
    </row>
    <row r="56" spans="1:18">
      <c r="A56" s="140"/>
      <c r="G56" s="162"/>
    </row>
    <row r="57" spans="1:18" ht="12.95" thickBot="1">
      <c r="A57" s="140">
        <v>42</v>
      </c>
      <c r="C57" s="151" t="s">
        <v>8</v>
      </c>
      <c r="E57" s="211">
        <f>E55 + E43 + E28 + E20</f>
        <v>4279.0945088308636</v>
      </c>
      <c r="G57" s="211">
        <f>G55 + G43 + G28 + G20</f>
        <v>20103.014475005337</v>
      </c>
      <c r="I57" s="211">
        <f>K57-G57</f>
        <v>-1383.3749172775788</v>
      </c>
      <c r="J57" s="210"/>
      <c r="K57" s="211">
        <v>18719.639557727758</v>
      </c>
      <c r="L57" s="210"/>
      <c r="M57" s="211">
        <v>3884.1941707516053</v>
      </c>
      <c r="N57" s="162"/>
      <c r="Q57" s="162"/>
      <c r="R57" s="162"/>
    </row>
    <row r="58" spans="1:18" ht="12.95" thickTop="1">
      <c r="I58" s="213"/>
      <c r="J58" s="210"/>
      <c r="K58" s="210"/>
      <c r="L58" s="210"/>
      <c r="M58" s="210"/>
    </row>
    <row r="59" spans="1:18">
      <c r="A59" s="188" t="s">
        <v>80</v>
      </c>
    </row>
    <row r="60" spans="1:18" ht="45.75" customHeight="1">
      <c r="A60" s="190" t="s">
        <v>40</v>
      </c>
      <c r="C60" s="1180" t="s">
        <v>971</v>
      </c>
      <c r="D60" s="1180"/>
      <c r="E60" s="1180"/>
      <c r="F60" s="1180"/>
      <c r="G60" s="1180"/>
      <c r="H60" s="1180"/>
      <c r="I60" s="1180"/>
      <c r="J60" s="1180"/>
      <c r="K60" s="1180"/>
      <c r="L60" s="1180"/>
      <c r="M60" s="1180"/>
    </row>
    <row r="61" spans="1:18" ht="29.25" customHeight="1">
      <c r="A61" s="190" t="s">
        <v>20</v>
      </c>
      <c r="C61" s="1180" t="s">
        <v>972</v>
      </c>
      <c r="D61" s="1180"/>
      <c r="E61" s="1180"/>
      <c r="F61" s="1180"/>
      <c r="G61" s="1180"/>
      <c r="H61" s="1180"/>
      <c r="I61" s="1180"/>
      <c r="J61" s="1180"/>
      <c r="K61" s="1180"/>
      <c r="L61" s="1180"/>
      <c r="M61" s="1180"/>
    </row>
    <row r="62" spans="1:18" ht="28.5" customHeight="1">
      <c r="A62" s="190" t="s">
        <v>21</v>
      </c>
      <c r="C62" s="1180" t="s">
        <v>973</v>
      </c>
      <c r="D62" s="1180"/>
      <c r="E62" s="1180"/>
      <c r="F62" s="1180"/>
      <c r="G62" s="1180"/>
      <c r="H62" s="1180"/>
      <c r="I62" s="1180"/>
      <c r="J62" s="1180"/>
      <c r="K62" s="1180"/>
      <c r="L62" s="1180"/>
      <c r="M62" s="1180"/>
    </row>
    <row r="63" spans="1:18">
      <c r="A63" s="143"/>
    </row>
  </sheetData>
  <mergeCells count="6">
    <mergeCell ref="C61:M61"/>
    <mergeCell ref="C62:M62"/>
    <mergeCell ref="E4:G4"/>
    <mergeCell ref="K4:M4"/>
    <mergeCell ref="A2:M2"/>
    <mergeCell ref="C60:M60"/>
  </mergeCells>
  <pageMargins left="0.7" right="0.7" top="0.75" bottom="0.75" header="0.3" footer="0.3"/>
  <pageSetup scale="72" firstPageNumber="3" orientation="portrait" useFirstPageNumber="1" r:id="rId1"/>
  <headerFooter>
    <oddHeader>&amp;R&amp;10Filed: 2024-02-16
EB-2022-0200
Rate Order
Working Papers
Schedule 23
Page &amp;P of 5</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F0DF7-8F72-4D28-9459-DD64B1859968}">
  <sheetPr>
    <pageSetUpPr fitToPage="1"/>
  </sheetPr>
  <dimension ref="A1:Q63"/>
  <sheetViews>
    <sheetView view="pageBreakPreview" zoomScaleNormal="85" zoomScaleSheetLayoutView="100" workbookViewId="0"/>
  </sheetViews>
  <sheetFormatPr defaultColWidth="8.625" defaultRowHeight="12.95"/>
  <cols>
    <col min="1" max="1" width="5.625" style="138" customWidth="1"/>
    <col min="2" max="2" width="1.625" style="151" customWidth="1"/>
    <col min="3" max="3" width="25.125" style="151" bestFit="1" customWidth="1"/>
    <col min="4" max="4" width="1.5" style="151" customWidth="1"/>
    <col min="5" max="5" width="15.625" style="151" customWidth="1"/>
    <col min="6" max="6" width="1.125" style="151" customWidth="1"/>
    <col min="7" max="7" width="16.125" style="151" customWidth="1"/>
    <col min="8" max="8" width="1.5" style="151" customWidth="1"/>
    <col min="9" max="9" width="13.625" style="151" customWidth="1"/>
    <col min="10" max="10" width="1.625" style="151" customWidth="1"/>
    <col min="11" max="11" width="13.625" style="151" customWidth="1"/>
    <col min="12" max="12" width="1.625" style="151" customWidth="1"/>
    <col min="13" max="13" width="16.125" style="151" customWidth="1"/>
    <col min="14" max="14" width="1.625" style="151" customWidth="1"/>
    <col min="15" max="15" width="13.625" style="151" customWidth="1"/>
    <col min="16" max="16" width="8.625" style="151"/>
    <col min="17" max="17" width="18.625" style="151" customWidth="1"/>
    <col min="18" max="16384" width="8.625" style="187"/>
  </cols>
  <sheetData>
    <row r="1" spans="1:13" ht="64.5" customHeight="1"/>
    <row r="2" spans="1:13">
      <c r="A2" s="1177" t="s">
        <v>974</v>
      </c>
      <c r="B2" s="1177"/>
      <c r="C2" s="1177"/>
      <c r="D2" s="1177"/>
      <c r="E2" s="1177"/>
      <c r="F2" s="1177"/>
      <c r="G2" s="1177"/>
      <c r="H2" s="1177"/>
      <c r="I2" s="1177"/>
      <c r="J2" s="1177"/>
      <c r="K2" s="1177"/>
      <c r="L2" s="1177"/>
      <c r="M2" s="1177"/>
    </row>
    <row r="3" spans="1:13">
      <c r="A3" s="188"/>
    </row>
    <row r="4" spans="1:13">
      <c r="E4" s="1179" t="s">
        <v>950</v>
      </c>
      <c r="F4" s="1179"/>
      <c r="G4" s="1179"/>
      <c r="I4" s="138" t="s">
        <v>951</v>
      </c>
      <c r="J4" s="185"/>
      <c r="K4" s="1179" t="s">
        <v>966</v>
      </c>
      <c r="L4" s="1179"/>
      <c r="M4" s="1179"/>
    </row>
    <row r="5" spans="1:13">
      <c r="A5" s="138" t="s">
        <v>56</v>
      </c>
      <c r="E5" s="185" t="s">
        <v>101</v>
      </c>
      <c r="F5" s="185"/>
      <c r="G5" s="185" t="s">
        <v>952</v>
      </c>
      <c r="I5" s="185" t="s">
        <v>517</v>
      </c>
      <c r="J5" s="185"/>
      <c r="K5" s="185" t="s">
        <v>952</v>
      </c>
      <c r="M5" s="185" t="s">
        <v>101</v>
      </c>
    </row>
    <row r="6" spans="1:13" ht="15">
      <c r="A6" s="189" t="s">
        <v>57</v>
      </c>
      <c r="C6" s="153" t="s">
        <v>955</v>
      </c>
      <c r="E6" s="154" t="s">
        <v>248</v>
      </c>
      <c r="G6" s="154" t="s">
        <v>956</v>
      </c>
      <c r="I6" s="154" t="s">
        <v>956</v>
      </c>
      <c r="K6" s="154" t="s">
        <v>956</v>
      </c>
      <c r="M6" s="154" t="s">
        <v>248</v>
      </c>
    </row>
    <row r="7" spans="1:13" ht="26.25" customHeight="1">
      <c r="E7" s="155" t="s">
        <v>9</v>
      </c>
      <c r="F7" s="156"/>
      <c r="G7" s="157" t="s">
        <v>967</v>
      </c>
      <c r="H7" s="156"/>
      <c r="I7" s="155" t="s">
        <v>975</v>
      </c>
      <c r="J7" s="156"/>
      <c r="K7" s="158" t="s">
        <v>959</v>
      </c>
      <c r="L7" s="156"/>
      <c r="M7" s="158" t="s">
        <v>969</v>
      </c>
    </row>
    <row r="8" spans="1:13">
      <c r="C8" s="152" t="s">
        <v>125</v>
      </c>
      <c r="E8" s="159"/>
      <c r="F8" s="185"/>
      <c r="G8" s="160"/>
      <c r="H8" s="185"/>
      <c r="I8" s="159"/>
      <c r="J8" s="185"/>
      <c r="K8" s="159"/>
      <c r="L8" s="185"/>
      <c r="M8" s="159"/>
    </row>
    <row r="9" spans="1:13">
      <c r="A9" s="140">
        <v>1</v>
      </c>
      <c r="C9" s="151" t="s">
        <v>910</v>
      </c>
      <c r="E9" s="161">
        <v>13027.395706562267</v>
      </c>
      <c r="G9" s="162">
        <v>56385.64456768395</v>
      </c>
      <c r="I9" s="192">
        <f t="shared" ref="I9:I19" si="0">$I$57 * G9/$G$57</f>
        <v>12421.399684029762</v>
      </c>
      <c r="K9" s="162">
        <f>G9 + I9</f>
        <v>68807.044251713713</v>
      </c>
      <c r="M9" s="161">
        <v>14276.980032920834</v>
      </c>
    </row>
    <row r="10" spans="1:13">
      <c r="A10" s="140">
        <v>2</v>
      </c>
      <c r="C10" s="151" t="s">
        <v>911</v>
      </c>
      <c r="E10" s="161">
        <v>12313.689619333925</v>
      </c>
      <c r="G10" s="162">
        <v>53296.556106205935</v>
      </c>
      <c r="I10" s="192">
        <f t="shared" si="0"/>
        <v>11740.893098824665</v>
      </c>
      <c r="K10" s="162">
        <f t="shared" ref="K10:K19" si="1">G10 + I10</f>
        <v>65037.4492050306</v>
      </c>
      <c r="M10" s="161">
        <v>13494.815447899415</v>
      </c>
    </row>
    <row r="11" spans="1:13">
      <c r="A11" s="140">
        <v>3</v>
      </c>
      <c r="C11" s="151" t="s">
        <v>912</v>
      </c>
      <c r="E11" s="161">
        <v>58.27058444301003</v>
      </c>
      <c r="G11" s="162">
        <v>252.20884796642167</v>
      </c>
      <c r="I11" s="192">
        <f t="shared" si="0"/>
        <v>55.560008730220325</v>
      </c>
      <c r="K11" s="162">
        <f t="shared" si="1"/>
        <v>307.76885669664199</v>
      </c>
      <c r="M11" s="161">
        <v>63.859883382556333</v>
      </c>
    </row>
    <row r="12" spans="1:13">
      <c r="A12" s="140">
        <v>4</v>
      </c>
      <c r="C12" s="151" t="s">
        <v>913</v>
      </c>
      <c r="E12" s="161">
        <v>2382.67535616847</v>
      </c>
      <c r="G12" s="162">
        <v>10312.781524354856</v>
      </c>
      <c r="I12" s="192">
        <f t="shared" si="0"/>
        <v>2271.8403265625925</v>
      </c>
      <c r="K12" s="162">
        <f t="shared" si="1"/>
        <v>12584.621850917449</v>
      </c>
      <c r="M12" s="161">
        <v>2611.2209417124141</v>
      </c>
    </row>
    <row r="13" spans="1:13">
      <c r="A13" s="140">
        <v>5</v>
      </c>
      <c r="C13" s="151" t="s">
        <v>914</v>
      </c>
      <c r="E13" s="161">
        <v>822.74413908553538</v>
      </c>
      <c r="G13" s="162">
        <v>3561.0308953195986</v>
      </c>
      <c r="I13" s="192">
        <f t="shared" si="0"/>
        <v>784.47250850962394</v>
      </c>
      <c r="K13" s="162">
        <f t="shared" si="1"/>
        <v>4345.5034038292224</v>
      </c>
      <c r="M13" s="161">
        <v>901.6615377707368</v>
      </c>
    </row>
    <row r="14" spans="1:13">
      <c r="A14" s="140">
        <v>6</v>
      </c>
      <c r="C14" s="151" t="s">
        <v>915</v>
      </c>
      <c r="E14" s="161">
        <v>588.24265500000001</v>
      </c>
      <c r="G14" s="162">
        <v>2835</v>
      </c>
      <c r="I14" s="192">
        <f t="shared" si="0"/>
        <v>624.53250954599889</v>
      </c>
      <c r="K14" s="162">
        <f t="shared" si="1"/>
        <v>3459.5325095459989</v>
      </c>
      <c r="M14" s="161">
        <v>717.82877900322796</v>
      </c>
    </row>
    <row r="15" spans="1:13">
      <c r="A15" s="140">
        <v>7</v>
      </c>
      <c r="C15" s="151" t="s">
        <v>916</v>
      </c>
      <c r="E15" s="161">
        <v>111.84241907945309</v>
      </c>
      <c r="G15" s="162">
        <v>484.08039732970815</v>
      </c>
      <c r="I15" s="192">
        <f t="shared" si="0"/>
        <v>106.63983963539572</v>
      </c>
      <c r="K15" s="162">
        <f t="shared" si="1"/>
        <v>590.72023696510382</v>
      </c>
      <c r="M15" s="161">
        <v>122.57031412860027</v>
      </c>
    </row>
    <row r="16" spans="1:13">
      <c r="A16" s="140">
        <v>8</v>
      </c>
      <c r="C16" s="151" t="s">
        <v>917</v>
      </c>
      <c r="E16" s="161">
        <v>36.932415941470509</v>
      </c>
      <c r="G16" s="162">
        <v>159.85221645279628</v>
      </c>
      <c r="I16" s="192">
        <f t="shared" si="0"/>
        <v>35.214428888097032</v>
      </c>
      <c r="K16" s="162">
        <f t="shared" si="1"/>
        <v>195.06664534089333</v>
      </c>
      <c r="M16" s="161">
        <v>40.474963441717975</v>
      </c>
    </row>
    <row r="17" spans="1:13">
      <c r="A17" s="140">
        <v>9</v>
      </c>
      <c r="C17" s="151" t="s">
        <v>918</v>
      </c>
      <c r="E17" s="161">
        <v>719.46119587671512</v>
      </c>
      <c r="G17" s="162">
        <v>3113.9979305695315</v>
      </c>
      <c r="I17" s="192">
        <f t="shared" si="0"/>
        <v>685.99398317447492</v>
      </c>
      <c r="K17" s="162">
        <f t="shared" si="1"/>
        <v>3799.9919137440065</v>
      </c>
      <c r="M17" s="161">
        <v>788.47172215848514</v>
      </c>
    </row>
    <row r="18" spans="1:13">
      <c r="A18" s="140">
        <v>10</v>
      </c>
      <c r="C18" s="151" t="s">
        <v>919</v>
      </c>
      <c r="E18" s="161">
        <v>484.16838165175238</v>
      </c>
      <c r="G18" s="162">
        <v>2095.5950746912986</v>
      </c>
      <c r="I18" s="192">
        <f t="shared" si="0"/>
        <v>461.64629664521749</v>
      </c>
      <c r="K18" s="162">
        <f t="shared" si="1"/>
        <v>2557.2413713365158</v>
      </c>
      <c r="M18" s="161">
        <v>530.60968386272771</v>
      </c>
    </row>
    <row r="19" spans="1:13">
      <c r="A19" s="140">
        <v>11</v>
      </c>
      <c r="C19" s="151" t="s">
        <v>920</v>
      </c>
      <c r="E19" s="161">
        <v>0</v>
      </c>
      <c r="G19" s="162">
        <v>0</v>
      </c>
      <c r="I19" s="192">
        <f t="shared" si="0"/>
        <v>0</v>
      </c>
      <c r="K19" s="162">
        <f t="shared" si="1"/>
        <v>0</v>
      </c>
      <c r="M19" s="161">
        <v>0</v>
      </c>
    </row>
    <row r="20" spans="1:13">
      <c r="A20" s="140">
        <v>12</v>
      </c>
      <c r="C20" s="151" t="s">
        <v>138</v>
      </c>
      <c r="E20" s="163">
        <f>SUM(E9:E19)</f>
        <v>30545.422473142604</v>
      </c>
      <c r="G20" s="163">
        <f>SUM(G9:G19)</f>
        <v>132496.74756057409</v>
      </c>
      <c r="I20" s="193">
        <f>SUM(I9:I19)</f>
        <v>29188.192684546044</v>
      </c>
      <c r="K20" s="163">
        <f>SUM(K9:K19)</f>
        <v>161684.94024512015</v>
      </c>
      <c r="M20" s="163">
        <f>SUM(M9:M19)</f>
        <v>33548.49330628071</v>
      </c>
    </row>
    <row r="21" spans="1:13">
      <c r="A21" s="197"/>
      <c r="I21" s="192"/>
    </row>
    <row r="22" spans="1:13">
      <c r="A22" s="140"/>
      <c r="C22" s="152" t="s">
        <v>139</v>
      </c>
      <c r="I22" s="136"/>
    </row>
    <row r="23" spans="1:13">
      <c r="A23" s="140">
        <v>13</v>
      </c>
      <c r="C23" s="151" t="s">
        <v>921</v>
      </c>
      <c r="E23" s="161">
        <v>419.94052423709411</v>
      </c>
      <c r="G23" s="162">
        <v>2037.327002738818</v>
      </c>
      <c r="I23" s="192">
        <f>$I$57 * G23/$G$57</f>
        <v>448.81021015389848</v>
      </c>
      <c r="K23" s="162">
        <f>G23 + I23</f>
        <v>2486.1372128927164</v>
      </c>
      <c r="M23" s="161">
        <v>515.8560687147484</v>
      </c>
    </row>
    <row r="24" spans="1:13">
      <c r="A24" s="140">
        <v>14</v>
      </c>
      <c r="C24" s="151" t="s">
        <v>922</v>
      </c>
      <c r="E24" s="161">
        <v>128.39221721433157</v>
      </c>
      <c r="G24" s="162">
        <v>622.89042370338552</v>
      </c>
      <c r="I24" s="192">
        <f>$I$57 * G24/$G$57</f>
        <v>137.21880757941656</v>
      </c>
      <c r="K24" s="162">
        <f t="shared" ref="K24:K27" si="2">G24 + I24</f>
        <v>760.10923128280206</v>
      </c>
      <c r="M24" s="161">
        <v>157.71734472656243</v>
      </c>
    </row>
    <row r="25" spans="1:13">
      <c r="A25" s="140">
        <v>15</v>
      </c>
      <c r="C25" s="151" t="s">
        <v>923</v>
      </c>
      <c r="E25" s="161">
        <v>40.689596186354336</v>
      </c>
      <c r="G25" s="162">
        <v>197.40417572607197</v>
      </c>
      <c r="I25" s="192">
        <f>$I$57 * G25/$G$57</f>
        <v>43.486887217306204</v>
      </c>
      <c r="K25" s="162">
        <f t="shared" si="2"/>
        <v>240.89106294337819</v>
      </c>
      <c r="M25" s="161">
        <v>49.983209323310369</v>
      </c>
    </row>
    <row r="26" spans="1:13">
      <c r="A26" s="140">
        <v>16</v>
      </c>
      <c r="C26" s="151" t="s">
        <v>924</v>
      </c>
      <c r="E26" s="161">
        <v>0</v>
      </c>
      <c r="G26" s="162">
        <v>0</v>
      </c>
      <c r="I26" s="192">
        <f>$I$57 * G26/$G$57</f>
        <v>0</v>
      </c>
      <c r="K26" s="162">
        <f t="shared" si="2"/>
        <v>0</v>
      </c>
      <c r="M26" s="161">
        <v>0</v>
      </c>
    </row>
    <row r="27" spans="1:13">
      <c r="A27" s="140">
        <v>17</v>
      </c>
      <c r="C27" s="151" t="s">
        <v>912</v>
      </c>
      <c r="E27" s="161">
        <v>0</v>
      </c>
      <c r="G27" s="162">
        <v>0</v>
      </c>
      <c r="I27" s="192">
        <f>$I$57 * G27/$G$57</f>
        <v>0</v>
      </c>
      <c r="K27" s="162">
        <f t="shared" si="2"/>
        <v>0</v>
      </c>
      <c r="M27" s="161">
        <v>0</v>
      </c>
    </row>
    <row r="28" spans="1:13">
      <c r="A28" s="140">
        <v>18</v>
      </c>
      <c r="C28" s="151" t="s">
        <v>144</v>
      </c>
      <c r="E28" s="163">
        <f>SUM(E23:E27)</f>
        <v>589.02233763778008</v>
      </c>
      <c r="G28" s="163">
        <f>SUM(G23:G27)</f>
        <v>2857.6216021682758</v>
      </c>
      <c r="I28" s="193">
        <f>SUM(I23:I27)</f>
        <v>629.51590495062123</v>
      </c>
      <c r="K28" s="163">
        <f>SUM(K23:K27)</f>
        <v>3487.1375071188963</v>
      </c>
      <c r="M28" s="163">
        <f>SUM(M23:M27)</f>
        <v>723.55662276462112</v>
      </c>
    </row>
    <row r="29" spans="1:13">
      <c r="A29" s="197"/>
      <c r="I29" s="136"/>
    </row>
    <row r="30" spans="1:13">
      <c r="A30" s="140"/>
      <c r="C30" s="152" t="s">
        <v>145</v>
      </c>
      <c r="I30" s="136"/>
    </row>
    <row r="31" spans="1:13">
      <c r="A31" s="140">
        <v>19</v>
      </c>
      <c r="C31" s="151" t="s">
        <v>925</v>
      </c>
      <c r="E31" s="161">
        <v>2033.0541288685467</v>
      </c>
      <c r="G31" s="162">
        <v>9863.2921466636217</v>
      </c>
      <c r="I31" s="192">
        <f t="shared" ref="I31:I42" si="3">$I$57 * G31/$G$57</f>
        <v>2172.8206690445058</v>
      </c>
      <c r="K31" s="162">
        <f t="shared" ref="K31:K42" si="4">G31 + I31</f>
        <v>12036.112815708128</v>
      </c>
      <c r="M31" s="161">
        <v>2497.4091564697264</v>
      </c>
    </row>
    <row r="32" spans="1:13">
      <c r="A32" s="140">
        <v>20</v>
      </c>
      <c r="C32" s="151" t="s">
        <v>926</v>
      </c>
      <c r="E32" s="161">
        <v>775.9686179721092</v>
      </c>
      <c r="G32" s="162">
        <v>3764.5850481911079</v>
      </c>
      <c r="I32" s="192">
        <f t="shared" si="3"/>
        <v>829.31419666530428</v>
      </c>
      <c r="K32" s="162">
        <f t="shared" si="4"/>
        <v>4593.8992448564122</v>
      </c>
      <c r="M32" s="161">
        <v>953.2019360129915</v>
      </c>
    </row>
    <row r="33" spans="1:13">
      <c r="A33" s="140">
        <v>21</v>
      </c>
      <c r="C33" s="151" t="s">
        <v>927</v>
      </c>
      <c r="E33" s="161">
        <v>563.17446288753706</v>
      </c>
      <c r="G33" s="162">
        <v>2732.221527270171</v>
      </c>
      <c r="I33" s="192">
        <f t="shared" si="3"/>
        <v>601.89106421927397</v>
      </c>
      <c r="K33" s="162">
        <f t="shared" si="4"/>
        <v>3334.1125914894451</v>
      </c>
      <c r="M33" s="161">
        <v>691.80502394591952</v>
      </c>
    </row>
    <row r="34" spans="1:13">
      <c r="A34" s="140">
        <v>22</v>
      </c>
      <c r="C34" s="151" t="s">
        <v>928</v>
      </c>
      <c r="E34" s="161">
        <v>0.17679428565583963</v>
      </c>
      <c r="G34" s="162">
        <v>0.85771139318101097</v>
      </c>
      <c r="I34" s="192">
        <f t="shared" si="3"/>
        <v>0.1889483770192352</v>
      </c>
      <c r="K34" s="162">
        <f t="shared" si="4"/>
        <v>1.0466597702002463</v>
      </c>
      <c r="M34" s="161">
        <v>0.21717457569815968</v>
      </c>
    </row>
    <row r="35" spans="1:13">
      <c r="A35" s="140">
        <v>23</v>
      </c>
      <c r="C35" s="151" t="s">
        <v>929</v>
      </c>
      <c r="E35" s="161">
        <v>3.917595260881924</v>
      </c>
      <c r="G35" s="162">
        <v>19.006078599573634</v>
      </c>
      <c r="I35" s="192">
        <f t="shared" si="3"/>
        <v>4.1869185059683334</v>
      </c>
      <c r="K35" s="162">
        <f t="shared" si="4"/>
        <v>23.192997105541966</v>
      </c>
      <c r="M35" s="161">
        <v>4.8123845484202192</v>
      </c>
    </row>
    <row r="36" spans="1:13">
      <c r="A36" s="140">
        <v>24</v>
      </c>
      <c r="C36" s="151" t="s">
        <v>930</v>
      </c>
      <c r="E36" s="161">
        <v>44.077920403529298</v>
      </c>
      <c r="G36" s="162">
        <v>213.8425140698775</v>
      </c>
      <c r="I36" s="192">
        <f t="shared" si="3"/>
        <v>47.108148839395469</v>
      </c>
      <c r="K36" s="162">
        <f t="shared" si="4"/>
        <v>260.95066290927298</v>
      </c>
      <c r="M36" s="161">
        <v>54.145435899033778</v>
      </c>
    </row>
    <row r="37" spans="1:13">
      <c r="A37" s="140">
        <v>25</v>
      </c>
      <c r="C37" s="151" t="s">
        <v>931</v>
      </c>
      <c r="E37" s="161">
        <v>603.10218693489446</v>
      </c>
      <c r="G37" s="162">
        <v>2925.9295065307251</v>
      </c>
      <c r="I37" s="192">
        <f t="shared" si="3"/>
        <v>644.56370281069485</v>
      </c>
      <c r="K37" s="162">
        <f t="shared" si="4"/>
        <v>3570.49320934142</v>
      </c>
      <c r="M37" s="161">
        <v>740.85234748587925</v>
      </c>
    </row>
    <row r="38" spans="1:13">
      <c r="A38" s="140">
        <v>26</v>
      </c>
      <c r="C38" s="151" t="s">
        <v>932</v>
      </c>
      <c r="E38" s="161">
        <v>62.268746754492533</v>
      </c>
      <c r="G38" s="162">
        <v>302.09468214600764</v>
      </c>
      <c r="I38" s="192">
        <f t="shared" si="3"/>
        <v>66.549541432503361</v>
      </c>
      <c r="K38" s="162">
        <f t="shared" si="4"/>
        <v>368.644223578511</v>
      </c>
      <c r="M38" s="161">
        <v>76.491095882975983</v>
      </c>
    </row>
    <row r="39" spans="1:13">
      <c r="A39" s="140">
        <v>27</v>
      </c>
      <c r="C39" s="151" t="s">
        <v>933</v>
      </c>
      <c r="E39" s="161">
        <v>53.547075007156863</v>
      </c>
      <c r="G39" s="162">
        <v>259.78179178575493</v>
      </c>
      <c r="I39" s="192">
        <f t="shared" si="3"/>
        <v>57.228280196936041</v>
      </c>
      <c r="K39" s="162">
        <f t="shared" si="4"/>
        <v>317.01007198269099</v>
      </c>
      <c r="M39" s="161">
        <v>65.777370865904487</v>
      </c>
    </row>
    <row r="40" spans="1:13">
      <c r="A40" s="140">
        <v>28</v>
      </c>
      <c r="C40" s="151" t="s">
        <v>934</v>
      </c>
      <c r="E40" s="161">
        <v>154.05655875252384</v>
      </c>
      <c r="G40" s="162">
        <v>742.46629405581803</v>
      </c>
      <c r="I40" s="192">
        <f t="shared" si="3"/>
        <v>163.56061300881748</v>
      </c>
      <c r="K40" s="162">
        <f t="shared" si="4"/>
        <v>906.02690706463545</v>
      </c>
      <c r="M40" s="161">
        <v>187.99424102756242</v>
      </c>
    </row>
    <row r="41" spans="1:13">
      <c r="A41" s="140">
        <v>29</v>
      </c>
      <c r="C41" s="151" t="s">
        <v>970</v>
      </c>
      <c r="E41" s="161">
        <v>2565.4189413444342</v>
      </c>
      <c r="G41" s="162">
        <v>12363.881872373691</v>
      </c>
      <c r="I41" s="192">
        <f t="shared" si="3"/>
        <v>2723.684717278245</v>
      </c>
      <c r="K41" s="162">
        <f t="shared" si="4"/>
        <v>15087.566589651937</v>
      </c>
      <c r="M41" s="161">
        <v>3130.5644543866492</v>
      </c>
    </row>
    <row r="42" spans="1:13">
      <c r="A42" s="140">
        <v>30</v>
      </c>
      <c r="C42" s="151" t="s">
        <v>936</v>
      </c>
      <c r="E42" s="161">
        <v>163.59611982924099</v>
      </c>
      <c r="G42" s="162">
        <v>788.44163335264807</v>
      </c>
      <c r="I42" s="192">
        <f t="shared" si="3"/>
        <v>173.6886885038009</v>
      </c>
      <c r="K42" s="162">
        <f t="shared" si="4"/>
        <v>962.13032185644897</v>
      </c>
      <c r="M42" s="161">
        <v>199.63530687296014</v>
      </c>
    </row>
    <row r="43" spans="1:13">
      <c r="A43" s="140">
        <v>31</v>
      </c>
      <c r="C43" s="151" t="s">
        <v>155</v>
      </c>
      <c r="E43" s="163">
        <f>SUM(E31:E42)</f>
        <v>7022.3591483010023</v>
      </c>
      <c r="G43" s="163">
        <f>SUM(G31:G42)</f>
        <v>33976.400806432175</v>
      </c>
      <c r="I43" s="193">
        <f>SUM(I31:I42)</f>
        <v>7484.785488882465</v>
      </c>
      <c r="K43" s="163">
        <f>SUM(K31:K42)</f>
        <v>41461.186295314641</v>
      </c>
      <c r="M43" s="163">
        <f>SUM(M31:M42)</f>
        <v>8602.9059279737212</v>
      </c>
    </row>
    <row r="44" spans="1:13">
      <c r="A44" s="197"/>
      <c r="I44" s="136"/>
    </row>
    <row r="45" spans="1:13">
      <c r="A45" s="140"/>
      <c r="C45" s="152" t="s">
        <v>624</v>
      </c>
      <c r="E45" s="161"/>
      <c r="I45" s="136"/>
    </row>
    <row r="46" spans="1:13">
      <c r="A46" s="140">
        <v>32</v>
      </c>
      <c r="C46" s="151" t="s">
        <v>937</v>
      </c>
      <c r="E46" s="161">
        <v>0</v>
      </c>
      <c r="G46" s="162">
        <v>0</v>
      </c>
      <c r="I46" s="192">
        <f t="shared" ref="I46:I54" si="5">$I$57 * G46/$G$57</f>
        <v>0</v>
      </c>
      <c r="K46" s="162">
        <f t="shared" ref="K46:K54" si="6">G46 + I46</f>
        <v>0</v>
      </c>
      <c r="M46" s="161">
        <v>0</v>
      </c>
    </row>
    <row r="47" spans="1:13">
      <c r="A47" s="140">
        <v>33</v>
      </c>
      <c r="C47" s="151" t="s">
        <v>938</v>
      </c>
      <c r="E47" s="161">
        <v>0</v>
      </c>
      <c r="G47" s="162">
        <v>0</v>
      </c>
      <c r="I47" s="192">
        <f>$I$57 * G47/$G$57</f>
        <v>0</v>
      </c>
      <c r="K47" s="162">
        <f t="shared" si="6"/>
        <v>0</v>
      </c>
      <c r="M47" s="161">
        <v>0</v>
      </c>
    </row>
    <row r="48" spans="1:13">
      <c r="A48" s="140">
        <v>34</v>
      </c>
      <c r="C48" s="151" t="s">
        <v>939</v>
      </c>
      <c r="E48" s="161">
        <v>0</v>
      </c>
      <c r="G48" s="162">
        <v>0</v>
      </c>
      <c r="I48" s="192">
        <f t="shared" si="5"/>
        <v>0</v>
      </c>
      <c r="K48" s="162">
        <f t="shared" si="6"/>
        <v>0</v>
      </c>
      <c r="M48" s="161">
        <v>0</v>
      </c>
    </row>
    <row r="49" spans="1:15">
      <c r="A49" s="140">
        <v>35</v>
      </c>
      <c r="C49" s="151" t="s">
        <v>940</v>
      </c>
      <c r="E49" s="161">
        <v>2356.8045680071191</v>
      </c>
      <c r="G49" s="162">
        <v>11358.47748120235</v>
      </c>
      <c r="I49" s="192">
        <f t="shared" si="5"/>
        <v>2502.2005100377492</v>
      </c>
      <c r="K49" s="162">
        <f t="shared" si="6"/>
        <v>13860.6779912401</v>
      </c>
      <c r="M49" s="161">
        <v>2875.9936584363822</v>
      </c>
    </row>
    <row r="50" spans="1:15">
      <c r="A50" s="140">
        <v>36</v>
      </c>
      <c r="C50" s="151" t="s">
        <v>941</v>
      </c>
      <c r="E50" s="161">
        <v>410.98500000000001</v>
      </c>
      <c r="G50" s="162">
        <v>2019.8184455586095</v>
      </c>
      <c r="I50" s="192">
        <f t="shared" si="5"/>
        <v>444.95318611358624</v>
      </c>
      <c r="K50" s="162">
        <f t="shared" si="6"/>
        <v>2464.7716316721958</v>
      </c>
      <c r="M50" s="161">
        <v>511.42286017055892</v>
      </c>
    </row>
    <row r="51" spans="1:15">
      <c r="A51" s="140">
        <v>37</v>
      </c>
      <c r="C51" s="151" t="s">
        <v>942</v>
      </c>
      <c r="E51" s="161">
        <v>3367.7501347010402</v>
      </c>
      <c r="G51" s="162">
        <v>16230.668671719241</v>
      </c>
      <c r="I51" s="192">
        <f t="shared" si="5"/>
        <v>3575.5133111669984</v>
      </c>
      <c r="K51" s="162">
        <f t="shared" si="6"/>
        <v>19806.181982886239</v>
      </c>
      <c r="M51" s="161">
        <v>4109.6441181750142</v>
      </c>
    </row>
    <row r="52" spans="1:15">
      <c r="A52" s="140">
        <v>38</v>
      </c>
      <c r="C52" s="151" t="s">
        <v>943</v>
      </c>
      <c r="E52" s="161">
        <v>43.120009500000002</v>
      </c>
      <c r="G52" s="162">
        <v>212.0937576339133</v>
      </c>
      <c r="I52" s="192">
        <f t="shared" si="5"/>
        <v>46.72290889387962</v>
      </c>
      <c r="K52" s="162">
        <f t="shared" si="6"/>
        <v>258.8166665277929</v>
      </c>
      <c r="M52" s="161">
        <v>53.702646587851333</v>
      </c>
    </row>
    <row r="53" spans="1:15">
      <c r="A53" s="140">
        <v>39</v>
      </c>
      <c r="C53" s="151" t="s">
        <v>944</v>
      </c>
      <c r="E53" s="161">
        <v>99.780409569172775</v>
      </c>
      <c r="G53" s="162">
        <v>481.25958503874836</v>
      </c>
      <c r="I53" s="192">
        <f t="shared" si="5"/>
        <v>106.01843258811837</v>
      </c>
      <c r="K53" s="162">
        <f t="shared" si="6"/>
        <v>587.2780176268667</v>
      </c>
      <c r="M53" s="161">
        <v>121.85607771145145</v>
      </c>
    </row>
    <row r="54" spans="1:15">
      <c r="A54" s="140">
        <v>40</v>
      </c>
      <c r="C54" s="151" t="s">
        <v>945</v>
      </c>
      <c r="E54" s="161">
        <v>11.973151205783873</v>
      </c>
      <c r="G54" s="162">
        <v>57.703880158771007</v>
      </c>
      <c r="I54" s="192">
        <f t="shared" si="5"/>
        <v>12.711798619435212</v>
      </c>
      <c r="K54" s="162">
        <f t="shared" si="6"/>
        <v>70.415678778206214</v>
      </c>
      <c r="M54" s="161">
        <v>14.610760436726341</v>
      </c>
    </row>
    <row r="55" spans="1:15">
      <c r="A55" s="140">
        <v>41</v>
      </c>
      <c r="C55" s="151" t="s">
        <v>946</v>
      </c>
      <c r="E55" s="163">
        <f>SUM(E46:E54)</f>
        <v>6290.4132729831172</v>
      </c>
      <c r="G55" s="163">
        <f>SUM(G46:G54)</f>
        <v>30360.021821311628</v>
      </c>
      <c r="I55" s="193">
        <f>SUM(I46:I54)</f>
        <v>6688.1201474197669</v>
      </c>
      <c r="K55" s="163">
        <f>SUM(K46:K54)</f>
        <v>37048.141968731397</v>
      </c>
      <c r="M55" s="163">
        <f>SUM(M46:M54)</f>
        <v>7687.230121517985</v>
      </c>
    </row>
    <row r="56" spans="1:15">
      <c r="A56" s="140"/>
      <c r="E56" s="162"/>
      <c r="F56" s="162"/>
      <c r="G56" s="162"/>
      <c r="I56" s="136"/>
    </row>
    <row r="57" spans="1:15" ht="13.5" thickBot="1">
      <c r="A57" s="140">
        <v>42</v>
      </c>
      <c r="C57" s="151" t="s">
        <v>8</v>
      </c>
      <c r="E57" s="211">
        <f>E55 + E43 + E28 + E20</f>
        <v>44447.217232064504</v>
      </c>
      <c r="G57" s="211">
        <f>G55 + G43 + G28 + G20</f>
        <v>199690.79179048617</v>
      </c>
      <c r="I57" s="211">
        <f>K57-G57</f>
        <v>43990.614225798898</v>
      </c>
      <c r="J57" s="210"/>
      <c r="K57" s="211">
        <v>243681.40601628507</v>
      </c>
      <c r="L57" s="210"/>
      <c r="M57" s="211">
        <v>50562.236123441275</v>
      </c>
    </row>
    <row r="58" spans="1:15" ht="13.5" thickTop="1">
      <c r="E58" s="162"/>
      <c r="F58" s="162"/>
      <c r="G58" s="162"/>
      <c r="K58" s="162"/>
      <c r="O58" s="162"/>
    </row>
    <row r="59" spans="1:15">
      <c r="A59" s="188" t="s">
        <v>80</v>
      </c>
    </row>
    <row r="60" spans="1:15" ht="57.6" customHeight="1">
      <c r="A60" s="190" t="s">
        <v>40</v>
      </c>
      <c r="C60" s="1178" t="s">
        <v>976</v>
      </c>
      <c r="D60" s="1178"/>
      <c r="E60" s="1178"/>
      <c r="F60" s="1178"/>
      <c r="G60" s="1178"/>
      <c r="H60" s="1178"/>
      <c r="I60" s="1178"/>
      <c r="J60" s="1178"/>
      <c r="K60" s="1178"/>
      <c r="L60" s="1178"/>
      <c r="M60" s="1178"/>
    </row>
    <row r="61" spans="1:15" ht="27" customHeight="1">
      <c r="A61" s="190" t="s">
        <v>20</v>
      </c>
      <c r="C61" s="1178" t="s">
        <v>977</v>
      </c>
      <c r="D61" s="1178"/>
      <c r="E61" s="1178"/>
      <c r="F61" s="1178"/>
      <c r="G61" s="1178"/>
      <c r="H61" s="1178"/>
      <c r="I61" s="1178"/>
      <c r="J61" s="1178"/>
      <c r="K61" s="1178"/>
      <c r="L61" s="1178"/>
      <c r="M61" s="1178"/>
    </row>
    <row r="62" spans="1:15" ht="31.9" customHeight="1">
      <c r="A62" s="190" t="s">
        <v>21</v>
      </c>
      <c r="C62" s="1178" t="s">
        <v>978</v>
      </c>
      <c r="D62" s="1178"/>
      <c r="E62" s="1178"/>
      <c r="F62" s="1178"/>
      <c r="G62" s="1178"/>
      <c r="H62" s="1178"/>
      <c r="I62" s="1178"/>
      <c r="J62" s="1178"/>
      <c r="K62" s="1178"/>
      <c r="L62" s="1178"/>
      <c r="M62" s="1178"/>
    </row>
    <row r="63" spans="1:15">
      <c r="A63" s="143"/>
    </row>
  </sheetData>
  <mergeCells count="6">
    <mergeCell ref="A2:M2"/>
    <mergeCell ref="C60:M60"/>
    <mergeCell ref="C61:M61"/>
    <mergeCell ref="C62:M62"/>
    <mergeCell ref="E4:G4"/>
    <mergeCell ref="K4:M4"/>
  </mergeCells>
  <pageMargins left="0.7" right="0.7" top="0.75" bottom="0.75" header="0.3" footer="0.3"/>
  <pageSetup scale="72" firstPageNumber="4" orientation="portrait" useFirstPageNumber="1" r:id="rId1"/>
  <headerFooter>
    <oddHeader>&amp;R&amp;10Filed: 2024-02-16
EB-2022-0200
Rate Order
Working Papers
Schedule 23
Page &amp;P of 5</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52322-6988-4273-873D-9D38493C86E9}">
  <dimension ref="A1:O65"/>
  <sheetViews>
    <sheetView view="pageBreakPreview" zoomScaleNormal="85" zoomScaleSheetLayoutView="100" workbookViewId="0"/>
  </sheetViews>
  <sheetFormatPr defaultColWidth="8.625" defaultRowHeight="12.95"/>
  <cols>
    <col min="1" max="1" width="5.625" style="138" customWidth="1"/>
    <col min="2" max="2" width="3.125" style="187" customWidth="1"/>
    <col min="3" max="3" width="22.125" style="187" customWidth="1"/>
    <col min="4" max="4" width="1.625" style="187" customWidth="1"/>
    <col min="5" max="5" width="12.5" style="187" customWidth="1"/>
    <col min="6" max="6" width="1.125" style="187" customWidth="1"/>
    <col min="7" max="7" width="14.625" style="187" customWidth="1"/>
    <col min="8" max="8" width="1.5" style="187" customWidth="1"/>
    <col min="9" max="9" width="13.5" style="187" customWidth="1"/>
    <col min="10" max="10" width="1.625" style="187" customWidth="1"/>
    <col min="11" max="11" width="15.125" style="187" customWidth="1"/>
    <col min="12" max="12" width="1.625" style="187" customWidth="1"/>
    <col min="13" max="13" width="14" style="187" customWidth="1"/>
    <col min="14" max="16384" width="8.625" style="187"/>
  </cols>
  <sheetData>
    <row r="1" spans="1:14" ht="37.9" customHeight="1"/>
    <row r="2" spans="1:14">
      <c r="A2" s="1177" t="s">
        <v>979</v>
      </c>
      <c r="B2" s="1177"/>
      <c r="C2" s="1177"/>
      <c r="D2" s="1177"/>
      <c r="E2" s="1177"/>
      <c r="F2" s="1177"/>
      <c r="G2" s="1177"/>
      <c r="H2" s="1177"/>
      <c r="I2" s="1177"/>
      <c r="J2" s="1177"/>
      <c r="K2" s="1177"/>
      <c r="L2" s="1177"/>
      <c r="M2" s="1177"/>
    </row>
    <row r="3" spans="1:14">
      <c r="A3" s="188"/>
    </row>
    <row r="4" spans="1:14">
      <c r="C4" s="151"/>
      <c r="D4" s="151"/>
      <c r="E4" s="1179" t="s">
        <v>950</v>
      </c>
      <c r="F4" s="1179"/>
      <c r="G4" s="1179"/>
      <c r="H4" s="151"/>
      <c r="I4" s="138" t="s">
        <v>951</v>
      </c>
      <c r="J4" s="185"/>
      <c r="K4" s="1179" t="s">
        <v>966</v>
      </c>
      <c r="L4" s="1179"/>
      <c r="M4" s="1179"/>
    </row>
    <row r="5" spans="1:14">
      <c r="A5" s="138" t="s">
        <v>56</v>
      </c>
      <c r="D5" s="151"/>
      <c r="E5" s="185" t="s">
        <v>101</v>
      </c>
      <c r="F5" s="185"/>
      <c r="G5" s="185" t="s">
        <v>952</v>
      </c>
      <c r="H5" s="151"/>
      <c r="I5" s="185" t="s">
        <v>517</v>
      </c>
      <c r="J5" s="185"/>
      <c r="K5" s="185" t="s">
        <v>952</v>
      </c>
      <c r="L5" s="151"/>
      <c r="M5" s="185" t="s">
        <v>101</v>
      </c>
    </row>
    <row r="6" spans="1:14" ht="15">
      <c r="A6" s="189" t="s">
        <v>57</v>
      </c>
      <c r="C6" s="153" t="s">
        <v>955</v>
      </c>
      <c r="D6" s="151"/>
      <c r="E6" s="154" t="s">
        <v>248</v>
      </c>
      <c r="F6" s="151"/>
      <c r="G6" s="154" t="s">
        <v>956</v>
      </c>
      <c r="H6" s="151"/>
      <c r="I6" s="154" t="s">
        <v>956</v>
      </c>
      <c r="J6" s="151"/>
      <c r="K6" s="154" t="s">
        <v>956</v>
      </c>
      <c r="L6" s="151"/>
      <c r="M6" s="154" t="s">
        <v>248</v>
      </c>
    </row>
    <row r="7" spans="1:14" ht="24.95">
      <c r="C7" s="151"/>
      <c r="D7" s="151"/>
      <c r="E7" s="155" t="s">
        <v>9</v>
      </c>
      <c r="F7" s="156"/>
      <c r="G7" s="157" t="s">
        <v>967</v>
      </c>
      <c r="H7" s="156"/>
      <c r="I7" s="155" t="s">
        <v>980</v>
      </c>
      <c r="J7" s="156"/>
      <c r="K7" s="158" t="s">
        <v>959</v>
      </c>
      <c r="L7" s="156"/>
      <c r="M7" s="158" t="s">
        <v>969</v>
      </c>
      <c r="N7" s="187" t="s">
        <v>168</v>
      </c>
    </row>
    <row r="8" spans="1:14">
      <c r="C8" s="152" t="s">
        <v>125</v>
      </c>
      <c r="D8" s="151"/>
      <c r="E8" s="155"/>
      <c r="F8" s="156"/>
      <c r="G8" s="158"/>
      <c r="H8" s="156"/>
      <c r="I8" s="155"/>
      <c r="J8" s="156"/>
      <c r="K8" s="158"/>
      <c r="L8" s="156"/>
      <c r="M8" s="158"/>
    </row>
    <row r="9" spans="1:14">
      <c r="A9" s="140">
        <v>1</v>
      </c>
      <c r="C9" s="151" t="s">
        <v>910</v>
      </c>
      <c r="D9" s="151"/>
      <c r="E9" s="161">
        <v>5985.1968992662751</v>
      </c>
      <c r="F9" s="151"/>
      <c r="G9" s="162">
        <v>25905.34536842498</v>
      </c>
      <c r="H9" s="151"/>
      <c r="I9" s="162">
        <f t="shared" ref="I9:I19" si="0">$I$57 * G9/$G$57</f>
        <v>-142.00377679657478</v>
      </c>
      <c r="J9" s="151"/>
      <c r="K9" s="162">
        <f>G9 + I9</f>
        <v>25763.341591628407</v>
      </c>
      <c r="L9" s="151"/>
      <c r="M9" s="161">
        <v>5345.7130368717526</v>
      </c>
    </row>
    <row r="10" spans="1:14">
      <c r="A10" s="140">
        <v>2</v>
      </c>
      <c r="C10" s="151" t="s">
        <v>911</v>
      </c>
      <c r="D10" s="151"/>
      <c r="E10" s="161">
        <v>4882.6596804294222</v>
      </c>
      <c r="F10" s="151"/>
      <c r="G10" s="162">
        <v>21133.303960896214</v>
      </c>
      <c r="H10" s="151"/>
      <c r="I10" s="162">
        <f t="shared" si="0"/>
        <v>-115.84516384387175</v>
      </c>
      <c r="J10" s="151"/>
      <c r="K10" s="162">
        <f t="shared" ref="K10:K19" si="1">G10 + I10</f>
        <v>21017.458797052343</v>
      </c>
      <c r="L10" s="151"/>
      <c r="M10" s="161">
        <v>4360.9755781767817</v>
      </c>
    </row>
    <row r="11" spans="1:14">
      <c r="A11" s="140">
        <v>3</v>
      </c>
      <c r="C11" s="151" t="s">
        <v>912</v>
      </c>
      <c r="D11" s="151"/>
      <c r="E11" s="161">
        <v>0</v>
      </c>
      <c r="F11" s="151"/>
      <c r="G11" s="162">
        <v>0</v>
      </c>
      <c r="H11" s="151"/>
      <c r="I11" s="162">
        <f t="shared" si="0"/>
        <v>0</v>
      </c>
      <c r="J11" s="151"/>
      <c r="K11" s="162">
        <f t="shared" si="1"/>
        <v>0</v>
      </c>
      <c r="L11" s="151"/>
      <c r="M11" s="161">
        <v>0</v>
      </c>
    </row>
    <row r="12" spans="1:14">
      <c r="A12" s="140">
        <v>4</v>
      </c>
      <c r="C12" s="151" t="s">
        <v>913</v>
      </c>
      <c r="D12" s="151"/>
      <c r="E12" s="161">
        <v>143.22101713704333</v>
      </c>
      <c r="F12" s="151"/>
      <c r="G12" s="162">
        <v>619.89437864726744</v>
      </c>
      <c r="H12" s="151"/>
      <c r="I12" s="162">
        <f t="shared" si="0"/>
        <v>-3.3980378076785303</v>
      </c>
      <c r="J12" s="151"/>
      <c r="K12" s="162">
        <f t="shared" si="1"/>
        <v>616.49634083958892</v>
      </c>
      <c r="L12" s="151"/>
      <c r="M12" s="161">
        <v>127.91867524982882</v>
      </c>
    </row>
    <row r="13" spans="1:14">
      <c r="A13" s="140">
        <v>5</v>
      </c>
      <c r="C13" s="151" t="s">
        <v>914</v>
      </c>
      <c r="D13" s="151"/>
      <c r="E13" s="161">
        <v>20.314503846852869</v>
      </c>
      <c r="F13" s="151"/>
      <c r="G13" s="162">
        <v>87.925969186650292</v>
      </c>
      <c r="H13" s="151"/>
      <c r="I13" s="162">
        <f t="shared" si="0"/>
        <v>-0.48197850773385481</v>
      </c>
      <c r="J13" s="151"/>
      <c r="K13" s="162">
        <f t="shared" si="1"/>
        <v>87.443990678916435</v>
      </c>
      <c r="L13" s="151"/>
      <c r="M13" s="161">
        <v>18.144015957940407</v>
      </c>
    </row>
    <row r="14" spans="1:14">
      <c r="A14" s="140">
        <v>6</v>
      </c>
      <c r="C14" s="151" t="s">
        <v>915</v>
      </c>
      <c r="D14" s="151"/>
      <c r="E14" s="161">
        <v>0</v>
      </c>
      <c r="F14" s="151"/>
      <c r="G14" s="162">
        <v>0</v>
      </c>
      <c r="H14" s="151"/>
      <c r="I14" s="162">
        <f t="shared" si="0"/>
        <v>0</v>
      </c>
      <c r="J14" s="151"/>
      <c r="K14" s="162">
        <f t="shared" si="1"/>
        <v>0</v>
      </c>
      <c r="L14" s="151"/>
      <c r="M14" s="161">
        <v>0</v>
      </c>
    </row>
    <row r="15" spans="1:14">
      <c r="A15" s="140">
        <v>7</v>
      </c>
      <c r="C15" s="151" t="s">
        <v>916</v>
      </c>
      <c r="D15" s="151"/>
      <c r="E15" s="161">
        <v>0</v>
      </c>
      <c r="F15" s="151"/>
      <c r="G15" s="162">
        <v>0</v>
      </c>
      <c r="H15" s="151"/>
      <c r="I15" s="162">
        <f t="shared" si="0"/>
        <v>0</v>
      </c>
      <c r="J15" s="151"/>
      <c r="K15" s="162">
        <f t="shared" si="1"/>
        <v>0</v>
      </c>
      <c r="L15" s="151"/>
      <c r="M15" s="161">
        <v>0</v>
      </c>
    </row>
    <row r="16" spans="1:14">
      <c r="A16" s="140">
        <v>8</v>
      </c>
      <c r="C16" s="151" t="s">
        <v>917</v>
      </c>
      <c r="D16" s="151"/>
      <c r="E16" s="161">
        <v>4.4912034239250485</v>
      </c>
      <c r="F16" s="151"/>
      <c r="G16" s="162">
        <v>19.438988854467599</v>
      </c>
      <c r="H16" s="151"/>
      <c r="I16" s="162">
        <f t="shared" si="0"/>
        <v>-0.1065575384223782</v>
      </c>
      <c r="J16" s="151"/>
      <c r="K16" s="162">
        <f t="shared" si="1"/>
        <v>19.33243131604522</v>
      </c>
      <c r="L16" s="151"/>
      <c r="M16" s="161">
        <v>4.0113441710601707</v>
      </c>
    </row>
    <row r="17" spans="1:13">
      <c r="A17" s="140">
        <v>9</v>
      </c>
      <c r="C17" s="151" t="s">
        <v>918</v>
      </c>
      <c r="D17" s="151"/>
      <c r="E17" s="161">
        <v>41.417029465537894</v>
      </c>
      <c r="F17" s="151"/>
      <c r="G17" s="162">
        <v>179.26268266471274</v>
      </c>
      <c r="H17" s="151"/>
      <c r="I17" s="162">
        <f t="shared" si="0"/>
        <v>-0.98265348772776395</v>
      </c>
      <c r="J17" s="151"/>
      <c r="K17" s="162">
        <f t="shared" si="1"/>
        <v>178.28002917698498</v>
      </c>
      <c r="L17" s="151"/>
      <c r="M17" s="161">
        <v>36.991858094020145</v>
      </c>
    </row>
    <row r="18" spans="1:13">
      <c r="A18" s="140">
        <v>10</v>
      </c>
      <c r="C18" s="151" t="s">
        <v>919</v>
      </c>
      <c r="D18" s="151"/>
      <c r="E18" s="161">
        <v>150.91966472771608</v>
      </c>
      <c r="F18" s="151"/>
      <c r="G18" s="162">
        <v>653.21594317768745</v>
      </c>
      <c r="H18" s="151"/>
      <c r="I18" s="162">
        <f t="shared" si="0"/>
        <v>-3.5806946279137013</v>
      </c>
      <c r="J18" s="151"/>
      <c r="K18" s="162">
        <f t="shared" si="1"/>
        <v>649.63524854977379</v>
      </c>
      <c r="L18" s="151"/>
      <c r="M18" s="161">
        <v>134.79476662733822</v>
      </c>
    </row>
    <row r="19" spans="1:13">
      <c r="A19" s="140">
        <v>11</v>
      </c>
      <c r="C19" s="151" t="s">
        <v>920</v>
      </c>
      <c r="D19" s="151"/>
      <c r="E19" s="161">
        <v>0</v>
      </c>
      <c r="F19" s="151"/>
      <c r="G19" s="162">
        <v>0</v>
      </c>
      <c r="H19" s="151"/>
      <c r="I19" s="162">
        <f t="shared" si="0"/>
        <v>0</v>
      </c>
      <c r="J19" s="151"/>
      <c r="K19" s="162">
        <f t="shared" si="1"/>
        <v>0</v>
      </c>
      <c r="L19" s="151"/>
      <c r="M19" s="161">
        <v>0</v>
      </c>
    </row>
    <row r="20" spans="1:13">
      <c r="A20" s="140">
        <v>12</v>
      </c>
      <c r="C20" s="151" t="s">
        <v>138</v>
      </c>
      <c r="D20" s="151"/>
      <c r="E20" s="163">
        <f>SUM(E9:E19)</f>
        <v>11228.219998296772</v>
      </c>
      <c r="F20" s="151"/>
      <c r="G20" s="163">
        <f>SUM(G9:G19)</f>
        <v>48598.387291851985</v>
      </c>
      <c r="H20" s="151"/>
      <c r="I20" s="163">
        <f>SUM(I9:I19)</f>
        <v>-266.39886260992273</v>
      </c>
      <c r="J20" s="151"/>
      <c r="K20" s="163">
        <f>SUM(K9:K19)</f>
        <v>48331.988429242068</v>
      </c>
      <c r="L20" s="151"/>
      <c r="M20" s="163">
        <f>SUM(M9:M19)</f>
        <v>10028.549275148718</v>
      </c>
    </row>
    <row r="21" spans="1:13">
      <c r="A21" s="197"/>
      <c r="C21" s="151"/>
      <c r="D21" s="151"/>
      <c r="E21" s="151"/>
      <c r="F21" s="151"/>
      <c r="G21" s="151"/>
      <c r="H21" s="151"/>
      <c r="I21" s="151"/>
      <c r="J21" s="151"/>
      <c r="K21" s="151"/>
      <c r="L21" s="151"/>
      <c r="M21" s="151"/>
    </row>
    <row r="22" spans="1:13">
      <c r="A22" s="140"/>
      <c r="C22" s="152" t="s">
        <v>139</v>
      </c>
      <c r="D22" s="151"/>
      <c r="E22" s="151"/>
      <c r="F22" s="151"/>
      <c r="G22" s="151"/>
      <c r="H22" s="151"/>
      <c r="I22" s="151"/>
      <c r="J22" s="151"/>
      <c r="K22" s="151"/>
      <c r="L22" s="151"/>
      <c r="M22" s="151"/>
    </row>
    <row r="23" spans="1:13">
      <c r="A23" s="140">
        <v>13</v>
      </c>
      <c r="C23" s="151" t="s">
        <v>921</v>
      </c>
      <c r="D23" s="151"/>
      <c r="E23" s="161">
        <v>1855.1570796763663</v>
      </c>
      <c r="F23" s="151"/>
      <c r="G23" s="162">
        <v>9000.2307341333126</v>
      </c>
      <c r="H23" s="151"/>
      <c r="I23" s="162">
        <f>$I$57 * G23/$G$57</f>
        <v>-49.336024596889771</v>
      </c>
      <c r="J23" s="151"/>
      <c r="K23" s="162">
        <f>G23 + I23</f>
        <v>8950.8947095364219</v>
      </c>
      <c r="L23" s="151"/>
      <c r="M23" s="161">
        <v>1857.2479959658408</v>
      </c>
    </row>
    <row r="24" spans="1:13">
      <c r="A24" s="140">
        <v>14</v>
      </c>
      <c r="C24" s="151" t="s">
        <v>922</v>
      </c>
      <c r="D24" s="151"/>
      <c r="E24" s="161">
        <v>578.56725669838522</v>
      </c>
      <c r="F24" s="151"/>
      <c r="G24" s="162">
        <v>2806.8991367611907</v>
      </c>
      <c r="H24" s="151"/>
      <c r="I24" s="162">
        <f>$I$57 * G24/$G$57</f>
        <v>-15.386410520238066</v>
      </c>
      <c r="J24" s="151"/>
      <c r="K24" s="162">
        <f t="shared" ref="K24:K27" si="2">G24 + I24</f>
        <v>2791.5127262409528</v>
      </c>
      <c r="L24" s="151"/>
      <c r="M24" s="161">
        <v>579.21935010591403</v>
      </c>
    </row>
    <row r="25" spans="1:13">
      <c r="A25" s="140">
        <v>15</v>
      </c>
      <c r="C25" s="151" t="s">
        <v>923</v>
      </c>
      <c r="D25" s="151"/>
      <c r="E25" s="161">
        <v>166.77869668835763</v>
      </c>
      <c r="F25" s="151"/>
      <c r="G25" s="162">
        <v>809.12110795227795</v>
      </c>
      <c r="H25" s="151"/>
      <c r="I25" s="162">
        <f>$I$57 * G25/$G$57</f>
        <v>-4.4353106118051446</v>
      </c>
      <c r="J25" s="151"/>
      <c r="K25" s="162">
        <f t="shared" si="2"/>
        <v>804.68579734047285</v>
      </c>
      <c r="L25" s="151"/>
      <c r="M25" s="161">
        <v>166.96667014756673</v>
      </c>
    </row>
    <row r="26" spans="1:13">
      <c r="A26" s="140">
        <v>16</v>
      </c>
      <c r="C26" s="151" t="s">
        <v>924</v>
      </c>
      <c r="D26" s="151"/>
      <c r="E26" s="161">
        <v>0</v>
      </c>
      <c r="F26" s="151"/>
      <c r="G26" s="162">
        <v>0</v>
      </c>
      <c r="H26" s="151"/>
      <c r="I26" s="162">
        <f>$I$57 * G26/$G$57</f>
        <v>0</v>
      </c>
      <c r="J26" s="151"/>
      <c r="K26" s="162">
        <f t="shared" si="2"/>
        <v>0</v>
      </c>
      <c r="L26" s="151"/>
      <c r="M26" s="161">
        <v>0</v>
      </c>
    </row>
    <row r="27" spans="1:13">
      <c r="A27" s="140">
        <v>17</v>
      </c>
      <c r="C27" s="151" t="s">
        <v>912</v>
      </c>
      <c r="D27" s="151"/>
      <c r="E27" s="161">
        <v>0</v>
      </c>
      <c r="F27" s="151"/>
      <c r="G27" s="162">
        <v>0</v>
      </c>
      <c r="H27" s="151"/>
      <c r="I27" s="162">
        <f>$I$57 * G27/$G$57</f>
        <v>0</v>
      </c>
      <c r="J27" s="151"/>
      <c r="K27" s="162">
        <f t="shared" si="2"/>
        <v>0</v>
      </c>
      <c r="L27" s="151"/>
      <c r="M27" s="161">
        <v>0</v>
      </c>
    </row>
    <row r="28" spans="1:13">
      <c r="A28" s="140">
        <v>18</v>
      </c>
      <c r="C28" s="151" t="s">
        <v>144</v>
      </c>
      <c r="D28" s="151"/>
      <c r="E28" s="163">
        <f>SUM(E23:E27)</f>
        <v>2600.5030330631093</v>
      </c>
      <c r="F28" s="151"/>
      <c r="G28" s="163">
        <f>SUM(G23:G27)</f>
        <v>12616.250978846781</v>
      </c>
      <c r="H28" s="151"/>
      <c r="I28" s="163">
        <f>SUM(I23:I27)</f>
        <v>-69.157745728932994</v>
      </c>
      <c r="J28" s="151"/>
      <c r="K28" s="163">
        <f>SUM(K23:K27)</f>
        <v>12547.093233117848</v>
      </c>
      <c r="L28" s="151"/>
      <c r="M28" s="163">
        <f>SUM(M23:M27)</f>
        <v>2603.4340162193216</v>
      </c>
    </row>
    <row r="29" spans="1:13">
      <c r="A29" s="197"/>
      <c r="C29" s="151"/>
      <c r="D29" s="151"/>
      <c r="E29" s="151"/>
      <c r="F29" s="151"/>
      <c r="G29" s="151"/>
      <c r="H29" s="151"/>
      <c r="I29" s="151"/>
      <c r="J29" s="151"/>
      <c r="K29" s="151"/>
      <c r="L29" s="151"/>
      <c r="M29" s="151"/>
    </row>
    <row r="30" spans="1:13">
      <c r="A30" s="140"/>
      <c r="C30" s="152" t="s">
        <v>145</v>
      </c>
      <c r="D30" s="151"/>
      <c r="E30" s="151"/>
      <c r="F30" s="151"/>
      <c r="G30" s="151"/>
      <c r="H30" s="151"/>
      <c r="I30" s="151"/>
      <c r="J30" s="151"/>
      <c r="K30" s="151"/>
      <c r="L30" s="151"/>
      <c r="M30" s="151"/>
    </row>
    <row r="31" spans="1:13">
      <c r="A31" s="140">
        <v>19</v>
      </c>
      <c r="C31" s="151" t="s">
        <v>925</v>
      </c>
      <c r="D31" s="151"/>
      <c r="E31" s="161">
        <v>2183.0645940097743</v>
      </c>
      <c r="F31" s="151"/>
      <c r="G31" s="162">
        <v>10591.062756277575</v>
      </c>
      <c r="H31" s="151"/>
      <c r="I31" s="162">
        <f t="shared" ref="I31:I42" si="3">$I$57 * G31/$G$57</f>
        <v>-58.056393006598888</v>
      </c>
      <c r="J31" s="151"/>
      <c r="K31" s="162">
        <f t="shared" ref="K31:K42" si="4">G31 + I31</f>
        <v>10533.006363270977</v>
      </c>
      <c r="L31" s="151"/>
      <c r="M31" s="161">
        <v>2185.5250893341849</v>
      </c>
    </row>
    <row r="32" spans="1:13">
      <c r="A32" s="140">
        <v>20</v>
      </c>
      <c r="C32" s="151" t="s">
        <v>926</v>
      </c>
      <c r="D32" s="151"/>
      <c r="E32" s="161">
        <v>884.99160096949186</v>
      </c>
      <c r="F32" s="151"/>
      <c r="G32" s="162">
        <v>4293.5062986067942</v>
      </c>
      <c r="H32" s="151"/>
      <c r="I32" s="162">
        <f t="shared" si="3"/>
        <v>-23.535455769108548</v>
      </c>
      <c r="J32" s="151"/>
      <c r="K32" s="162">
        <f t="shared" si="4"/>
        <v>4269.9708428376853</v>
      </c>
      <c r="L32" s="151"/>
      <c r="M32" s="161">
        <v>885.98906009291989</v>
      </c>
    </row>
    <row r="33" spans="1:13">
      <c r="A33" s="140">
        <v>21</v>
      </c>
      <c r="C33" s="151" t="s">
        <v>927</v>
      </c>
      <c r="D33" s="151"/>
      <c r="E33" s="161">
        <v>649.88411438477726</v>
      </c>
      <c r="F33" s="151"/>
      <c r="G33" s="162">
        <v>3152.8904177382451</v>
      </c>
      <c r="H33" s="151"/>
      <c r="I33" s="162">
        <f t="shared" si="3"/>
        <v>-17.28301015782915</v>
      </c>
      <c r="J33" s="151"/>
      <c r="K33" s="162">
        <f t="shared" si="4"/>
        <v>3135.6074075804158</v>
      </c>
      <c r="L33" s="151"/>
      <c r="M33" s="161">
        <v>650.61658782108327</v>
      </c>
    </row>
    <row r="34" spans="1:13">
      <c r="A34" s="140">
        <v>22</v>
      </c>
      <c r="C34" s="151" t="s">
        <v>928</v>
      </c>
      <c r="D34" s="151"/>
      <c r="E34" s="161">
        <v>0.13488452849963448</v>
      </c>
      <c r="F34" s="151"/>
      <c r="G34" s="162">
        <v>0.65438764849673692</v>
      </c>
      <c r="H34" s="151"/>
      <c r="I34" s="162">
        <f t="shared" si="3"/>
        <v>-3.5871174946321841E-3</v>
      </c>
      <c r="J34" s="151"/>
      <c r="K34" s="162">
        <f t="shared" si="4"/>
        <v>0.65080053100210478</v>
      </c>
      <c r="L34" s="151"/>
      <c r="M34" s="161">
        <v>0.1350365545792197</v>
      </c>
    </row>
    <row r="35" spans="1:13">
      <c r="A35" s="140">
        <v>23</v>
      </c>
      <c r="C35" s="151" t="s">
        <v>929</v>
      </c>
      <c r="D35" s="151"/>
      <c r="E35" s="161">
        <v>2.997899813752662</v>
      </c>
      <c r="F35" s="151"/>
      <c r="G35" s="162">
        <v>14.544207785518754</v>
      </c>
      <c r="H35" s="151"/>
      <c r="I35" s="162">
        <f t="shared" si="3"/>
        <v>-7.9726110834838118E-2</v>
      </c>
      <c r="J35" s="151"/>
      <c r="K35" s="162">
        <f t="shared" si="4"/>
        <v>14.464481674683917</v>
      </c>
      <c r="L35" s="151"/>
      <c r="M35" s="161">
        <v>3.00127869612519</v>
      </c>
    </row>
    <row r="36" spans="1:13">
      <c r="A36" s="140">
        <v>24</v>
      </c>
      <c r="C36" s="151" t="s">
        <v>930</v>
      </c>
      <c r="D36" s="151"/>
      <c r="E36" s="161">
        <v>33.629081894922024</v>
      </c>
      <c r="F36" s="151"/>
      <c r="G36" s="162">
        <v>163.15033360095001</v>
      </c>
      <c r="H36" s="151"/>
      <c r="I36" s="162">
        <f t="shared" si="3"/>
        <v>-0.89433139097209458</v>
      </c>
      <c r="J36" s="151"/>
      <c r="K36" s="162">
        <f t="shared" si="4"/>
        <v>162.25600220997791</v>
      </c>
      <c r="L36" s="151"/>
      <c r="M36" s="161">
        <v>33.666984666554946</v>
      </c>
    </row>
    <row r="37" spans="1:13">
      <c r="A37" s="140">
        <v>25</v>
      </c>
      <c r="C37" s="151" t="s">
        <v>931</v>
      </c>
      <c r="D37" s="151"/>
      <c r="E37" s="161">
        <v>876.18024926415137</v>
      </c>
      <c r="F37" s="151"/>
      <c r="G37" s="162">
        <v>4250.7583290162638</v>
      </c>
      <c r="H37" s="151"/>
      <c r="I37" s="162">
        <f t="shared" si="3"/>
        <v>-23.301126790053928</v>
      </c>
      <c r="J37" s="151"/>
      <c r="K37" s="162">
        <f t="shared" si="4"/>
        <v>4227.45720222621</v>
      </c>
      <c r="L37" s="151"/>
      <c r="M37" s="161">
        <v>877.16777726152293</v>
      </c>
    </row>
    <row r="38" spans="1:13">
      <c r="A38" s="140">
        <v>26</v>
      </c>
      <c r="C38" s="151" t="s">
        <v>932</v>
      </c>
      <c r="D38" s="151"/>
      <c r="E38" s="161">
        <v>90.463353034744088</v>
      </c>
      <c r="F38" s="151"/>
      <c r="G38" s="162">
        <v>438.87984430843568</v>
      </c>
      <c r="H38" s="151"/>
      <c r="I38" s="162">
        <f t="shared" si="3"/>
        <v>-2.4057812997796657</v>
      </c>
      <c r="J38" s="151"/>
      <c r="K38" s="162">
        <f t="shared" si="4"/>
        <v>436.474063008656</v>
      </c>
      <c r="L38" s="151"/>
      <c r="M38" s="161">
        <v>90.565312755855061</v>
      </c>
    </row>
    <row r="39" spans="1:13">
      <c r="A39" s="140">
        <v>27</v>
      </c>
      <c r="C39" s="151" t="s">
        <v>933</v>
      </c>
      <c r="D39" s="151"/>
      <c r="E39" s="161">
        <v>75.954499308342562</v>
      </c>
      <c r="F39" s="151"/>
      <c r="G39" s="162">
        <v>368.49063971979569</v>
      </c>
      <c r="H39" s="151"/>
      <c r="I39" s="162">
        <f t="shared" si="3"/>
        <v>-2.0199330219382579</v>
      </c>
      <c r="J39" s="151"/>
      <c r="K39" s="162">
        <f t="shared" si="4"/>
        <v>366.47070669785745</v>
      </c>
      <c r="L39" s="151"/>
      <c r="M39" s="161">
        <v>76.040106344858529</v>
      </c>
    </row>
    <row r="40" spans="1:13">
      <c r="A40" s="140">
        <v>28</v>
      </c>
      <c r="C40" s="151" t="s">
        <v>934</v>
      </c>
      <c r="D40" s="151"/>
      <c r="E40" s="161">
        <v>244.41388709747616</v>
      </c>
      <c r="F40" s="151"/>
      <c r="G40" s="162">
        <v>1177.9379887392643</v>
      </c>
      <c r="H40" s="151"/>
      <c r="I40" s="162">
        <f t="shared" si="3"/>
        <v>-6.4570319698195426</v>
      </c>
      <c r="J40" s="151"/>
      <c r="K40" s="162">
        <f t="shared" si="4"/>
        <v>1171.4809567694447</v>
      </c>
      <c r="L40" s="151"/>
      <c r="M40" s="161">
        <v>243.07409816296237</v>
      </c>
    </row>
    <row r="41" spans="1:13">
      <c r="A41" s="140">
        <v>29</v>
      </c>
      <c r="C41" s="151" t="s">
        <v>970</v>
      </c>
      <c r="D41" s="151"/>
      <c r="E41" s="161">
        <v>1387.0988552155645</v>
      </c>
      <c r="F41" s="151"/>
      <c r="G41" s="162">
        <v>6685.0392794723903</v>
      </c>
      <c r="H41" s="151"/>
      <c r="I41" s="162">
        <f t="shared" si="3"/>
        <v>-36.644978563983877</v>
      </c>
      <c r="J41" s="151"/>
      <c r="K41" s="162">
        <f t="shared" si="4"/>
        <v>6648.394300908406</v>
      </c>
      <c r="L41" s="151"/>
      <c r="M41" s="161">
        <v>1379.4952786783879</v>
      </c>
    </row>
    <row r="42" spans="1:13">
      <c r="A42" s="140">
        <v>30</v>
      </c>
      <c r="C42" s="151" t="s">
        <v>936</v>
      </c>
      <c r="D42" s="151"/>
      <c r="E42" s="161">
        <v>205.02580077075902</v>
      </c>
      <c r="F42" s="151"/>
      <c r="G42" s="162">
        <v>988.10948210666879</v>
      </c>
      <c r="H42" s="151"/>
      <c r="I42" s="162">
        <f t="shared" si="3"/>
        <v>-5.416460439036622</v>
      </c>
      <c r="J42" s="151"/>
      <c r="K42" s="162">
        <f t="shared" si="4"/>
        <v>982.69302166763214</v>
      </c>
      <c r="L42" s="151"/>
      <c r="M42" s="161">
        <v>203.90192314488201</v>
      </c>
    </row>
    <row r="43" spans="1:13">
      <c r="A43" s="140">
        <v>31</v>
      </c>
      <c r="C43" s="151" t="s">
        <v>155</v>
      </c>
      <c r="D43" s="151"/>
      <c r="E43" s="163">
        <f>SUM(E31:E42)</f>
        <v>6633.8388202922551</v>
      </c>
      <c r="F43" s="151"/>
      <c r="G43" s="163">
        <f>SUM(G31:G42)</f>
        <v>32125.023965020398</v>
      </c>
      <c r="H43" s="151"/>
      <c r="I43" s="163">
        <f>SUM(I31:I42)</f>
        <v>-176.09781563745005</v>
      </c>
      <c r="J43" s="151"/>
      <c r="K43" s="163">
        <f>SUM(K31:K42)</f>
        <v>31948.926149382958</v>
      </c>
      <c r="L43" s="151"/>
      <c r="M43" s="163">
        <f>SUM(M31:M42)</f>
        <v>6629.1785335139166</v>
      </c>
    </row>
    <row r="44" spans="1:13">
      <c r="A44" s="197"/>
      <c r="C44" s="151"/>
      <c r="D44" s="151"/>
      <c r="E44" s="151"/>
      <c r="F44" s="151"/>
      <c r="G44" s="151"/>
      <c r="H44" s="151"/>
      <c r="I44" s="151"/>
      <c r="J44" s="151"/>
      <c r="K44" s="151"/>
      <c r="L44" s="151"/>
      <c r="M44" s="151"/>
    </row>
    <row r="45" spans="1:13">
      <c r="A45" s="140"/>
      <c r="C45" s="152" t="s">
        <v>624</v>
      </c>
      <c r="D45" s="151"/>
      <c r="E45" s="161"/>
      <c r="F45" s="151"/>
      <c r="G45" s="151"/>
      <c r="H45" s="151"/>
      <c r="I45" s="151"/>
      <c r="J45" s="151"/>
      <c r="K45" s="151"/>
      <c r="L45" s="151"/>
      <c r="M45" s="151"/>
    </row>
    <row r="46" spans="1:13">
      <c r="A46" s="140">
        <v>32</v>
      </c>
      <c r="C46" s="151" t="s">
        <v>937</v>
      </c>
      <c r="D46" s="151"/>
      <c r="E46" s="161">
        <v>0</v>
      </c>
      <c r="F46" s="151"/>
      <c r="G46" s="162">
        <v>0</v>
      </c>
      <c r="H46" s="151"/>
      <c r="I46" s="162">
        <f>$I$57 * G46/$G$57</f>
        <v>0</v>
      </c>
      <c r="J46" s="151"/>
      <c r="K46" s="162">
        <f t="shared" ref="K46:K54" si="5">G46 + I46</f>
        <v>0</v>
      </c>
      <c r="L46" s="151"/>
      <c r="M46" s="161">
        <v>0</v>
      </c>
    </row>
    <row r="47" spans="1:13">
      <c r="A47" s="140">
        <v>33</v>
      </c>
      <c r="C47" s="151" t="s">
        <v>938</v>
      </c>
      <c r="D47" s="151"/>
      <c r="E47" s="161">
        <v>0</v>
      </c>
      <c r="F47" s="151"/>
      <c r="G47" s="162">
        <v>0</v>
      </c>
      <c r="H47" s="151"/>
      <c r="I47" s="162">
        <f t="shared" ref="I47:I54" si="6">$I$57 * G47/$G$57</f>
        <v>0</v>
      </c>
      <c r="J47" s="151"/>
      <c r="K47" s="162">
        <f t="shared" si="5"/>
        <v>0</v>
      </c>
      <c r="L47" s="151"/>
      <c r="M47" s="161">
        <v>0</v>
      </c>
    </row>
    <row r="48" spans="1:13">
      <c r="A48" s="140">
        <v>34</v>
      </c>
      <c r="C48" s="151" t="s">
        <v>939</v>
      </c>
      <c r="D48" s="151"/>
      <c r="E48" s="161">
        <v>0</v>
      </c>
      <c r="F48" s="151"/>
      <c r="G48" s="162">
        <v>0</v>
      </c>
      <c r="H48" s="151"/>
      <c r="I48" s="162">
        <f t="shared" si="6"/>
        <v>0</v>
      </c>
      <c r="J48" s="151"/>
      <c r="K48" s="162">
        <f t="shared" si="5"/>
        <v>0</v>
      </c>
      <c r="L48" s="151"/>
      <c r="M48" s="161">
        <v>0</v>
      </c>
    </row>
    <row r="49" spans="1:15">
      <c r="A49" s="140">
        <v>35</v>
      </c>
      <c r="C49" s="151" t="s">
        <v>940</v>
      </c>
      <c r="D49" s="151"/>
      <c r="E49" s="161">
        <v>1673.0697185397185</v>
      </c>
      <c r="F49" s="151"/>
      <c r="G49" s="162">
        <v>8063.2586089155702</v>
      </c>
      <c r="H49" s="151"/>
      <c r="I49" s="162">
        <f t="shared" si="6"/>
        <v>-44.199880737707474</v>
      </c>
      <c r="J49" s="151"/>
      <c r="K49" s="162">
        <f t="shared" si="5"/>
        <v>8019.0587281778626</v>
      </c>
      <c r="L49" s="151"/>
      <c r="M49" s="161">
        <v>1663.8985526858091</v>
      </c>
    </row>
    <row r="50" spans="1:15">
      <c r="A50" s="140">
        <v>36</v>
      </c>
      <c r="C50" s="151" t="s">
        <v>941</v>
      </c>
      <c r="D50" s="151"/>
      <c r="E50" s="161">
        <v>1977.3150000000001</v>
      </c>
      <c r="F50" s="151"/>
      <c r="G50" s="162">
        <v>9542.0419036099956</v>
      </c>
      <c r="H50" s="151"/>
      <c r="I50" s="162">
        <f t="shared" si="6"/>
        <v>-52.306038363625198</v>
      </c>
      <c r="J50" s="151"/>
      <c r="K50" s="162">
        <f t="shared" si="5"/>
        <v>9489.7358652463699</v>
      </c>
      <c r="L50" s="151"/>
      <c r="M50" s="161">
        <v>1969.0537638875649</v>
      </c>
    </row>
    <row r="51" spans="1:15">
      <c r="A51" s="140">
        <v>37</v>
      </c>
      <c r="C51" s="151" t="s">
        <v>942</v>
      </c>
      <c r="D51" s="151"/>
      <c r="E51" s="161">
        <v>12354.326469932752</v>
      </c>
      <c r="F51" s="151"/>
      <c r="G51" s="162">
        <v>59540.931356396373</v>
      </c>
      <c r="H51" s="151"/>
      <c r="I51" s="162">
        <f t="shared" si="6"/>
        <v>-326.38194960718062</v>
      </c>
      <c r="J51" s="151"/>
      <c r="K51" s="162">
        <f t="shared" si="5"/>
        <v>59214.549406789192</v>
      </c>
      <c r="L51" s="151"/>
      <c r="M51" s="161">
        <v>12286.604500062909</v>
      </c>
    </row>
    <row r="52" spans="1:15">
      <c r="A52" s="140">
        <v>38</v>
      </c>
      <c r="C52" s="151" t="s">
        <v>943</v>
      </c>
      <c r="D52" s="151"/>
      <c r="E52" s="161">
        <v>0</v>
      </c>
      <c r="F52" s="151"/>
      <c r="G52" s="162">
        <v>0</v>
      </c>
      <c r="H52" s="151"/>
      <c r="I52" s="162">
        <f t="shared" si="6"/>
        <v>0</v>
      </c>
      <c r="J52" s="151"/>
      <c r="K52" s="162">
        <f t="shared" si="5"/>
        <v>0</v>
      </c>
      <c r="L52" s="151"/>
      <c r="M52" s="161">
        <v>0</v>
      </c>
    </row>
    <row r="53" spans="1:15">
      <c r="A53" s="140">
        <v>39</v>
      </c>
      <c r="C53" s="151" t="s">
        <v>944</v>
      </c>
      <c r="D53" s="151"/>
      <c r="E53" s="161">
        <v>96.428791883564728</v>
      </c>
      <c r="F53" s="151"/>
      <c r="G53" s="162">
        <v>465.32217394371014</v>
      </c>
      <c r="H53" s="151"/>
      <c r="I53" s="162">
        <f t="shared" si="6"/>
        <v>-2.5507286310005681</v>
      </c>
      <c r="J53" s="151"/>
      <c r="K53" s="162">
        <f t="shared" si="5"/>
        <v>462.77144531270955</v>
      </c>
      <c r="L53" s="151"/>
      <c r="M53" s="161">
        <v>96.021835502270036</v>
      </c>
    </row>
    <row r="54" spans="1:15">
      <c r="A54" s="140">
        <v>40</v>
      </c>
      <c r="C54" s="151" t="s">
        <v>945</v>
      </c>
      <c r="D54" s="151"/>
      <c r="E54" s="161">
        <v>29.198154308992827</v>
      </c>
      <c r="F54" s="151"/>
      <c r="G54" s="162">
        <v>140.71874380819031</v>
      </c>
      <c r="H54" s="151"/>
      <c r="I54" s="162">
        <f t="shared" si="6"/>
        <v>-0.77136949161035517</v>
      </c>
      <c r="J54" s="151"/>
      <c r="K54" s="162">
        <f t="shared" si="5"/>
        <v>139.94737431657995</v>
      </c>
      <c r="L54" s="151"/>
      <c r="M54" s="161">
        <v>29.038100539070125</v>
      </c>
    </row>
    <row r="55" spans="1:15">
      <c r="A55" s="140">
        <v>41</v>
      </c>
      <c r="C55" s="151" t="s">
        <v>946</v>
      </c>
      <c r="D55" s="151"/>
      <c r="E55" s="163">
        <f>SUM(E46:E54)</f>
        <v>16130.338134665029</v>
      </c>
      <c r="F55" s="151"/>
      <c r="G55" s="163">
        <f>SUM(G46:G54)</f>
        <v>77752.272786673842</v>
      </c>
      <c r="H55" s="151"/>
      <c r="I55" s="163">
        <f>SUM(I46:I54)</f>
        <v>-426.20996683112423</v>
      </c>
      <c r="J55" s="151"/>
      <c r="K55" s="163">
        <f>SUM(K46:K54)</f>
        <v>77326.062819842715</v>
      </c>
      <c r="L55" s="151"/>
      <c r="M55" s="163">
        <f>SUM(M46:M54)</f>
        <v>16044.616752677623</v>
      </c>
    </row>
    <row r="56" spans="1:15">
      <c r="A56" s="140"/>
      <c r="C56" s="151"/>
      <c r="D56" s="151"/>
      <c r="E56" s="151"/>
      <c r="F56" s="151"/>
      <c r="G56" s="162"/>
      <c r="H56" s="151"/>
      <c r="I56" s="151"/>
      <c r="J56" s="151"/>
      <c r="K56" s="151"/>
      <c r="L56" s="151"/>
      <c r="M56" s="151"/>
    </row>
    <row r="57" spans="1:15" ht="13.5" thickBot="1">
      <c r="A57" s="140">
        <v>42</v>
      </c>
      <c r="C57" s="151" t="s">
        <v>8</v>
      </c>
      <c r="E57" s="211">
        <f>E55 + E43 + E28 + E20</f>
        <v>36592.899986317163</v>
      </c>
      <c r="F57" s="151"/>
      <c r="G57" s="211">
        <f>G55 + G43 + G28 + G20</f>
        <v>171091.93502239301</v>
      </c>
      <c r="H57" s="151"/>
      <c r="I57" s="211">
        <f>K57-G57</f>
        <v>-937.86439080743003</v>
      </c>
      <c r="J57" s="210"/>
      <c r="K57" s="211">
        <v>170154.07063158558</v>
      </c>
      <c r="L57" s="210"/>
      <c r="M57" s="211">
        <v>35305.778577559584</v>
      </c>
    </row>
    <row r="58" spans="1:15" ht="13.5" thickTop="1">
      <c r="C58" s="151"/>
      <c r="I58" s="209"/>
    </row>
    <row r="59" spans="1:15">
      <c r="A59" s="188" t="s">
        <v>80</v>
      </c>
      <c r="I59" s="209"/>
    </row>
    <row r="60" spans="1:15" ht="67.900000000000006" customHeight="1">
      <c r="A60" s="190" t="s">
        <v>40</v>
      </c>
      <c r="B60" s="151"/>
      <c r="C60" s="1178" t="s">
        <v>981</v>
      </c>
      <c r="D60" s="1178"/>
      <c r="E60" s="1178"/>
      <c r="F60" s="1178"/>
      <c r="G60" s="1178"/>
      <c r="H60" s="1178"/>
      <c r="I60" s="1178"/>
      <c r="J60" s="1178"/>
      <c r="K60" s="1178"/>
      <c r="L60" s="1178"/>
      <c r="M60" s="1178"/>
      <c r="O60" s="187" t="s">
        <v>168</v>
      </c>
    </row>
    <row r="61" spans="1:15" ht="27.75" customHeight="1">
      <c r="A61" s="190" t="s">
        <v>20</v>
      </c>
      <c r="B61" s="151"/>
      <c r="C61" s="1178" t="s">
        <v>982</v>
      </c>
      <c r="D61" s="1178"/>
      <c r="E61" s="1178"/>
      <c r="F61" s="1178"/>
      <c r="G61" s="1178"/>
      <c r="H61" s="1178"/>
      <c r="I61" s="1178"/>
      <c r="J61" s="1178"/>
      <c r="K61" s="1178"/>
      <c r="L61" s="1178"/>
      <c r="M61" s="1178"/>
    </row>
    <row r="62" spans="1:15" ht="25.9" customHeight="1">
      <c r="A62" s="190" t="s">
        <v>21</v>
      </c>
      <c r="B62" s="151"/>
      <c r="C62" s="1178" t="s">
        <v>983</v>
      </c>
      <c r="D62" s="1178"/>
      <c r="E62" s="1178"/>
      <c r="F62" s="1178"/>
      <c r="G62" s="1178"/>
      <c r="H62" s="1178"/>
      <c r="I62" s="1178"/>
      <c r="J62" s="1178"/>
      <c r="K62" s="1178"/>
      <c r="L62" s="1178"/>
      <c r="M62" s="1178"/>
    </row>
    <row r="63" spans="1:15">
      <c r="A63" s="143"/>
      <c r="B63" s="151"/>
      <c r="E63" s="212"/>
      <c r="F63" s="212"/>
      <c r="G63" s="212"/>
      <c r="H63" s="212"/>
      <c r="I63" s="212"/>
      <c r="J63" s="212"/>
      <c r="K63" s="212"/>
      <c r="L63" s="212"/>
      <c r="M63" s="212"/>
    </row>
    <row r="64" spans="1:15">
      <c r="B64" s="151"/>
    </row>
    <row r="65" spans="2:3">
      <c r="B65" s="151"/>
      <c r="C65" s="162"/>
    </row>
  </sheetData>
  <mergeCells count="6">
    <mergeCell ref="A2:M2"/>
    <mergeCell ref="C60:M60"/>
    <mergeCell ref="C61:M61"/>
    <mergeCell ref="C62:M62"/>
    <mergeCell ref="E4:G4"/>
    <mergeCell ref="K4:M4"/>
  </mergeCells>
  <pageMargins left="0.7" right="0.7" top="0.75" bottom="0.75" header="0.3" footer="0.3"/>
  <pageSetup scale="70" firstPageNumber="5" orientation="portrait" useFirstPageNumber="1" horizontalDpi="1200" verticalDpi="1200" r:id="rId1"/>
  <headerFooter>
    <oddHeader>&amp;R&amp;10Filed: 2024-02-16
EB-2022-0200
Rate Order
Working Papers
Schedule 23
Page &amp;P of 5</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158E-B742-4154-91BA-029D04065BD1}">
  <dimension ref="A3:Q710"/>
  <sheetViews>
    <sheetView zoomScaleNormal="100" zoomScaleSheetLayoutView="100" workbookViewId="0"/>
  </sheetViews>
  <sheetFormatPr defaultColWidth="8.625" defaultRowHeight="14.45"/>
  <cols>
    <col min="1" max="1" width="5.25" style="66" customWidth="1"/>
    <col min="2" max="2" width="1.125" style="66" customWidth="1"/>
    <col min="3" max="3" width="30.75" style="66" customWidth="1"/>
    <col min="4" max="4" width="1" style="66" customWidth="1"/>
    <col min="5" max="5" width="11.75" style="66" customWidth="1"/>
    <col min="6" max="6" width="1.125" style="66" customWidth="1"/>
    <col min="7" max="7" width="14.875" style="66" customWidth="1"/>
    <col min="8" max="8" width="1.125" style="66" customWidth="1"/>
    <col min="9" max="9" width="13.125" style="66" customWidth="1"/>
    <col min="10" max="10" width="1.125" style="66" customWidth="1"/>
    <col min="11" max="11" width="12.625" style="66" customWidth="1"/>
    <col min="12" max="12" width="1.125" style="66" customWidth="1"/>
    <col min="13" max="13" width="13.125" style="66" customWidth="1"/>
    <col min="14" max="14" width="1.125" style="66" customWidth="1"/>
    <col min="15" max="15" width="13.75" style="66" customWidth="1"/>
    <col min="16" max="16" width="1.125" style="66" customWidth="1"/>
    <col min="17" max="17" width="14.125" style="66" customWidth="1"/>
    <col min="18" max="16384" width="8.625" style="68"/>
  </cols>
  <sheetData>
    <row r="3" spans="1:17">
      <c r="A3" s="1184" t="s">
        <v>984</v>
      </c>
      <c r="B3" s="1184"/>
      <c r="C3" s="1184"/>
      <c r="D3" s="1184"/>
      <c r="E3" s="1184"/>
      <c r="F3" s="1184"/>
      <c r="G3" s="1184"/>
      <c r="H3" s="1184"/>
      <c r="I3" s="1184"/>
      <c r="J3" s="1184"/>
      <c r="K3" s="1184"/>
      <c r="L3" s="1184"/>
      <c r="M3" s="1184"/>
      <c r="N3" s="1184"/>
      <c r="O3" s="1184"/>
      <c r="P3" s="1184"/>
      <c r="Q3" s="1184"/>
    </row>
    <row r="4" spans="1:17">
      <c r="A4" s="1184" t="s">
        <v>125</v>
      </c>
      <c r="B4" s="1184"/>
      <c r="C4" s="1184"/>
      <c r="D4" s="1184"/>
      <c r="E4" s="1184"/>
      <c r="F4" s="1184"/>
      <c r="G4" s="1184"/>
      <c r="H4" s="1184"/>
      <c r="I4" s="1184"/>
      <c r="J4" s="1184"/>
      <c r="K4" s="1184"/>
      <c r="L4" s="1184"/>
      <c r="M4" s="1184"/>
      <c r="N4" s="1184"/>
      <c r="O4" s="1184"/>
      <c r="P4" s="1184"/>
      <c r="Q4" s="1184"/>
    </row>
    <row r="7" spans="1:17">
      <c r="A7" s="71"/>
      <c r="B7" s="67"/>
      <c r="C7" s="67"/>
      <c r="D7" s="67"/>
      <c r="E7" s="1185" t="s">
        <v>985</v>
      </c>
      <c r="F7" s="1185"/>
      <c r="G7" s="1185"/>
      <c r="H7" s="67"/>
      <c r="I7" s="1185" t="s">
        <v>986</v>
      </c>
      <c r="J7" s="1185"/>
      <c r="K7" s="1185"/>
      <c r="L7" s="1185"/>
      <c r="M7" s="1185"/>
      <c r="N7" s="67"/>
      <c r="O7" s="1185" t="s">
        <v>987</v>
      </c>
      <c r="P7" s="1185"/>
      <c r="Q7" s="1185"/>
    </row>
    <row r="8" spans="1:17">
      <c r="A8" s="71"/>
      <c r="B8" s="67"/>
      <c r="C8" s="67"/>
      <c r="D8" s="67"/>
      <c r="E8" s="71"/>
      <c r="F8" s="71"/>
      <c r="G8" s="71"/>
      <c r="H8" s="67"/>
      <c r="I8" s="71"/>
      <c r="J8" s="71"/>
      <c r="K8" s="71"/>
      <c r="L8" s="71"/>
      <c r="M8" s="71" t="s">
        <v>988</v>
      </c>
      <c r="N8" s="67"/>
      <c r="O8" s="71" t="s">
        <v>989</v>
      </c>
      <c r="P8" s="71"/>
      <c r="Q8" s="71" t="s">
        <v>990</v>
      </c>
    </row>
    <row r="9" spans="1:17">
      <c r="A9" s="71" t="s">
        <v>56</v>
      </c>
      <c r="B9" s="67"/>
      <c r="C9" s="67"/>
      <c r="D9" s="67"/>
      <c r="E9" s="71" t="s">
        <v>988</v>
      </c>
      <c r="F9" s="71"/>
      <c r="G9" s="71" t="s">
        <v>991</v>
      </c>
      <c r="H9" s="67"/>
      <c r="I9" s="71" t="s">
        <v>988</v>
      </c>
      <c r="J9" s="71"/>
      <c r="K9" s="71" t="s">
        <v>991</v>
      </c>
      <c r="L9" s="71"/>
      <c r="M9" s="71" t="s">
        <v>845</v>
      </c>
      <c r="N9" s="67"/>
      <c r="O9" s="71" t="s">
        <v>992</v>
      </c>
      <c r="P9" s="67"/>
      <c r="Q9" s="71" t="s">
        <v>992</v>
      </c>
    </row>
    <row r="10" spans="1:17" ht="15.6">
      <c r="A10" s="74" t="s">
        <v>57</v>
      </c>
      <c r="B10" s="67"/>
      <c r="C10" s="360" t="s">
        <v>194</v>
      </c>
      <c r="D10" s="67"/>
      <c r="E10" s="74" t="s">
        <v>993</v>
      </c>
      <c r="F10" s="71"/>
      <c r="G10" s="74" t="s">
        <v>247</v>
      </c>
      <c r="H10" s="67"/>
      <c r="I10" s="74" t="s">
        <v>993</v>
      </c>
      <c r="J10" s="71"/>
      <c r="K10" s="74" t="s">
        <v>247</v>
      </c>
      <c r="L10" s="71"/>
      <c r="M10" s="74" t="s">
        <v>993</v>
      </c>
      <c r="N10" s="67"/>
      <c r="O10" s="74" t="s">
        <v>249</v>
      </c>
      <c r="P10" s="71"/>
      <c r="Q10" s="74" t="s">
        <v>249</v>
      </c>
    </row>
    <row r="11" spans="1:17">
      <c r="A11" s="71"/>
      <c r="B11" s="67"/>
      <c r="C11" s="67"/>
      <c r="D11" s="67"/>
      <c r="E11" s="71" t="s">
        <v>9</v>
      </c>
      <c r="F11" s="71"/>
      <c r="G11" s="71" t="s">
        <v>10</v>
      </c>
      <c r="H11" s="71"/>
      <c r="I11" s="71" t="s">
        <v>58</v>
      </c>
      <c r="J11" s="71"/>
      <c r="K11" s="71" t="s">
        <v>12</v>
      </c>
      <c r="L11" s="71"/>
      <c r="M11" s="71" t="s">
        <v>994</v>
      </c>
      <c r="N11" s="71"/>
      <c r="O11" s="71" t="s">
        <v>995</v>
      </c>
      <c r="P11" s="71"/>
      <c r="Q11" s="71" t="s">
        <v>209</v>
      </c>
    </row>
    <row r="13" spans="1:17" ht="15.6">
      <c r="A13" s="71"/>
      <c r="B13" s="67"/>
      <c r="C13" s="76" t="s">
        <v>996</v>
      </c>
      <c r="D13" s="67"/>
      <c r="E13" s="1181" t="s">
        <v>997</v>
      </c>
      <c r="F13" s="1181"/>
      <c r="G13" s="1181"/>
      <c r="H13" s="71"/>
      <c r="I13" s="71"/>
      <c r="J13" s="71"/>
      <c r="K13" s="71"/>
      <c r="L13" s="71"/>
      <c r="M13" s="70"/>
      <c r="N13" s="71"/>
      <c r="O13" s="71"/>
      <c r="P13" s="71"/>
      <c r="Q13" s="71"/>
    </row>
    <row r="14" spans="1:17">
      <c r="A14" s="71">
        <f>1</f>
        <v>1</v>
      </c>
      <c r="B14" s="67"/>
      <c r="C14" s="67" t="s">
        <v>998</v>
      </c>
      <c r="D14" s="67"/>
      <c r="E14" s="81">
        <v>528.82666990701932</v>
      </c>
      <c r="F14" s="71"/>
      <c r="G14" s="361">
        <v>22.034444579459141</v>
      </c>
      <c r="H14" s="71"/>
      <c r="I14" s="81">
        <v>551.54809490701939</v>
      </c>
      <c r="J14" s="71"/>
      <c r="K14" s="361">
        <v>22.981170621125806</v>
      </c>
      <c r="L14" s="77"/>
      <c r="M14" s="362">
        <f>I14-E14</f>
        <v>22.721425000000067</v>
      </c>
      <c r="N14" s="77"/>
      <c r="O14" s="325">
        <f>M14/E14</f>
        <v>4.2965732049775496E-2</v>
      </c>
      <c r="P14" s="327"/>
      <c r="Q14" s="325">
        <f>O14</f>
        <v>4.2965732049775496E-2</v>
      </c>
    </row>
    <row r="15" spans="1:17">
      <c r="A15" s="71">
        <f>A14+1</f>
        <v>2</v>
      </c>
      <c r="B15" s="67"/>
      <c r="C15" s="67" t="s">
        <v>999</v>
      </c>
      <c r="D15" s="67"/>
      <c r="E15" s="81">
        <v>297.36</v>
      </c>
      <c r="F15" s="363"/>
      <c r="G15" s="361">
        <v>12.39</v>
      </c>
      <c r="H15" s="77"/>
      <c r="I15" s="81">
        <v>297.36</v>
      </c>
      <c r="J15" s="363"/>
      <c r="K15" s="361">
        <v>12.39</v>
      </c>
      <c r="L15" s="77"/>
      <c r="M15" s="362">
        <f>I15-E15</f>
        <v>0</v>
      </c>
      <c r="N15" s="77"/>
      <c r="O15" s="326">
        <f>IFERROR(M15/E15,"100.0%")</f>
        <v>0</v>
      </c>
      <c r="P15" s="327"/>
      <c r="Q15" s="326">
        <v>0</v>
      </c>
    </row>
    <row r="16" spans="1:17">
      <c r="A16" s="71">
        <f>A15+1</f>
        <v>3</v>
      </c>
      <c r="B16" s="67"/>
      <c r="C16" s="67" t="s">
        <v>1000</v>
      </c>
      <c r="D16" s="67"/>
      <c r="E16" s="81">
        <v>113.78582404132591</v>
      </c>
      <c r="F16" s="363"/>
      <c r="G16" s="361">
        <v>4.7410760017219129</v>
      </c>
      <c r="H16" s="77"/>
      <c r="I16" s="81">
        <v>113.83622404132592</v>
      </c>
      <c r="J16" s="363"/>
      <c r="K16" s="361">
        <v>4.7431760017219133</v>
      </c>
      <c r="L16" s="77"/>
      <c r="M16" s="362">
        <f>I16-E16</f>
        <v>5.0400000000010436E-2</v>
      </c>
      <c r="N16" s="77"/>
      <c r="O16" s="326">
        <f>IFERROR(M16/E16,"100.0%")</f>
        <v>4.4293742585812488E-4</v>
      </c>
      <c r="P16" s="327"/>
      <c r="Q16" s="325">
        <f>O16</f>
        <v>4.4293742585812488E-4</v>
      </c>
    </row>
    <row r="17" spans="1:17">
      <c r="A17" s="71">
        <f>A16+1</f>
        <v>4</v>
      </c>
      <c r="B17" s="67"/>
      <c r="C17" s="67" t="s">
        <v>1001</v>
      </c>
      <c r="D17" s="67"/>
      <c r="E17" s="81">
        <v>282.17973252906592</v>
      </c>
      <c r="F17" s="71"/>
      <c r="G17" s="361">
        <v>11.757488855377748</v>
      </c>
      <c r="H17" s="71"/>
      <c r="I17" s="81">
        <v>282.23493252906587</v>
      </c>
      <c r="J17" s="71"/>
      <c r="K17" s="361">
        <v>11.759788855377746</v>
      </c>
      <c r="L17" s="77"/>
      <c r="M17" s="362">
        <f>I17-E17</f>
        <v>5.5199999999956617E-2</v>
      </c>
      <c r="N17" s="67"/>
      <c r="O17" s="325">
        <f>M17/E17</f>
        <v>1.9562000256085273E-4</v>
      </c>
      <c r="P17" s="327"/>
      <c r="Q17" s="325">
        <f>O17</f>
        <v>1.9562000256085273E-4</v>
      </c>
    </row>
    <row r="18" spans="1:17">
      <c r="A18" s="71">
        <f>A17+1</f>
        <v>5</v>
      </c>
      <c r="B18" s="67"/>
      <c r="C18" s="67" t="s">
        <v>1002</v>
      </c>
      <c r="D18" s="67"/>
      <c r="E18" s="364">
        <f>SUM(E14:E17)</f>
        <v>1222.1522264774112</v>
      </c>
      <c r="F18" s="71"/>
      <c r="G18" s="365">
        <v>50.9230094365588</v>
      </c>
      <c r="H18" s="71"/>
      <c r="I18" s="364">
        <f>SUM(I14:I17)</f>
        <v>1244.9792514774113</v>
      </c>
      <c r="J18" s="71"/>
      <c r="K18" s="365">
        <v>51.874135478225469</v>
      </c>
      <c r="L18" s="77"/>
      <c r="M18" s="366">
        <f>SUM(M14:M17)</f>
        <v>22.827025000000035</v>
      </c>
      <c r="N18" s="67"/>
      <c r="O18" s="367">
        <f>M18/E18</f>
        <v>1.8677726477489619E-2</v>
      </c>
      <c r="P18" s="368"/>
      <c r="Q18" s="367">
        <f>(M14+M17+M16)/(E14+E17+E16)</f>
        <v>2.4683409252854057E-2</v>
      </c>
    </row>
    <row r="19" spans="1:17">
      <c r="A19" s="71"/>
      <c r="B19" s="67"/>
      <c r="C19" s="67"/>
      <c r="D19" s="67"/>
      <c r="E19" s="81"/>
      <c r="F19" s="71"/>
      <c r="G19" s="77"/>
      <c r="H19" s="71"/>
      <c r="I19" s="81"/>
      <c r="J19" s="71"/>
      <c r="K19" s="77"/>
      <c r="L19" s="77"/>
      <c r="M19" s="362"/>
      <c r="N19" s="67"/>
      <c r="O19" s="368"/>
      <c r="P19" s="368"/>
      <c r="Q19" s="368"/>
    </row>
    <row r="20" spans="1:17">
      <c r="A20" s="71">
        <f>A18+1</f>
        <v>6</v>
      </c>
      <c r="B20" s="67"/>
      <c r="C20" s="67" t="s">
        <v>1003</v>
      </c>
      <c r="D20" s="67"/>
      <c r="E20" s="364">
        <v>1222.207426477411</v>
      </c>
      <c r="F20" s="71"/>
      <c r="G20" s="369">
        <v>50.925309436558798</v>
      </c>
      <c r="H20" s="71"/>
      <c r="I20" s="364">
        <v>1244.9792514774113</v>
      </c>
      <c r="J20" s="71"/>
      <c r="K20" s="369">
        <v>51.874135478225469</v>
      </c>
      <c r="L20" s="77"/>
      <c r="M20" s="366">
        <v>22.771825000000078</v>
      </c>
      <c r="N20" s="67"/>
      <c r="O20" s="370">
        <v>1.8631718730127474E-2</v>
      </c>
      <c r="P20" s="368"/>
      <c r="Q20" s="370">
        <v>2.4622250490261021E-2</v>
      </c>
    </row>
    <row r="21" spans="1:17">
      <c r="A21" s="71">
        <f>A20+1</f>
        <v>7</v>
      </c>
      <c r="B21" s="67"/>
      <c r="C21" s="67" t="s">
        <v>1004</v>
      </c>
      <c r="D21" s="67"/>
      <c r="E21" s="80"/>
      <c r="F21" s="80"/>
      <c r="G21" s="80"/>
      <c r="H21" s="80"/>
      <c r="I21" s="80"/>
      <c r="J21" s="80"/>
      <c r="K21" s="80"/>
      <c r="L21" s="80"/>
      <c r="M21" s="362"/>
      <c r="N21" s="67"/>
      <c r="O21" s="370">
        <v>2.4226054641606851E-2</v>
      </c>
      <c r="P21" s="368"/>
      <c r="Q21" s="370">
        <v>3.543632471271331E-2</v>
      </c>
    </row>
    <row r="22" spans="1:17">
      <c r="A22" s="71">
        <f>A21+1</f>
        <v>8</v>
      </c>
      <c r="B22" s="67"/>
      <c r="C22" s="67" t="s">
        <v>1005</v>
      </c>
      <c r="D22" s="67"/>
      <c r="E22" s="364">
        <v>1130.5963119151145</v>
      </c>
      <c r="F22" s="71"/>
      <c r="G22" s="369">
        <v>47.108179663129768</v>
      </c>
      <c r="H22" s="71"/>
      <c r="I22" s="364">
        <v>1153.7113369151145</v>
      </c>
      <c r="J22" s="71"/>
      <c r="K22" s="369">
        <v>48.071305704796444</v>
      </c>
      <c r="L22" s="77"/>
      <c r="M22" s="366">
        <v>23.11502500000007</v>
      </c>
      <c r="N22" s="67"/>
      <c r="O22" s="370">
        <v>2.0444985320043706E-2</v>
      </c>
      <c r="P22" s="368"/>
      <c r="Q22" s="370">
        <v>2.7741259795642344E-2</v>
      </c>
    </row>
    <row r="23" spans="1:17">
      <c r="A23" s="71">
        <f>A22+1</f>
        <v>9</v>
      </c>
      <c r="B23" s="67"/>
      <c r="C23" s="67" t="s">
        <v>1006</v>
      </c>
      <c r="D23" s="67"/>
      <c r="E23" s="80"/>
      <c r="F23" s="80"/>
      <c r="G23" s="80"/>
      <c r="H23" s="80"/>
      <c r="I23" s="80"/>
      <c r="J23" s="80"/>
      <c r="K23" s="80"/>
      <c r="L23" s="80"/>
      <c r="M23" s="362"/>
      <c r="N23" s="67"/>
      <c r="O23" s="370">
        <v>2.7246672893959652E-2</v>
      </c>
      <c r="P23" s="368"/>
      <c r="Q23" s="370">
        <v>4.1950938536226369E-2</v>
      </c>
    </row>
    <row r="24" spans="1:17">
      <c r="A24" s="71"/>
      <c r="B24" s="67"/>
      <c r="C24" s="67"/>
      <c r="D24" s="67"/>
      <c r="E24" s="71"/>
      <c r="F24" s="71"/>
      <c r="G24" s="71"/>
      <c r="H24" s="71"/>
      <c r="I24" s="71"/>
      <c r="J24" s="71"/>
      <c r="K24" s="371"/>
      <c r="L24" s="71"/>
      <c r="M24" s="362"/>
      <c r="N24" s="71"/>
      <c r="O24" s="372"/>
      <c r="P24" s="372"/>
      <c r="Q24" s="368"/>
    </row>
    <row r="25" spans="1:17" ht="15.6">
      <c r="A25" s="71"/>
      <c r="B25" s="67"/>
      <c r="C25" s="76" t="s">
        <v>1007</v>
      </c>
      <c r="D25" s="67"/>
      <c r="E25" s="1181" t="s">
        <v>1008</v>
      </c>
      <c r="F25" s="1181"/>
      <c r="G25" s="1181"/>
      <c r="H25" s="67"/>
      <c r="I25" s="67"/>
      <c r="J25" s="67"/>
      <c r="K25" s="67"/>
      <c r="L25" s="67"/>
      <c r="M25" s="362"/>
      <c r="N25" s="67"/>
      <c r="O25" s="368"/>
      <c r="P25" s="368"/>
      <c r="Q25" s="368"/>
    </row>
    <row r="26" spans="1:17">
      <c r="A26" s="71">
        <f>A23+1</f>
        <v>10</v>
      </c>
      <c r="B26" s="67"/>
      <c r="C26" s="67" t="s">
        <v>998</v>
      </c>
      <c r="D26" s="67"/>
      <c r="E26" s="81">
        <v>810.85211577439463</v>
      </c>
      <c r="F26" s="71"/>
      <c r="G26" s="361">
        <v>16.062839060507024</v>
      </c>
      <c r="H26" s="71"/>
      <c r="I26" s="81">
        <v>820.5851517743946</v>
      </c>
      <c r="J26" s="71"/>
      <c r="K26" s="361">
        <v>16.255648806941256</v>
      </c>
      <c r="L26" s="77"/>
      <c r="M26" s="362">
        <f>I26-E26</f>
        <v>9.73303599999997</v>
      </c>
      <c r="N26" s="77"/>
      <c r="O26" s="325">
        <f>M26/E26</f>
        <v>1.2003466243292156E-2</v>
      </c>
      <c r="P26" s="327"/>
      <c r="Q26" s="325">
        <f>O26</f>
        <v>1.2003466243292156E-2</v>
      </c>
    </row>
    <row r="27" spans="1:17">
      <c r="A27" s="71">
        <f>A26+1</f>
        <v>11</v>
      </c>
      <c r="B27" s="67"/>
      <c r="C27" s="67" t="s">
        <v>999</v>
      </c>
      <c r="D27" s="67"/>
      <c r="E27" s="81">
        <v>625.44720000000007</v>
      </c>
      <c r="F27" s="363"/>
      <c r="G27" s="361">
        <v>12.39</v>
      </c>
      <c r="H27" s="77"/>
      <c r="I27" s="81">
        <v>625.44720000000007</v>
      </c>
      <c r="J27" s="363"/>
      <c r="K27" s="361">
        <v>12.39</v>
      </c>
      <c r="L27" s="77"/>
      <c r="M27" s="362">
        <f>I27-E27</f>
        <v>0</v>
      </c>
      <c r="N27" s="77"/>
      <c r="O27" s="326">
        <f>IFERROR(M27/E27,"100.0%")</f>
        <v>0</v>
      </c>
      <c r="P27" s="327"/>
      <c r="Q27" s="326">
        <v>0</v>
      </c>
    </row>
    <row r="28" spans="1:17">
      <c r="A28" s="71">
        <f>A27+1</f>
        <v>12</v>
      </c>
      <c r="B28" s="67"/>
      <c r="C28" s="67" t="s">
        <v>1000</v>
      </c>
      <c r="D28" s="67"/>
      <c r="E28" s="81">
        <v>239.32951656692217</v>
      </c>
      <c r="F28" s="363"/>
      <c r="G28" s="361">
        <v>4.7410760017219129</v>
      </c>
      <c r="H28" s="77"/>
      <c r="I28" s="81">
        <v>239.43552456692217</v>
      </c>
      <c r="J28" s="363"/>
      <c r="K28" s="361">
        <v>4.7431760017219133</v>
      </c>
      <c r="L28" s="77"/>
      <c r="M28" s="362">
        <f>I28-E28</f>
        <v>0.10600800000000277</v>
      </c>
      <c r="N28" s="77"/>
      <c r="O28" s="326">
        <f>IFERROR(M28/E28,"100.0%")</f>
        <v>4.429374258580447E-4</v>
      </c>
      <c r="P28" s="327"/>
      <c r="Q28" s="325">
        <f>O28</f>
        <v>4.429374258580447E-4</v>
      </c>
    </row>
    <row r="29" spans="1:17">
      <c r="A29" s="71">
        <f>A28+1</f>
        <v>13</v>
      </c>
      <c r="B29" s="67"/>
      <c r="C29" s="67" t="s">
        <v>1001</v>
      </c>
      <c r="D29" s="67"/>
      <c r="E29" s="81">
        <v>593.51803741946856</v>
      </c>
      <c r="F29" s="71"/>
      <c r="G29" s="361">
        <v>11.757488855377744</v>
      </c>
      <c r="H29" s="71"/>
      <c r="I29" s="81">
        <v>593.63414141946851</v>
      </c>
      <c r="J29" s="71"/>
      <c r="K29" s="361">
        <v>11.759788855377744</v>
      </c>
      <c r="L29" s="77"/>
      <c r="M29" s="362">
        <f>I29-E29</f>
        <v>0.11610399999995025</v>
      </c>
      <c r="N29" s="67"/>
      <c r="O29" s="325">
        <f>M29/E29</f>
        <v>1.9562000256092269E-4</v>
      </c>
      <c r="P29" s="327"/>
      <c r="Q29" s="325">
        <f>O29</f>
        <v>1.9562000256092269E-4</v>
      </c>
    </row>
    <row r="30" spans="1:17">
      <c r="A30" s="71">
        <f>A29+1</f>
        <v>14</v>
      </c>
      <c r="B30" s="67"/>
      <c r="C30" s="67" t="s">
        <v>1002</v>
      </c>
      <c r="D30" s="67"/>
      <c r="E30" s="364">
        <f>SUM(E26:E29)</f>
        <v>2269.1468697607852</v>
      </c>
      <c r="F30" s="71"/>
      <c r="G30" s="365">
        <v>44.951403917606683</v>
      </c>
      <c r="H30" s="71"/>
      <c r="I30" s="364">
        <f>SUM(I26:I29)</f>
        <v>2279.1020177607852</v>
      </c>
      <c r="J30" s="71"/>
      <c r="K30" s="365">
        <v>45.148613664040909</v>
      </c>
      <c r="L30" s="77"/>
      <c r="M30" s="366">
        <f>SUM(M26:M29)</f>
        <v>9.9551479999999231</v>
      </c>
      <c r="N30" s="67"/>
      <c r="O30" s="367">
        <f>M30/E30</f>
        <v>4.3871765784157463E-3</v>
      </c>
      <c r="P30" s="368"/>
      <c r="Q30" s="367">
        <f>(M26+M29+M28)/(E26+E29+E28)</f>
        <v>6.0565492487132631E-3</v>
      </c>
    </row>
    <row r="31" spans="1:17">
      <c r="A31" s="71"/>
      <c r="B31" s="67"/>
      <c r="C31" s="67"/>
      <c r="D31" s="67"/>
      <c r="E31" s="81"/>
      <c r="F31" s="71"/>
      <c r="G31" s="77"/>
      <c r="H31" s="71"/>
      <c r="I31" s="81"/>
      <c r="J31" s="71"/>
      <c r="K31" s="77"/>
      <c r="L31" s="77"/>
      <c r="M31" s="362"/>
      <c r="N31" s="67"/>
      <c r="O31" s="368"/>
      <c r="P31" s="368"/>
      <c r="Q31" s="368"/>
    </row>
    <row r="32" spans="1:17">
      <c r="A32" s="71">
        <f>A30+1</f>
        <v>15</v>
      </c>
      <c r="B32" s="67"/>
      <c r="C32" s="67" t="s">
        <v>1003</v>
      </c>
      <c r="D32" s="67"/>
      <c r="E32" s="364">
        <v>2269.2629737607854</v>
      </c>
      <c r="F32" s="71"/>
      <c r="G32" s="369">
        <v>44.953703917606688</v>
      </c>
      <c r="H32" s="71"/>
      <c r="I32" s="364">
        <v>2279.1020177607852</v>
      </c>
      <c r="J32" s="71"/>
      <c r="K32" s="369">
        <v>45.148613664040909</v>
      </c>
      <c r="L32" s="77"/>
      <c r="M32" s="366">
        <v>9.8390439999999728</v>
      </c>
      <c r="N32" s="67"/>
      <c r="O32" s="370">
        <v>4.3357883655476045E-3</v>
      </c>
      <c r="P32" s="368"/>
      <c r="Q32" s="370">
        <v>5.9854906839650448E-3</v>
      </c>
    </row>
    <row r="33" spans="1:17">
      <c r="A33" s="71">
        <f>A32+1</f>
        <v>16</v>
      </c>
      <c r="B33" s="67"/>
      <c r="C33" s="67" t="s">
        <v>1004</v>
      </c>
      <c r="D33" s="67"/>
      <c r="E33" s="80"/>
      <c r="F33" s="80"/>
      <c r="G33" s="80"/>
      <c r="H33" s="80"/>
      <c r="I33" s="80"/>
      <c r="J33" s="80"/>
      <c r="K33" s="80"/>
      <c r="L33" s="80"/>
      <c r="M33" s="362"/>
      <c r="N33" s="67"/>
      <c r="O33" s="370">
        <v>5.8718516953734359E-3</v>
      </c>
      <c r="P33" s="368"/>
      <c r="Q33" s="370">
        <v>9.3688974335462485E-3</v>
      </c>
    </row>
    <row r="34" spans="1:17">
      <c r="A34" s="71">
        <f>A33+1</f>
        <v>17</v>
      </c>
      <c r="B34" s="67"/>
      <c r="C34" s="67" t="s">
        <v>1005</v>
      </c>
      <c r="D34" s="67"/>
      <c r="E34" s="364">
        <v>2076.5742627980881</v>
      </c>
      <c r="F34" s="71"/>
      <c r="G34" s="369">
        <v>41.136574144177658</v>
      </c>
      <c r="H34" s="71"/>
      <c r="I34" s="364">
        <v>2087.135170798088</v>
      </c>
      <c r="J34" s="71"/>
      <c r="K34" s="369">
        <v>41.345783890611884</v>
      </c>
      <c r="L34" s="77"/>
      <c r="M34" s="366">
        <v>10.560907999999969</v>
      </c>
      <c r="N34" s="67"/>
      <c r="O34" s="370">
        <v>5.0857357664491291E-3</v>
      </c>
      <c r="P34" s="368"/>
      <c r="Q34" s="370">
        <v>7.2777279610761626E-3</v>
      </c>
    </row>
    <row r="35" spans="1:17">
      <c r="A35" s="71">
        <f>A34+1</f>
        <v>18</v>
      </c>
      <c r="B35" s="67"/>
      <c r="C35" s="67" t="s">
        <v>1006</v>
      </c>
      <c r="D35" s="67"/>
      <c r="E35" s="80"/>
      <c r="F35" s="80"/>
      <c r="G35" s="80"/>
      <c r="H35" s="80"/>
      <c r="I35" s="80"/>
      <c r="J35" s="80"/>
      <c r="K35" s="80"/>
      <c r="L35" s="80"/>
      <c r="M35" s="362"/>
      <c r="N35" s="67"/>
      <c r="O35" s="370">
        <v>7.1216011002399682E-3</v>
      </c>
      <c r="P35" s="368"/>
      <c r="Q35" s="370">
        <v>1.2316029365024786E-2</v>
      </c>
    </row>
    <row r="36" spans="1:17">
      <c r="A36" s="71"/>
      <c r="B36" s="67"/>
      <c r="C36" s="67"/>
      <c r="D36" s="67"/>
      <c r="E36" s="71"/>
      <c r="F36" s="71"/>
      <c r="G36" s="71"/>
      <c r="H36" s="71"/>
      <c r="I36" s="71"/>
      <c r="J36" s="71"/>
      <c r="K36" s="71"/>
      <c r="L36" s="71"/>
      <c r="M36" s="362"/>
      <c r="N36" s="71"/>
      <c r="O36" s="372"/>
      <c r="P36" s="372"/>
      <c r="Q36" s="372"/>
    </row>
    <row r="37" spans="1:17" ht="15.6">
      <c r="A37" s="71"/>
      <c r="B37" s="67"/>
      <c r="C37" s="76" t="s">
        <v>1009</v>
      </c>
      <c r="D37" s="67"/>
      <c r="E37" s="1181" t="s">
        <v>1008</v>
      </c>
      <c r="F37" s="1181"/>
      <c r="G37" s="1181"/>
      <c r="H37" s="71"/>
      <c r="I37" s="71"/>
      <c r="J37" s="71"/>
      <c r="K37" s="71"/>
      <c r="L37" s="71"/>
      <c r="M37" s="362"/>
      <c r="N37" s="71"/>
      <c r="O37" s="372"/>
      <c r="P37" s="372"/>
      <c r="Q37" s="372"/>
    </row>
    <row r="38" spans="1:17">
      <c r="A38" s="71">
        <f>A35+1</f>
        <v>19</v>
      </c>
      <c r="B38" s="67"/>
      <c r="C38" s="67" t="s">
        <v>998</v>
      </c>
      <c r="D38" s="67"/>
      <c r="E38" s="81">
        <v>1479.8749950784352</v>
      </c>
      <c r="F38" s="71"/>
      <c r="G38" s="361">
        <v>29.316065671125894</v>
      </c>
      <c r="H38" s="71"/>
      <c r="I38" s="81">
        <v>1524.9154450784354</v>
      </c>
      <c r="J38" s="71"/>
      <c r="K38" s="361">
        <v>30.208309133883425</v>
      </c>
      <c r="L38" s="77"/>
      <c r="M38" s="362">
        <f>I38-E38</f>
        <v>45.040450000000192</v>
      </c>
      <c r="N38" s="77"/>
      <c r="O38" s="325">
        <f>M38/E38</f>
        <v>3.0435307137284925E-2</v>
      </c>
      <c r="P38" s="327"/>
      <c r="Q38" s="325">
        <f>O38</f>
        <v>3.0435307137284925E-2</v>
      </c>
    </row>
    <row r="39" spans="1:17">
      <c r="A39" s="71">
        <f>A38+1</f>
        <v>20</v>
      </c>
      <c r="B39" s="67"/>
      <c r="C39" s="67" t="s">
        <v>999</v>
      </c>
      <c r="D39" s="67"/>
      <c r="E39" s="81">
        <v>625.44720000000007</v>
      </c>
      <c r="F39" s="363"/>
      <c r="G39" s="361">
        <v>12.39</v>
      </c>
      <c r="H39" s="77"/>
      <c r="I39" s="81">
        <v>625.44720000000007</v>
      </c>
      <c r="J39" s="363"/>
      <c r="K39" s="361">
        <v>12.39</v>
      </c>
      <c r="L39" s="77"/>
      <c r="M39" s="362">
        <f>I39-E39</f>
        <v>0</v>
      </c>
      <c r="N39" s="77"/>
      <c r="O39" s="326">
        <f>IFERROR(M39/E39,"100.0%")</f>
        <v>0</v>
      </c>
      <c r="P39" s="327"/>
      <c r="Q39" s="326">
        <v>0</v>
      </c>
    </row>
    <row r="40" spans="1:17">
      <c r="A40" s="71">
        <f>A39+1</f>
        <v>21</v>
      </c>
      <c r="B40" s="67"/>
      <c r="C40" s="67" t="s">
        <v>1000</v>
      </c>
      <c r="D40" s="67"/>
      <c r="E40" s="81">
        <v>239.32951644492343</v>
      </c>
      <c r="F40" s="363"/>
      <c r="G40" s="361">
        <v>4.7410759993051395</v>
      </c>
      <c r="H40" s="77"/>
      <c r="I40" s="81">
        <v>239.43552444492343</v>
      </c>
      <c r="J40" s="363"/>
      <c r="K40" s="361">
        <v>4.7431759993051399</v>
      </c>
      <c r="L40" s="77"/>
      <c r="M40" s="362">
        <f>I40-E40</f>
        <v>0.10600800000000277</v>
      </c>
      <c r="N40" s="77"/>
      <c r="O40" s="326">
        <f>IFERROR(M40/E40,"100.0%")</f>
        <v>4.42937426083833E-4</v>
      </c>
      <c r="P40" s="327"/>
      <c r="Q40" s="325">
        <f>O40</f>
        <v>4.42937426083833E-4</v>
      </c>
    </row>
    <row r="41" spans="1:17">
      <c r="A41" s="71">
        <f>A40+1</f>
        <v>22</v>
      </c>
      <c r="B41" s="67"/>
      <c r="C41" s="67" t="s">
        <v>1001</v>
      </c>
      <c r="D41" s="67"/>
      <c r="E41" s="81">
        <v>594.69431837066884</v>
      </c>
      <c r="F41" s="71"/>
      <c r="G41" s="361">
        <v>11.780790775964121</v>
      </c>
      <c r="H41" s="71"/>
      <c r="I41" s="81">
        <v>594.84575837066882</v>
      </c>
      <c r="J41" s="71"/>
      <c r="K41" s="361">
        <v>11.783790775964121</v>
      </c>
      <c r="L41" s="77"/>
      <c r="M41" s="362">
        <f>I41-E41</f>
        <v>0.15143999999997959</v>
      </c>
      <c r="N41" s="67"/>
      <c r="O41" s="325">
        <f>M41/E41</f>
        <v>2.5465183594639305E-4</v>
      </c>
      <c r="P41" s="327"/>
      <c r="Q41" s="325">
        <f>O41</f>
        <v>2.5465183594639305E-4</v>
      </c>
    </row>
    <row r="42" spans="1:17">
      <c r="A42" s="71">
        <f>A41+1</f>
        <v>23</v>
      </c>
      <c r="B42" s="67"/>
      <c r="C42" s="67" t="s">
        <v>1002</v>
      </c>
      <c r="D42" s="67"/>
      <c r="E42" s="364">
        <f>SUM(E38:E41)</f>
        <v>2939.3460298940277</v>
      </c>
      <c r="F42" s="71"/>
      <c r="G42" s="365">
        <v>58.227932446395158</v>
      </c>
      <c r="H42" s="71"/>
      <c r="I42" s="364">
        <f>SUM(I38:I41)</f>
        <v>2984.6439278940279</v>
      </c>
      <c r="J42" s="71"/>
      <c r="K42" s="365">
        <v>59.125275909152698</v>
      </c>
      <c r="L42" s="77"/>
      <c r="M42" s="366">
        <f>SUM(M38:M41)</f>
        <v>45.297898000000174</v>
      </c>
      <c r="N42" s="67"/>
      <c r="O42" s="367">
        <f>M42/E42</f>
        <v>1.5410876276323718E-2</v>
      </c>
      <c r="P42" s="368"/>
      <c r="Q42" s="367">
        <f>(M38+M41+M40)/(E38+E41+E40)</f>
        <v>1.9576438440082857E-2</v>
      </c>
    </row>
    <row r="43" spans="1:17">
      <c r="A43" s="71"/>
      <c r="B43" s="67"/>
      <c r="C43" s="67"/>
      <c r="D43" s="67"/>
      <c r="E43" s="81"/>
      <c r="F43" s="71"/>
      <c r="G43" s="77"/>
      <c r="H43" s="71"/>
      <c r="I43" s="81"/>
      <c r="J43" s="71"/>
      <c r="K43" s="77"/>
      <c r="L43" s="77"/>
      <c r="M43" s="362"/>
      <c r="N43" s="67"/>
      <c r="O43" s="368"/>
      <c r="P43" s="368"/>
      <c r="Q43" s="368"/>
    </row>
    <row r="44" spans="1:17">
      <c r="A44" s="71">
        <f>A42+1</f>
        <v>24</v>
      </c>
      <c r="B44" s="67"/>
      <c r="C44" s="67" t="s">
        <v>1003</v>
      </c>
      <c r="D44" s="67"/>
      <c r="E44" s="364">
        <v>2939.4974698940277</v>
      </c>
      <c r="F44" s="71"/>
      <c r="G44" s="369">
        <v>58.230932446395158</v>
      </c>
      <c r="H44" s="71"/>
      <c r="I44" s="364">
        <v>2984.6439278940279</v>
      </c>
      <c r="J44" s="71"/>
      <c r="K44" s="369">
        <v>59.125275909152698</v>
      </c>
      <c r="L44" s="77"/>
      <c r="M44" s="366">
        <v>45.146458000000194</v>
      </c>
      <c r="N44" s="67"/>
      <c r="O44" s="370">
        <v>1.535856331307806E-2</v>
      </c>
      <c r="P44" s="368"/>
      <c r="Q44" s="370">
        <v>1.9509713590650603E-2</v>
      </c>
    </row>
    <row r="45" spans="1:17">
      <c r="A45" s="71">
        <f>A44+1</f>
        <v>25</v>
      </c>
      <c r="B45" s="67"/>
      <c r="C45" s="67" t="s">
        <v>1004</v>
      </c>
      <c r="D45" s="67"/>
      <c r="E45" s="80"/>
      <c r="F45" s="80"/>
      <c r="G45" s="80"/>
      <c r="H45" s="80"/>
      <c r="I45" s="80"/>
      <c r="J45" s="80"/>
      <c r="K45" s="80"/>
      <c r="L45" s="80"/>
      <c r="M45" s="362"/>
      <c r="N45" s="67"/>
      <c r="O45" s="370">
        <v>1.9255080734642587E-2</v>
      </c>
      <c r="P45" s="368"/>
      <c r="Q45" s="370">
        <v>2.6260085811429534E-2</v>
      </c>
    </row>
    <row r="46" spans="1:17">
      <c r="A46" s="71">
        <f>A45+1</f>
        <v>26</v>
      </c>
      <c r="B46" s="67"/>
      <c r="C46" s="67" t="s">
        <v>1005</v>
      </c>
      <c r="D46" s="67"/>
      <c r="E46" s="364">
        <v>2746.8087731238647</v>
      </c>
      <c r="F46" s="71"/>
      <c r="G46" s="369">
        <v>54.413802954117763</v>
      </c>
      <c r="H46" s="71"/>
      <c r="I46" s="364">
        <v>2792.677095123865</v>
      </c>
      <c r="J46" s="71"/>
      <c r="K46" s="369">
        <v>55.322446416875295</v>
      </c>
      <c r="L46" s="77"/>
      <c r="M46" s="366">
        <v>45.868322000000184</v>
      </c>
      <c r="N46" s="67"/>
      <c r="O46" s="370">
        <v>1.6698767838809359E-2</v>
      </c>
      <c r="P46" s="368"/>
      <c r="Q46" s="370">
        <v>2.1622114108749327E-2</v>
      </c>
    </row>
    <row r="47" spans="1:17">
      <c r="A47" s="71">
        <f>A46+1</f>
        <v>27</v>
      </c>
      <c r="B47" s="67"/>
      <c r="C47" s="67" t="s">
        <v>1006</v>
      </c>
      <c r="D47" s="67"/>
      <c r="E47" s="80"/>
      <c r="F47" s="80"/>
      <c r="G47" s="80"/>
      <c r="H47" s="80"/>
      <c r="I47" s="80"/>
      <c r="J47" s="80"/>
      <c r="K47" s="80"/>
      <c r="L47" s="80"/>
      <c r="M47" s="362"/>
      <c r="N47" s="67"/>
      <c r="O47" s="370">
        <v>2.1314642345403284E-2</v>
      </c>
      <c r="P47" s="368"/>
      <c r="Q47" s="370">
        <v>3.0047721456076815E-2</v>
      </c>
    </row>
    <row r="48" spans="1:17">
      <c r="A48" s="71"/>
      <c r="B48" s="67"/>
      <c r="C48" s="67"/>
      <c r="D48" s="67"/>
      <c r="E48" s="71"/>
      <c r="F48" s="71"/>
      <c r="G48" s="71"/>
      <c r="H48" s="71"/>
      <c r="I48" s="71"/>
      <c r="J48" s="71"/>
      <c r="K48" s="71"/>
      <c r="L48" s="71"/>
      <c r="M48" s="362"/>
      <c r="N48" s="71"/>
      <c r="O48" s="372"/>
      <c r="P48" s="372"/>
      <c r="Q48" s="368"/>
    </row>
    <row r="49" spans="1:17" ht="15.6">
      <c r="A49" s="71"/>
      <c r="B49" s="67"/>
      <c r="C49" s="76" t="s">
        <v>1010</v>
      </c>
      <c r="D49" s="67"/>
      <c r="E49" s="1181" t="s">
        <v>1011</v>
      </c>
      <c r="F49" s="1181"/>
      <c r="G49" s="1181"/>
      <c r="H49" s="71"/>
      <c r="I49" s="71"/>
      <c r="J49" s="71"/>
      <c r="K49" s="71"/>
      <c r="L49" s="71"/>
      <c r="M49" s="362"/>
      <c r="N49" s="71"/>
      <c r="O49" s="372"/>
      <c r="P49" s="372"/>
      <c r="Q49" s="372"/>
    </row>
    <row r="50" spans="1:17">
      <c r="A50" s="71">
        <f>A47+1</f>
        <v>28</v>
      </c>
      <c r="B50" s="67"/>
      <c r="C50" s="67" t="s">
        <v>998</v>
      </c>
      <c r="D50" s="67"/>
      <c r="E50" s="81">
        <v>2944.8261890702283</v>
      </c>
      <c r="F50" s="71"/>
      <c r="G50" s="361">
        <v>13.026745948289076</v>
      </c>
      <c r="H50" s="71"/>
      <c r="I50" s="81">
        <v>3045.9232970702283</v>
      </c>
      <c r="J50" s="71"/>
      <c r="K50" s="361">
        <v>13.473959555296064</v>
      </c>
      <c r="L50" s="77"/>
      <c r="M50" s="362">
        <f>I50-E50</f>
        <v>101.09710799999993</v>
      </c>
      <c r="N50" s="77"/>
      <c r="O50" s="325">
        <f>M50/E50</f>
        <v>3.4330415959768198E-2</v>
      </c>
      <c r="P50" s="327"/>
      <c r="Q50" s="325">
        <f>O50</f>
        <v>3.4330415959768198E-2</v>
      </c>
    </row>
    <row r="51" spans="1:17">
      <c r="A51" s="71">
        <f>A50+1</f>
        <v>29</v>
      </c>
      <c r="B51" s="67"/>
      <c r="C51" s="67" t="s">
        <v>999</v>
      </c>
      <c r="D51" s="67"/>
      <c r="E51" s="81">
        <v>2800.8834000000002</v>
      </c>
      <c r="F51" s="363"/>
      <c r="G51" s="361">
        <v>12.39</v>
      </c>
      <c r="H51" s="77"/>
      <c r="I51" s="81">
        <v>2800.8834000000002</v>
      </c>
      <c r="J51" s="363"/>
      <c r="K51" s="361">
        <v>12.39</v>
      </c>
      <c r="L51" s="77"/>
      <c r="M51" s="362">
        <f>I51-E51</f>
        <v>0</v>
      </c>
      <c r="N51" s="77"/>
      <c r="O51" s="326">
        <f>IFERROR(M51/E51,"100.0%")</f>
        <v>0</v>
      </c>
      <c r="P51" s="327"/>
      <c r="Q51" s="326">
        <v>0</v>
      </c>
    </row>
    <row r="52" spans="1:17">
      <c r="A52" s="71">
        <f>A51+1</f>
        <v>30</v>
      </c>
      <c r="B52" s="67"/>
      <c r="C52" s="67" t="s">
        <v>1000</v>
      </c>
      <c r="D52" s="67"/>
      <c r="E52" s="81">
        <v>1071.7676404029198</v>
      </c>
      <c r="F52" s="363"/>
      <c r="G52" s="361">
        <v>4.7410759993051395</v>
      </c>
      <c r="H52" s="77"/>
      <c r="I52" s="81">
        <v>1072.2423664029197</v>
      </c>
      <c r="J52" s="363"/>
      <c r="K52" s="361">
        <v>4.743175999305139</v>
      </c>
      <c r="L52" s="77"/>
      <c r="M52" s="362">
        <f>I52-E52</f>
        <v>0.47472599999991871</v>
      </c>
      <c r="N52" s="77"/>
      <c r="O52" s="326">
        <f>IFERROR(M52/E52,"100.0%")</f>
        <v>4.4293742608374556E-4</v>
      </c>
      <c r="P52" s="327"/>
      <c r="Q52" s="325">
        <f>O52</f>
        <v>4.4293742608374556E-4</v>
      </c>
    </row>
    <row r="53" spans="1:17">
      <c r="A53" s="71">
        <f>A52+1</f>
        <v>31</v>
      </c>
      <c r="B53" s="67"/>
      <c r="C53" s="67" t="s">
        <v>1001</v>
      </c>
      <c r="D53" s="67"/>
      <c r="E53" s="81">
        <v>2663.165562814449</v>
      </c>
      <c r="F53" s="71"/>
      <c r="G53" s="361">
        <v>11.780790775964119</v>
      </c>
      <c r="H53" s="71"/>
      <c r="I53" s="81">
        <v>2663.8437428144493</v>
      </c>
      <c r="J53" s="71"/>
      <c r="K53" s="361">
        <v>11.783790775964121</v>
      </c>
      <c r="L53" s="77"/>
      <c r="M53" s="362">
        <f>I53-E53</f>
        <v>0.67818000000033862</v>
      </c>
      <c r="N53" s="67"/>
      <c r="O53" s="325">
        <f>M53/E53</f>
        <v>2.5465183594655454E-4</v>
      </c>
      <c r="P53" s="327"/>
      <c r="Q53" s="325">
        <f>O53</f>
        <v>2.5465183594655454E-4</v>
      </c>
    </row>
    <row r="54" spans="1:17">
      <c r="A54" s="71">
        <f>A53+1</f>
        <v>32</v>
      </c>
      <c r="B54" s="67"/>
      <c r="C54" s="67" t="s">
        <v>1002</v>
      </c>
      <c r="D54" s="67"/>
      <c r="E54" s="364">
        <f>SUM(E50:E53)</f>
        <v>9480.6427922875973</v>
      </c>
      <c r="F54" s="71"/>
      <c r="G54" s="365">
        <v>41.938612723558336</v>
      </c>
      <c r="H54" s="71"/>
      <c r="I54" s="364">
        <f>SUM(I50:I53)</f>
        <v>9582.8928062875984</v>
      </c>
      <c r="J54" s="71"/>
      <c r="K54" s="365">
        <v>42.390926330565328</v>
      </c>
      <c r="L54" s="77"/>
      <c r="M54" s="366">
        <f>SUM(M50:M53)</f>
        <v>102.25001400000019</v>
      </c>
      <c r="N54" s="67"/>
      <c r="O54" s="367">
        <f>M54/E54</f>
        <v>1.078513516859632E-2</v>
      </c>
      <c r="P54" s="368"/>
      <c r="Q54" s="367">
        <f>(M50+M53+M52)/(E50+E53+E52)</f>
        <v>1.5307439683839111E-2</v>
      </c>
    </row>
    <row r="55" spans="1:17">
      <c r="A55" s="71"/>
      <c r="B55" s="67"/>
      <c r="C55" s="67"/>
      <c r="D55" s="67"/>
      <c r="E55" s="81"/>
      <c r="F55" s="71"/>
      <c r="G55" s="77"/>
      <c r="H55" s="71"/>
      <c r="I55" s="81"/>
      <c r="J55" s="71"/>
      <c r="K55" s="77"/>
      <c r="L55" s="77"/>
      <c r="M55" s="362"/>
      <c r="N55" s="67"/>
      <c r="O55" s="368"/>
      <c r="P55" s="368"/>
      <c r="Q55" s="368"/>
    </row>
    <row r="56" spans="1:17">
      <c r="A56" s="71">
        <f>A54+1</f>
        <v>33</v>
      </c>
      <c r="B56" s="67"/>
      <c r="C56" s="67" t="s">
        <v>1003</v>
      </c>
      <c r="D56" s="67"/>
      <c r="E56" s="364">
        <v>9481.3209722875981</v>
      </c>
      <c r="F56" s="71"/>
      <c r="G56" s="369">
        <v>41.941612723558343</v>
      </c>
      <c r="H56" s="71"/>
      <c r="I56" s="364">
        <v>9582.8928062875984</v>
      </c>
      <c r="J56" s="71"/>
      <c r="K56" s="369">
        <v>42.390926330565328</v>
      </c>
      <c r="L56" s="77"/>
      <c r="M56" s="366">
        <v>101.57183399999985</v>
      </c>
      <c r="N56" s="67"/>
      <c r="O56" s="370">
        <v>1.0712835721612871E-2</v>
      </c>
      <c r="P56" s="368"/>
      <c r="Q56" s="370">
        <v>1.5204368411636601E-2</v>
      </c>
    </row>
    <row r="57" spans="1:17">
      <c r="A57" s="71">
        <f>A56+1</f>
        <v>34</v>
      </c>
      <c r="B57" s="67"/>
      <c r="C57" s="67" t="s">
        <v>1004</v>
      </c>
      <c r="D57" s="67"/>
      <c r="E57" s="80"/>
      <c r="F57" s="80"/>
      <c r="G57" s="80"/>
      <c r="H57" s="80"/>
      <c r="I57" s="80"/>
      <c r="J57" s="80"/>
      <c r="K57" s="80"/>
      <c r="L57" s="80"/>
      <c r="M57" s="362"/>
      <c r="N57" s="67"/>
      <c r="O57" s="370">
        <v>1.4898741951184966E-2</v>
      </c>
      <c r="P57" s="368"/>
      <c r="Q57" s="370">
        <v>2.5288052093961143E-2</v>
      </c>
    </row>
    <row r="58" spans="1:17">
      <c r="A58" s="71">
        <f>A57+1</f>
        <v>35</v>
      </c>
      <c r="B58" s="67"/>
      <c r="C58" s="67" t="s">
        <v>1005</v>
      </c>
      <c r="D58" s="67"/>
      <c r="E58" s="364">
        <v>8618.4206792633704</v>
      </c>
      <c r="F58" s="71"/>
      <c r="G58" s="369">
        <v>38.124483231280941</v>
      </c>
      <c r="H58" s="71"/>
      <c r="I58" s="364">
        <v>8723.2251712633715</v>
      </c>
      <c r="J58" s="71"/>
      <c r="K58" s="369">
        <v>38.588096838287939</v>
      </c>
      <c r="L58" s="77"/>
      <c r="M58" s="366">
        <v>104.80449199999995</v>
      </c>
      <c r="N58" s="67"/>
      <c r="O58" s="370">
        <v>1.2160521735979793E-2</v>
      </c>
      <c r="P58" s="368"/>
      <c r="Q58" s="370">
        <v>1.801526779614733E-2</v>
      </c>
    </row>
    <row r="59" spans="1:17">
      <c r="A59" s="71">
        <f>A58+1</f>
        <v>36</v>
      </c>
      <c r="B59" s="67"/>
      <c r="C59" s="67" t="s">
        <v>1006</v>
      </c>
      <c r="D59" s="67"/>
      <c r="E59" s="80"/>
      <c r="F59" s="80"/>
      <c r="G59" s="80"/>
      <c r="H59" s="80"/>
      <c r="I59" s="80"/>
      <c r="J59" s="80"/>
      <c r="K59" s="80"/>
      <c r="L59" s="80"/>
      <c r="M59" s="362"/>
      <c r="N59" s="67"/>
      <c r="O59" s="370">
        <v>1.7600661326327791E-2</v>
      </c>
      <c r="P59" s="368"/>
      <c r="Q59" s="370">
        <v>3.3232300725710484E-2</v>
      </c>
    </row>
    <row r="60" spans="1:17">
      <c r="A60" s="71"/>
      <c r="B60" s="67"/>
      <c r="C60" s="67"/>
      <c r="D60" s="67"/>
      <c r="E60" s="71"/>
      <c r="F60" s="71"/>
      <c r="G60" s="71"/>
      <c r="H60" s="71"/>
      <c r="I60" s="71"/>
      <c r="J60" s="71"/>
      <c r="K60" s="71"/>
      <c r="L60" s="71"/>
      <c r="M60" s="362"/>
      <c r="N60" s="71"/>
      <c r="O60" s="372"/>
      <c r="P60" s="372"/>
      <c r="Q60" s="368"/>
    </row>
    <row r="61" spans="1:17" ht="15.6">
      <c r="A61" s="71"/>
      <c r="B61" s="67"/>
      <c r="C61" s="76" t="s">
        <v>1012</v>
      </c>
      <c r="D61" s="67"/>
      <c r="E61" s="67" t="s">
        <v>1013</v>
      </c>
      <c r="F61" s="67"/>
      <c r="G61" s="67"/>
      <c r="H61" s="67"/>
      <c r="I61" s="67"/>
      <c r="J61" s="67"/>
      <c r="K61" s="67"/>
      <c r="L61" s="67"/>
      <c r="M61" s="362"/>
      <c r="N61" s="67"/>
      <c r="O61" s="368"/>
      <c r="P61" s="368"/>
      <c r="Q61" s="368"/>
    </row>
    <row r="62" spans="1:17">
      <c r="A62" s="71">
        <f>A59+1</f>
        <v>37</v>
      </c>
      <c r="B62" s="67"/>
      <c r="C62" s="67" t="s">
        <v>998</v>
      </c>
      <c r="D62" s="67"/>
      <c r="E62" s="81">
        <v>22801.187635432081</v>
      </c>
      <c r="F62" s="71"/>
      <c r="G62" s="361">
        <v>6.723554698408865</v>
      </c>
      <c r="H62" s="71"/>
      <c r="I62" s="81">
        <v>23732.379247432084</v>
      </c>
      <c r="J62" s="71"/>
      <c r="K62" s="361">
        <v>6.9981420505278553</v>
      </c>
      <c r="L62" s="77"/>
      <c r="M62" s="362">
        <f>I62-E62</f>
        <v>931.19161200000235</v>
      </c>
      <c r="N62" s="77"/>
      <c r="O62" s="325">
        <f>M62/E62</f>
        <v>4.0839610062809624E-2</v>
      </c>
      <c r="P62" s="327"/>
      <c r="Q62" s="325">
        <f>O62</f>
        <v>4.0839610062809624E-2</v>
      </c>
    </row>
    <row r="63" spans="1:17">
      <c r="A63" s="71">
        <f>A62+1</f>
        <v>38</v>
      </c>
      <c r="B63" s="67"/>
      <c r="C63" s="67" t="s">
        <v>999</v>
      </c>
      <c r="D63" s="67"/>
      <c r="E63" s="81">
        <v>42017.463600000003</v>
      </c>
      <c r="F63" s="363"/>
      <c r="G63" s="361">
        <v>12.39</v>
      </c>
      <c r="H63" s="77"/>
      <c r="I63" s="81">
        <v>42017.463600000003</v>
      </c>
      <c r="J63" s="363"/>
      <c r="K63" s="361">
        <v>12.39</v>
      </c>
      <c r="L63" s="77"/>
      <c r="M63" s="362">
        <f>I63-E63</f>
        <v>0</v>
      </c>
      <c r="N63" s="77"/>
      <c r="O63" s="326">
        <f>IFERROR(M63/E63,"100.0%")</f>
        <v>0</v>
      </c>
      <c r="P63" s="327"/>
      <c r="Q63" s="326">
        <v>0</v>
      </c>
    </row>
    <row r="64" spans="1:17">
      <c r="A64" s="71">
        <f>A63+1</f>
        <v>39</v>
      </c>
      <c r="B64" s="67"/>
      <c r="C64" s="67" t="s">
        <v>1000</v>
      </c>
      <c r="D64" s="67"/>
      <c r="E64" s="81">
        <v>16078.126571883562</v>
      </c>
      <c r="F64" s="363"/>
      <c r="G64" s="361">
        <v>4.7410759993051395</v>
      </c>
      <c r="H64" s="77"/>
      <c r="I64" s="81">
        <v>16085.248175883558</v>
      </c>
      <c r="J64" s="363"/>
      <c r="K64" s="361">
        <v>4.743175999305139</v>
      </c>
      <c r="L64" s="77"/>
      <c r="M64" s="362">
        <f>I64-E64</f>
        <v>7.1216039999962959</v>
      </c>
      <c r="N64" s="77"/>
      <c r="O64" s="326">
        <f>IFERROR(M64/E64,"100.0%")</f>
        <v>4.4293742608359101E-4</v>
      </c>
      <c r="P64" s="327"/>
      <c r="Q64" s="325">
        <f>O64</f>
        <v>4.4293742608359101E-4</v>
      </c>
    </row>
    <row r="65" spans="1:17">
      <c r="A65" s="71">
        <f>A64+1</f>
        <v>40</v>
      </c>
      <c r="B65" s="67"/>
      <c r="C65" s="67" t="s">
        <v>1001</v>
      </c>
      <c r="D65" s="67"/>
      <c r="E65" s="81">
        <v>39951.488911080567</v>
      </c>
      <c r="F65" s="71"/>
      <c r="G65" s="361">
        <v>11.780790775964121</v>
      </c>
      <c r="H65" s="71"/>
      <c r="I65" s="81">
        <v>39961.662631080566</v>
      </c>
      <c r="J65" s="71"/>
      <c r="K65" s="361">
        <v>11.783790775964121</v>
      </c>
      <c r="L65" s="77"/>
      <c r="M65" s="362">
        <f>I65-E65</f>
        <v>10.173719999998866</v>
      </c>
      <c r="N65" s="67"/>
      <c r="O65" s="325">
        <f>M65/E65</f>
        <v>2.5465183594639896E-4</v>
      </c>
      <c r="P65" s="327"/>
      <c r="Q65" s="325">
        <f>O65</f>
        <v>2.5465183594639896E-4</v>
      </c>
    </row>
    <row r="66" spans="1:17">
      <c r="A66" s="71">
        <f>A65+1</f>
        <v>41</v>
      </c>
      <c r="B66" s="67"/>
      <c r="C66" s="67" t="s">
        <v>1002</v>
      </c>
      <c r="D66" s="67"/>
      <c r="E66" s="364">
        <f>SUM(E62:E65)</f>
        <v>120848.26671839622</v>
      </c>
      <c r="F66" s="71"/>
      <c r="G66" s="365">
        <v>35.635421473678129</v>
      </c>
      <c r="H66" s="71"/>
      <c r="I66" s="364">
        <f>SUM(I62:I65)</f>
        <v>121796.75365439622</v>
      </c>
      <c r="J66" s="71"/>
      <c r="K66" s="365">
        <v>35.91510882579712</v>
      </c>
      <c r="L66" s="77"/>
      <c r="M66" s="366">
        <f>SUM(M62:M65)</f>
        <v>948.48693599999751</v>
      </c>
      <c r="N66" s="67"/>
      <c r="O66" s="367">
        <f>M66/E66</f>
        <v>7.8485770773211536E-3</v>
      </c>
      <c r="P66" s="368"/>
      <c r="Q66" s="367">
        <f>(M62+M65+M64)/(E62+E65+E64)</f>
        <v>1.203193293077913E-2</v>
      </c>
    </row>
    <row r="67" spans="1:17">
      <c r="A67" s="71"/>
      <c r="B67" s="67"/>
      <c r="C67" s="67"/>
      <c r="D67" s="67"/>
      <c r="E67" s="81"/>
      <c r="F67" s="71"/>
      <c r="G67" s="77"/>
      <c r="H67" s="71"/>
      <c r="I67" s="81"/>
      <c r="J67" s="71"/>
      <c r="K67" s="77"/>
      <c r="L67" s="77"/>
      <c r="M67" s="362"/>
      <c r="N67" s="67"/>
      <c r="O67" s="368"/>
      <c r="P67" s="368"/>
      <c r="Q67" s="368"/>
    </row>
    <row r="68" spans="1:17">
      <c r="A68" s="71">
        <f>A66+1</f>
        <v>42</v>
      </c>
      <c r="B68" s="67"/>
      <c r="C68" s="67" t="s">
        <v>1003</v>
      </c>
      <c r="D68" s="67"/>
      <c r="E68" s="364">
        <v>120858.44043839621</v>
      </c>
      <c r="F68" s="71"/>
      <c r="G68" s="369">
        <v>35.638421473678129</v>
      </c>
      <c r="H68" s="71"/>
      <c r="I68" s="364">
        <v>121796.75365439622</v>
      </c>
      <c r="J68" s="71"/>
      <c r="K68" s="369">
        <v>35.91510882579712</v>
      </c>
      <c r="L68" s="77"/>
      <c r="M68" s="366">
        <v>938.31321599999865</v>
      </c>
      <c r="N68" s="67"/>
      <c r="O68" s="370">
        <v>7.7637375808955128E-3</v>
      </c>
      <c r="P68" s="368"/>
      <c r="Q68" s="370">
        <v>1.190133929876719E-2</v>
      </c>
    </row>
    <row r="69" spans="1:17">
      <c r="A69" s="71">
        <f>A68+1</f>
        <v>43</v>
      </c>
      <c r="B69" s="67"/>
      <c r="C69" s="67" t="s">
        <v>1004</v>
      </c>
      <c r="D69" s="67"/>
      <c r="E69" s="80"/>
      <c r="F69" s="80"/>
      <c r="G69" s="80"/>
      <c r="H69" s="80"/>
      <c r="I69" s="80"/>
      <c r="J69" s="80"/>
      <c r="K69" s="80"/>
      <c r="L69" s="80"/>
      <c r="M69" s="362"/>
      <c r="N69" s="67"/>
      <c r="O69" s="370">
        <v>1.159889480684786E-2</v>
      </c>
      <c r="P69" s="368"/>
      <c r="Q69" s="370">
        <v>2.4133996062704291E-2</v>
      </c>
    </row>
    <row r="70" spans="1:17">
      <c r="A70" s="71">
        <f>A69+1</f>
        <v>44</v>
      </c>
      <c r="B70" s="67"/>
      <c r="C70" s="67" t="s">
        <v>1005</v>
      </c>
      <c r="D70" s="67"/>
      <c r="E70" s="364">
        <v>107913.63821900543</v>
      </c>
      <c r="F70" s="71"/>
      <c r="G70" s="369">
        <v>31.821291981400734</v>
      </c>
      <c r="H70" s="71"/>
      <c r="I70" s="364">
        <v>108900.44616700543</v>
      </c>
      <c r="J70" s="71"/>
      <c r="K70" s="369">
        <v>32.112279333519723</v>
      </c>
      <c r="L70" s="77"/>
      <c r="M70" s="366">
        <v>986.8079480000024</v>
      </c>
      <c r="N70" s="67"/>
      <c r="O70" s="370">
        <v>9.144422931949751E-3</v>
      </c>
      <c r="P70" s="368"/>
      <c r="Q70" s="370">
        <v>1.4975193229432054E-2</v>
      </c>
    </row>
    <row r="71" spans="1:17">
      <c r="A71" s="71">
        <f>A70+1</f>
        <v>45</v>
      </c>
      <c r="B71" s="67"/>
      <c r="C71" s="67" t="s">
        <v>1006</v>
      </c>
      <c r="D71" s="67"/>
      <c r="E71" s="80"/>
      <c r="F71" s="80"/>
      <c r="G71" s="80"/>
      <c r="H71" s="80"/>
      <c r="I71" s="80"/>
      <c r="J71" s="80"/>
      <c r="K71" s="80"/>
      <c r="L71" s="80"/>
      <c r="M71" s="362"/>
      <c r="N71" s="67"/>
      <c r="O71" s="370">
        <v>1.4522137722444071E-2</v>
      </c>
      <c r="P71" s="368"/>
      <c r="Q71" s="370">
        <v>3.8049991010413509E-2</v>
      </c>
    </row>
    <row r="72" spans="1:17">
      <c r="A72" s="71"/>
      <c r="B72" s="67"/>
      <c r="C72" s="67"/>
      <c r="D72" s="67"/>
      <c r="E72" s="71"/>
      <c r="F72" s="71"/>
      <c r="G72" s="71"/>
      <c r="H72" s="71"/>
      <c r="I72" s="71"/>
      <c r="J72" s="71"/>
      <c r="K72" s="71"/>
      <c r="L72" s="71"/>
      <c r="M72" s="362"/>
      <c r="N72" s="71"/>
      <c r="O72" s="372"/>
      <c r="P72" s="372"/>
      <c r="Q72" s="372"/>
    </row>
    <row r="73" spans="1:17" ht="15.6">
      <c r="A73" s="71"/>
      <c r="B73" s="67"/>
      <c r="C73" s="76" t="s">
        <v>1014</v>
      </c>
      <c r="D73" s="67"/>
      <c r="E73" s="67" t="s">
        <v>1015</v>
      </c>
      <c r="F73" s="67"/>
      <c r="G73" s="67"/>
      <c r="H73" s="71"/>
      <c r="I73" s="71"/>
      <c r="J73" s="71"/>
      <c r="K73" s="71"/>
      <c r="L73" s="71"/>
      <c r="M73" s="362"/>
      <c r="N73" s="71"/>
      <c r="O73" s="372"/>
      <c r="P73" s="372"/>
      <c r="Q73" s="372"/>
    </row>
    <row r="74" spans="1:17">
      <c r="A74" s="71">
        <f>A71+1</f>
        <v>46</v>
      </c>
      <c r="B74" s="67"/>
      <c r="C74" s="67" t="s">
        <v>998</v>
      </c>
      <c r="D74" s="67"/>
      <c r="E74" s="81">
        <v>21603.948160836324</v>
      </c>
      <c r="F74" s="71"/>
      <c r="G74" s="361">
        <v>6.3693138203109552</v>
      </c>
      <c r="H74" s="71"/>
      <c r="I74" s="81">
        <v>25495.917272836323</v>
      </c>
      <c r="J74" s="71"/>
      <c r="K74" s="361">
        <v>7.5167509678515518</v>
      </c>
      <c r="L74" s="77"/>
      <c r="M74" s="362">
        <f>I74-E74</f>
        <v>3891.9691119999989</v>
      </c>
      <c r="N74" s="77"/>
      <c r="O74" s="325">
        <f>M74/E74</f>
        <v>0.18015082627606779</v>
      </c>
      <c r="P74" s="327"/>
      <c r="Q74" s="325">
        <f>O74</f>
        <v>0.18015082627606779</v>
      </c>
    </row>
    <row r="75" spans="1:17">
      <c r="A75" s="71">
        <f>A74+1</f>
        <v>47</v>
      </c>
      <c r="B75" s="67"/>
      <c r="C75" s="67" t="s">
        <v>999</v>
      </c>
      <c r="D75" s="67"/>
      <c r="E75" s="81">
        <v>42025.393200000006</v>
      </c>
      <c r="F75" s="363"/>
      <c r="G75" s="361">
        <v>12.39</v>
      </c>
      <c r="H75" s="77"/>
      <c r="I75" s="81">
        <v>42025.393200000006</v>
      </c>
      <c r="J75" s="363"/>
      <c r="K75" s="361">
        <v>12.39</v>
      </c>
      <c r="L75" s="77"/>
      <c r="M75" s="362">
        <f>I75-E75</f>
        <v>0</v>
      </c>
      <c r="N75" s="77"/>
      <c r="O75" s="326">
        <f>IFERROR(M75/E75,"100.0%")</f>
        <v>0</v>
      </c>
      <c r="P75" s="327"/>
      <c r="Q75" s="326">
        <v>0</v>
      </c>
    </row>
    <row r="76" spans="1:17">
      <c r="A76" s="71">
        <f>A75+1</f>
        <v>48</v>
      </c>
      <c r="B76" s="67"/>
      <c r="C76" s="67" t="s">
        <v>1000</v>
      </c>
      <c r="D76" s="67"/>
      <c r="E76" s="81">
        <v>16081.160860523116</v>
      </c>
      <c r="F76" s="363"/>
      <c r="G76" s="361">
        <v>4.7410759993051395</v>
      </c>
      <c r="H76" s="77"/>
      <c r="I76" s="81">
        <v>16088.283808523114</v>
      </c>
      <c r="J76" s="363"/>
      <c r="K76" s="361">
        <v>4.743175999305139</v>
      </c>
      <c r="L76" s="77"/>
      <c r="M76" s="362">
        <f>I76-E76</f>
        <v>7.1229479999983596</v>
      </c>
      <c r="N76" s="77"/>
      <c r="O76" s="326">
        <f>IFERROR(M76/E76,"100.0%")</f>
        <v>4.4293742608371943E-4</v>
      </c>
      <c r="P76" s="327"/>
      <c r="Q76" s="325">
        <f>O76</f>
        <v>4.4293742608371943E-4</v>
      </c>
    </row>
    <row r="77" spans="1:17">
      <c r="A77" s="71">
        <f>A76+1</f>
        <v>49</v>
      </c>
      <c r="B77" s="67"/>
      <c r="C77" s="67" t="s">
        <v>1001</v>
      </c>
      <c r="D77" s="67"/>
      <c r="E77" s="81">
        <v>39959.02861717718</v>
      </c>
      <c r="F77" s="71"/>
      <c r="G77" s="361">
        <v>11.780790775964119</v>
      </c>
      <c r="H77" s="71"/>
      <c r="I77" s="81">
        <v>39969.204257177182</v>
      </c>
      <c r="J77" s="71"/>
      <c r="K77" s="361">
        <v>11.783790775964121</v>
      </c>
      <c r="L77" s="77"/>
      <c r="M77" s="362">
        <f>I77-E77</f>
        <v>10.175640000001295</v>
      </c>
      <c r="N77" s="67"/>
      <c r="O77" s="325">
        <f>M77/E77</f>
        <v>2.5465183594645978E-4</v>
      </c>
      <c r="P77" s="327"/>
      <c r="Q77" s="325">
        <f>O77</f>
        <v>2.5465183594645978E-4</v>
      </c>
    </row>
    <row r="78" spans="1:17">
      <c r="A78" s="71">
        <f>A77+1</f>
        <v>50</v>
      </c>
      <c r="B78" s="67"/>
      <c r="C78" s="67" t="s">
        <v>1002</v>
      </c>
      <c r="D78" s="67"/>
      <c r="E78" s="364">
        <f>SUM(E74:E77)</f>
        <v>119669.53083853662</v>
      </c>
      <c r="F78" s="71"/>
      <c r="G78" s="365">
        <v>35.281180595580217</v>
      </c>
      <c r="H78" s="71"/>
      <c r="I78" s="364">
        <f>SUM(I74:I77)</f>
        <v>123578.79853853662</v>
      </c>
      <c r="J78" s="71"/>
      <c r="K78" s="365">
        <v>36.433717743120816</v>
      </c>
      <c r="L78" s="77"/>
      <c r="M78" s="366">
        <f>SUM(M74:M77)</f>
        <v>3909.2676999999985</v>
      </c>
      <c r="N78" s="67"/>
      <c r="O78" s="367">
        <f>M78/E78</f>
        <v>3.2667193333234958E-2</v>
      </c>
      <c r="P78" s="368"/>
      <c r="Q78" s="367">
        <f>(M74+M77+M76)/(E74+E77+E76)</f>
        <v>5.0348523647711127E-2</v>
      </c>
    </row>
    <row r="79" spans="1:17">
      <c r="A79" s="71"/>
      <c r="B79" s="67"/>
      <c r="C79" s="67"/>
      <c r="D79" s="67"/>
      <c r="E79" s="81"/>
      <c r="F79" s="71"/>
      <c r="G79" s="77"/>
      <c r="H79" s="71"/>
      <c r="I79" s="81"/>
      <c r="J79" s="71"/>
      <c r="K79" s="77"/>
      <c r="L79" s="77"/>
      <c r="M79" s="362"/>
      <c r="N79" s="67"/>
      <c r="O79" s="368"/>
      <c r="P79" s="368"/>
      <c r="Q79" s="368"/>
    </row>
    <row r="80" spans="1:17">
      <c r="A80" s="71">
        <f>A78+1</f>
        <v>51</v>
      </c>
      <c r="B80" s="67"/>
      <c r="C80" s="67" t="s">
        <v>1003</v>
      </c>
      <c r="D80" s="67"/>
      <c r="E80" s="364">
        <v>119679.70647853662</v>
      </c>
      <c r="F80" s="71"/>
      <c r="G80" s="369">
        <v>35.284180595580217</v>
      </c>
      <c r="H80" s="71"/>
      <c r="I80" s="364">
        <v>123578.79853853662</v>
      </c>
      <c r="J80" s="71"/>
      <c r="K80" s="369">
        <v>36.433717743120816</v>
      </c>
      <c r="L80" s="77"/>
      <c r="M80" s="366">
        <v>3899.0920599999972</v>
      </c>
      <c r="N80" s="67"/>
      <c r="O80" s="370">
        <v>3.2579391901326735E-2</v>
      </c>
      <c r="P80" s="368"/>
      <c r="Q80" s="370">
        <v>5.0210888428237406E-2</v>
      </c>
    </row>
    <row r="81" spans="1:17">
      <c r="A81" s="71">
        <f>A80+1</f>
        <v>52</v>
      </c>
      <c r="B81" s="67"/>
      <c r="C81" s="67" t="s">
        <v>1004</v>
      </c>
      <c r="D81" s="67"/>
      <c r="E81" s="80"/>
      <c r="F81" s="80"/>
      <c r="G81" s="80"/>
      <c r="H81" s="80"/>
      <c r="I81" s="80"/>
      <c r="J81" s="80"/>
      <c r="K81" s="80"/>
      <c r="L81" s="80"/>
      <c r="M81" s="362"/>
      <c r="N81" s="67"/>
      <c r="O81" s="370">
        <v>4.8915662947048723E-2</v>
      </c>
      <c r="P81" s="368"/>
      <c r="Q81" s="370">
        <v>0.10346505984074615</v>
      </c>
    </row>
    <row r="82" spans="1:17">
      <c r="A82" s="71">
        <f>A81+1</f>
        <v>53</v>
      </c>
      <c r="B82" s="67"/>
      <c r="C82" s="67" t="s">
        <v>1005</v>
      </c>
      <c r="D82" s="67"/>
      <c r="E82" s="364">
        <v>106732.46129627081</v>
      </c>
      <c r="F82" s="71"/>
      <c r="G82" s="369">
        <v>31.467051103302829</v>
      </c>
      <c r="H82" s="71"/>
      <c r="I82" s="364">
        <v>110680.05724027078</v>
      </c>
      <c r="J82" s="71"/>
      <c r="K82" s="369">
        <v>32.630888250843419</v>
      </c>
      <c r="L82" s="77"/>
      <c r="M82" s="366">
        <v>3947.5959439999983</v>
      </c>
      <c r="N82" s="67"/>
      <c r="O82" s="370">
        <v>3.6985898161217855E-2</v>
      </c>
      <c r="P82" s="368"/>
      <c r="Q82" s="370">
        <v>6.1007182988522812E-2</v>
      </c>
    </row>
    <row r="83" spans="1:17">
      <c r="A83" s="71">
        <f>A82+1</f>
        <v>54</v>
      </c>
      <c r="B83" s="67"/>
      <c r="C83" s="67" t="s">
        <v>1006</v>
      </c>
      <c r="D83" s="67"/>
      <c r="E83" s="80"/>
      <c r="F83" s="80"/>
      <c r="G83" s="80"/>
      <c r="H83" s="80"/>
      <c r="I83" s="80"/>
      <c r="J83" s="80"/>
      <c r="K83" s="80"/>
      <c r="L83" s="80"/>
      <c r="M83" s="362"/>
      <c r="N83" s="67"/>
      <c r="O83" s="370">
        <v>5.9128270834487004E-2</v>
      </c>
      <c r="P83" s="368"/>
      <c r="Q83" s="370">
        <v>0.15957707462847118</v>
      </c>
    </row>
    <row r="84" spans="1:17">
      <c r="A84" s="71"/>
      <c r="B84" s="67"/>
      <c r="C84" s="67"/>
      <c r="D84" s="67"/>
      <c r="E84" s="71"/>
      <c r="F84" s="71"/>
      <c r="G84" s="71"/>
      <c r="H84" s="71"/>
      <c r="I84" s="71"/>
      <c r="J84" s="71"/>
      <c r="K84" s="71"/>
      <c r="L84" s="71"/>
      <c r="M84" s="362"/>
      <c r="N84" s="71"/>
      <c r="O84" s="372"/>
      <c r="P84" s="372"/>
      <c r="Q84" s="368"/>
    </row>
    <row r="85" spans="1:17" ht="15.6">
      <c r="A85" s="71"/>
      <c r="B85" s="67"/>
      <c r="C85" s="76" t="s">
        <v>1016</v>
      </c>
      <c r="D85" s="67"/>
      <c r="E85" s="67" t="s">
        <v>1017</v>
      </c>
      <c r="F85" s="67"/>
      <c r="G85" s="67"/>
      <c r="H85" s="71"/>
      <c r="I85" s="71"/>
      <c r="J85" s="71"/>
      <c r="K85" s="71"/>
      <c r="L85" s="71"/>
      <c r="M85" s="362"/>
      <c r="N85" s="71"/>
      <c r="O85" s="372"/>
      <c r="P85" s="372"/>
      <c r="Q85" s="372"/>
    </row>
    <row r="86" spans="1:17">
      <c r="A86" s="71">
        <f>A83+1</f>
        <v>55</v>
      </c>
      <c r="B86" s="67"/>
      <c r="C86" s="67" t="s">
        <v>998</v>
      </c>
      <c r="D86" s="67"/>
      <c r="E86" s="81">
        <v>83095.933022086727</v>
      </c>
      <c r="F86" s="71"/>
      <c r="G86" s="361">
        <v>13.882478155676262</v>
      </c>
      <c r="H86" s="71"/>
      <c r="I86" s="81">
        <v>91193.017855086742</v>
      </c>
      <c r="J86" s="71"/>
      <c r="K86" s="361">
        <v>15.235223100352465</v>
      </c>
      <c r="L86" s="77"/>
      <c r="M86" s="362">
        <f>I86-E86</f>
        <v>8097.0848330000154</v>
      </c>
      <c r="N86" s="77"/>
      <c r="O86" s="325">
        <f>M86/E86</f>
        <v>9.7442612875504112E-2</v>
      </c>
      <c r="P86" s="327"/>
      <c r="Q86" s="325">
        <f>O86</f>
        <v>9.7442612875504112E-2</v>
      </c>
    </row>
    <row r="87" spans="1:17">
      <c r="A87" s="71">
        <f>MAX($A$1:A86)+1</f>
        <v>56</v>
      </c>
      <c r="B87" s="67"/>
      <c r="C87" s="67" t="s">
        <v>999</v>
      </c>
      <c r="D87" s="67"/>
      <c r="E87" s="81">
        <v>74162.451300000001</v>
      </c>
      <c r="F87" s="363"/>
      <c r="G87" s="361">
        <v>12.39</v>
      </c>
      <c r="H87" s="77"/>
      <c r="I87" s="81">
        <v>74162.451300000001</v>
      </c>
      <c r="J87" s="363"/>
      <c r="K87" s="361">
        <v>12.39</v>
      </c>
      <c r="L87" s="77"/>
      <c r="M87" s="362">
        <f>I87-E87</f>
        <v>0</v>
      </c>
      <c r="N87" s="77"/>
      <c r="O87" s="326">
        <f>IFERROR(M87/E87,"100.0%")</f>
        <v>0</v>
      </c>
      <c r="P87" s="327"/>
      <c r="Q87" s="326">
        <v>0</v>
      </c>
    </row>
    <row r="88" spans="1:17">
      <c r="A88" s="71">
        <f>MAX($A$1:A87)+1</f>
        <v>57</v>
      </c>
      <c r="B88" s="67"/>
      <c r="C88" s="67" t="s">
        <v>1000</v>
      </c>
      <c r="D88" s="67"/>
      <c r="E88" s="81">
        <v>28378.516376760792</v>
      </c>
      <c r="F88" s="363"/>
      <c r="G88" s="361">
        <v>4.7410759993051386</v>
      </c>
      <c r="H88" s="77"/>
      <c r="I88" s="81">
        <v>28391.086283760793</v>
      </c>
      <c r="J88" s="363"/>
      <c r="K88" s="361">
        <v>4.7431759993051399</v>
      </c>
      <c r="L88" s="77"/>
      <c r="M88" s="362">
        <f>I88-E88</f>
        <v>12.569907000000967</v>
      </c>
      <c r="N88" s="77"/>
      <c r="O88" s="326">
        <f>IFERROR(M88/E88,"100.0%")</f>
        <v>4.4293742608385555E-4</v>
      </c>
      <c r="P88" s="327"/>
      <c r="Q88" s="325">
        <f>O88</f>
        <v>4.4293742608385555E-4</v>
      </c>
    </row>
    <row r="89" spans="1:17">
      <c r="A89" s="71">
        <f>MAX($A$1:A88)+1</f>
        <v>58</v>
      </c>
      <c r="B89" s="67"/>
      <c r="C89" s="67" t="s">
        <v>1001</v>
      </c>
      <c r="D89" s="67"/>
      <c r="E89" s="81">
        <v>70515.925923965158</v>
      </c>
      <c r="F89" s="71"/>
      <c r="G89" s="361">
        <v>11.780790775964119</v>
      </c>
      <c r="H89" s="71"/>
      <c r="I89" s="81">
        <v>70533.882933965157</v>
      </c>
      <c r="J89" s="71"/>
      <c r="K89" s="361">
        <v>11.783790775964121</v>
      </c>
      <c r="L89" s="77"/>
      <c r="M89" s="362">
        <f>I89-E89</f>
        <v>17.957009999998263</v>
      </c>
      <c r="N89" s="67"/>
      <c r="O89" s="325">
        <f>M89/E89</f>
        <v>2.5465183594640276E-4</v>
      </c>
      <c r="P89" s="327"/>
      <c r="Q89" s="325">
        <f>O89</f>
        <v>2.5465183594640276E-4</v>
      </c>
    </row>
    <row r="90" spans="1:17">
      <c r="A90" s="71">
        <f>MAX($A$1:A89)+1</f>
        <v>59</v>
      </c>
      <c r="B90" s="67"/>
      <c r="C90" s="67" t="s">
        <v>1002</v>
      </c>
      <c r="D90" s="67"/>
      <c r="E90" s="364">
        <f>SUM(E86:E89)</f>
        <v>256152.82662281266</v>
      </c>
      <c r="F90" s="71"/>
      <c r="G90" s="365">
        <v>42.794344930945513</v>
      </c>
      <c r="H90" s="71"/>
      <c r="I90" s="364">
        <f>SUM(I86:I89)</f>
        <v>264280.4383728127</v>
      </c>
      <c r="J90" s="71"/>
      <c r="K90" s="365">
        <v>44.15218987562173</v>
      </c>
      <c r="L90" s="77"/>
      <c r="M90" s="366">
        <f>SUM(M86:M89)</f>
        <v>8127.6117500000146</v>
      </c>
      <c r="N90" s="67"/>
      <c r="O90" s="367">
        <f>M90/E90</f>
        <v>3.1729541528612508E-2</v>
      </c>
      <c r="P90" s="368"/>
      <c r="Q90" s="367">
        <f>(M86+M89+M88)/(E86+E89+E88)</f>
        <v>4.4659569142507342E-2</v>
      </c>
    </row>
    <row r="91" spans="1:17">
      <c r="A91" s="71"/>
      <c r="B91" s="67"/>
      <c r="C91" s="67"/>
      <c r="D91" s="67"/>
      <c r="E91" s="71"/>
      <c r="F91" s="71"/>
      <c r="G91" s="71"/>
      <c r="H91" s="71"/>
      <c r="I91" s="71"/>
      <c r="J91" s="71"/>
      <c r="K91" s="71"/>
      <c r="L91" s="71"/>
      <c r="M91" s="362"/>
      <c r="N91" s="71"/>
      <c r="O91" s="372"/>
      <c r="P91" s="372"/>
      <c r="Q91" s="372"/>
    </row>
    <row r="92" spans="1:17">
      <c r="A92" s="71">
        <f>MAX($A$1:A91)+1</f>
        <v>60</v>
      </c>
      <c r="B92" s="67"/>
      <c r="C92" s="67" t="s">
        <v>1003</v>
      </c>
      <c r="D92" s="67"/>
      <c r="E92" s="364">
        <v>256170.78363281267</v>
      </c>
      <c r="F92" s="71"/>
      <c r="G92" s="369">
        <v>42.797344930945521</v>
      </c>
      <c r="H92" s="71"/>
      <c r="I92" s="364">
        <v>264280.4383728127</v>
      </c>
      <c r="J92" s="71"/>
      <c r="K92" s="369">
        <v>44.15218987562173</v>
      </c>
      <c r="L92" s="77"/>
      <c r="M92" s="366">
        <v>8109.6547400000163</v>
      </c>
      <c r="N92" s="67"/>
      <c r="O92" s="370">
        <v>3.1657219550938899E-2</v>
      </c>
      <c r="P92" s="368"/>
      <c r="Q92" s="370">
        <v>4.4556502639511296E-2</v>
      </c>
    </row>
    <row r="93" spans="1:17">
      <c r="A93" s="71">
        <f>MAX($A$1:A92)+1</f>
        <v>61</v>
      </c>
      <c r="B93" s="67"/>
      <c r="C93" s="67" t="s">
        <v>1004</v>
      </c>
      <c r="D93" s="67"/>
      <c r="E93" s="80"/>
      <c r="F93" s="80"/>
      <c r="G93" s="80"/>
      <c r="H93" s="80"/>
      <c r="I93" s="80"/>
      <c r="J93" s="80"/>
      <c r="K93" s="80"/>
      <c r="L93" s="80"/>
      <c r="M93" s="362"/>
      <c r="N93" s="67"/>
      <c r="O93" s="370">
        <v>4.3685574955574354E-2</v>
      </c>
      <c r="P93" s="368"/>
      <c r="Q93" s="370">
        <v>7.2749000185542589E-2</v>
      </c>
    </row>
    <row r="94" spans="1:17">
      <c r="A94" s="71">
        <f>MAX($A$1:A93)+1</f>
        <v>62</v>
      </c>
      <c r="B94" s="67"/>
      <c r="C94" s="67" t="s">
        <v>1005</v>
      </c>
      <c r="D94" s="67"/>
      <c r="E94" s="364">
        <v>233322.70614477267</v>
      </c>
      <c r="F94" s="71"/>
      <c r="G94" s="369">
        <v>38.980215438668132</v>
      </c>
      <c r="H94" s="71"/>
      <c r="I94" s="364">
        <v>241517.95596577268</v>
      </c>
      <c r="J94" s="71"/>
      <c r="K94" s="369">
        <v>40.349360383344333</v>
      </c>
      <c r="L94" s="77"/>
      <c r="M94" s="366">
        <v>8195.2498210000158</v>
      </c>
      <c r="N94" s="67"/>
      <c r="O94" s="370">
        <v>3.5124098963240237E-2</v>
      </c>
      <c r="P94" s="368"/>
      <c r="Q94" s="370">
        <v>5.149055478073189E-2</v>
      </c>
    </row>
    <row r="95" spans="1:17">
      <c r="A95" s="71">
        <f>MAX($A$1:A94)+1</f>
        <v>63</v>
      </c>
      <c r="B95" s="67"/>
      <c r="C95" s="67" t="s">
        <v>1006</v>
      </c>
      <c r="D95" s="67"/>
      <c r="E95" s="80"/>
      <c r="F95" s="80"/>
      <c r="G95" s="80"/>
      <c r="H95" s="80"/>
      <c r="I95" s="80"/>
      <c r="J95" s="80"/>
      <c r="K95" s="80"/>
      <c r="L95" s="80"/>
      <c r="M95" s="373"/>
      <c r="N95" s="67"/>
      <c r="O95" s="370">
        <v>5.0342828576058749E-2</v>
      </c>
      <c r="P95" s="368"/>
      <c r="Q95" s="370">
        <v>9.2469652591077672E-2</v>
      </c>
    </row>
    <row r="96" spans="1:17">
      <c r="A96" s="71"/>
      <c r="B96" s="67"/>
      <c r="C96" s="67"/>
      <c r="D96" s="67"/>
      <c r="E96" s="80"/>
      <c r="F96" s="80"/>
      <c r="G96" s="80"/>
      <c r="H96" s="80"/>
      <c r="I96" s="80"/>
      <c r="J96" s="80"/>
      <c r="K96" s="80"/>
      <c r="L96" s="80"/>
      <c r="M96" s="373"/>
      <c r="N96" s="67"/>
      <c r="O96" s="368"/>
      <c r="P96" s="368"/>
      <c r="Q96" s="368"/>
    </row>
    <row r="97" spans="1:17">
      <c r="A97" s="71"/>
      <c r="B97" s="67"/>
      <c r="C97" s="67"/>
      <c r="D97" s="67"/>
      <c r="E97" s="81"/>
      <c r="F97" s="71"/>
      <c r="G97" s="361"/>
      <c r="H97" s="71"/>
      <c r="I97" s="81"/>
      <c r="J97" s="71"/>
      <c r="K97" s="361"/>
      <c r="L97" s="77"/>
      <c r="M97" s="373"/>
      <c r="N97" s="67"/>
      <c r="O97" s="368"/>
      <c r="P97" s="368"/>
      <c r="Q97" s="368"/>
    </row>
    <row r="98" spans="1:17">
      <c r="A98" s="1184" t="s">
        <v>1018</v>
      </c>
      <c r="B98" s="1184"/>
      <c r="C98" s="1184"/>
      <c r="D98" s="1184"/>
      <c r="E98" s="1184"/>
      <c r="F98" s="1184"/>
      <c r="G98" s="1184"/>
      <c r="H98" s="1184"/>
      <c r="I98" s="1184"/>
      <c r="J98" s="1184"/>
      <c r="K98" s="1184"/>
      <c r="L98" s="1184"/>
      <c r="M98" s="1184"/>
      <c r="N98" s="1184"/>
      <c r="O98" s="1184"/>
      <c r="P98" s="1184"/>
      <c r="Q98" s="1184"/>
    </row>
    <row r="99" spans="1:17">
      <c r="A99" s="1184" t="s">
        <v>125</v>
      </c>
      <c r="B99" s="1184"/>
      <c r="C99" s="1184"/>
      <c r="D99" s="1184"/>
      <c r="E99" s="1184"/>
      <c r="F99" s="1184"/>
      <c r="G99" s="1184"/>
      <c r="H99" s="1184"/>
      <c r="I99" s="1184"/>
      <c r="J99" s="1184"/>
      <c r="K99" s="1184"/>
      <c r="L99" s="1184"/>
      <c r="M99" s="1184"/>
      <c r="N99" s="1184"/>
      <c r="O99" s="1184"/>
      <c r="P99" s="1184"/>
      <c r="Q99" s="1184"/>
    </row>
    <row r="100" spans="1:17">
      <c r="A100" s="86"/>
      <c r="B100" s="86"/>
      <c r="C100" s="86"/>
      <c r="D100" s="86"/>
      <c r="E100" s="86"/>
      <c r="F100" s="86"/>
      <c r="G100" s="86"/>
      <c r="H100" s="86"/>
      <c r="I100" s="86"/>
      <c r="J100" s="86"/>
      <c r="K100" s="86"/>
      <c r="L100" s="86"/>
      <c r="M100" s="86"/>
      <c r="N100" s="86"/>
      <c r="O100" s="86"/>
      <c r="P100" s="86"/>
      <c r="Q100" s="86"/>
    </row>
    <row r="101" spans="1:17">
      <c r="A101" s="71"/>
      <c r="B101" s="67"/>
      <c r="C101" s="67"/>
      <c r="D101" s="67"/>
      <c r="E101" s="1185" t="s">
        <v>985</v>
      </c>
      <c r="F101" s="1185"/>
      <c r="G101" s="1185"/>
      <c r="H101" s="67"/>
      <c r="I101" s="1185" t="s">
        <v>986</v>
      </c>
      <c r="J101" s="1185"/>
      <c r="K101" s="1185"/>
      <c r="L101" s="1185"/>
      <c r="M101" s="1185"/>
      <c r="N101" s="67"/>
      <c r="O101" s="1185" t="s">
        <v>987</v>
      </c>
      <c r="P101" s="1185"/>
      <c r="Q101" s="1185"/>
    </row>
    <row r="102" spans="1:17">
      <c r="A102" s="71"/>
      <c r="B102" s="67"/>
      <c r="C102" s="67"/>
      <c r="D102" s="67"/>
      <c r="E102" s="71"/>
      <c r="F102" s="71"/>
      <c r="G102" s="71"/>
      <c r="H102" s="67"/>
      <c r="I102" s="71"/>
      <c r="J102" s="71"/>
      <c r="K102" s="71"/>
      <c r="L102" s="71"/>
      <c r="M102" s="71" t="s">
        <v>988</v>
      </c>
      <c r="N102" s="67"/>
      <c r="O102" s="71" t="s">
        <v>989</v>
      </c>
      <c r="P102" s="71"/>
      <c r="Q102" s="71" t="s">
        <v>990</v>
      </c>
    </row>
    <row r="103" spans="1:17">
      <c r="A103" s="71" t="s">
        <v>56</v>
      </c>
      <c r="B103" s="67"/>
      <c r="C103" s="67"/>
      <c r="D103" s="67"/>
      <c r="E103" s="71" t="s">
        <v>988</v>
      </c>
      <c r="F103" s="71"/>
      <c r="G103" s="71" t="s">
        <v>991</v>
      </c>
      <c r="H103" s="67"/>
      <c r="I103" s="71" t="s">
        <v>988</v>
      </c>
      <c r="J103" s="71"/>
      <c r="K103" s="71" t="s">
        <v>991</v>
      </c>
      <c r="L103" s="71"/>
      <c r="M103" s="71" t="s">
        <v>845</v>
      </c>
      <c r="N103" s="67"/>
      <c r="O103" s="71" t="s">
        <v>992</v>
      </c>
      <c r="P103" s="67"/>
      <c r="Q103" s="71" t="s">
        <v>992</v>
      </c>
    </row>
    <row r="104" spans="1:17" ht="15.6">
      <c r="A104" s="74" t="s">
        <v>57</v>
      </c>
      <c r="B104" s="67"/>
      <c r="C104" s="360" t="s">
        <v>194</v>
      </c>
      <c r="D104" s="67"/>
      <c r="E104" s="74" t="s">
        <v>993</v>
      </c>
      <c r="F104" s="71"/>
      <c r="G104" s="74" t="s">
        <v>247</v>
      </c>
      <c r="H104" s="67"/>
      <c r="I104" s="74" t="s">
        <v>993</v>
      </c>
      <c r="J104" s="71"/>
      <c r="K104" s="74" t="s">
        <v>247</v>
      </c>
      <c r="L104" s="71"/>
      <c r="M104" s="74" t="s">
        <v>993</v>
      </c>
      <c r="N104" s="67"/>
      <c r="O104" s="74" t="s">
        <v>249</v>
      </c>
      <c r="P104" s="71"/>
      <c r="Q104" s="74" t="s">
        <v>249</v>
      </c>
    </row>
    <row r="105" spans="1:17">
      <c r="A105" s="71"/>
      <c r="B105" s="67"/>
      <c r="C105" s="67"/>
      <c r="D105" s="67"/>
      <c r="E105" s="71" t="s">
        <v>9</v>
      </c>
      <c r="F105" s="71"/>
      <c r="G105" s="71" t="s">
        <v>10</v>
      </c>
      <c r="H105" s="71"/>
      <c r="I105" s="71" t="s">
        <v>58</v>
      </c>
      <c r="J105" s="71"/>
      <c r="K105" s="71" t="s">
        <v>12</v>
      </c>
      <c r="L105" s="71"/>
      <c r="M105" s="71" t="s">
        <v>994</v>
      </c>
      <c r="N105" s="71"/>
      <c r="O105" s="71" t="s">
        <v>995</v>
      </c>
      <c r="P105" s="71"/>
      <c r="Q105" s="71" t="s">
        <v>209</v>
      </c>
    </row>
    <row r="106" spans="1:17">
      <c r="A106" s="71"/>
      <c r="B106" s="67"/>
      <c r="C106" s="67"/>
      <c r="D106" s="67"/>
      <c r="E106" s="81"/>
      <c r="F106" s="71"/>
      <c r="G106" s="361"/>
      <c r="H106" s="71"/>
      <c r="I106" s="81"/>
      <c r="J106" s="71"/>
      <c r="K106" s="361"/>
      <c r="L106" s="77"/>
      <c r="M106" s="373"/>
      <c r="N106" s="67"/>
      <c r="O106" s="368"/>
      <c r="P106" s="368"/>
      <c r="Q106" s="368"/>
    </row>
    <row r="107" spans="1:17" ht="15.6">
      <c r="A107" s="71"/>
      <c r="B107" s="67"/>
      <c r="C107" s="76" t="s">
        <v>1019</v>
      </c>
      <c r="D107" s="67"/>
      <c r="E107" s="67" t="s">
        <v>1020</v>
      </c>
      <c r="F107" s="67"/>
      <c r="G107" s="67"/>
      <c r="H107" s="67"/>
      <c r="I107" s="67"/>
      <c r="J107" s="67"/>
      <c r="K107" s="67"/>
      <c r="L107" s="67"/>
      <c r="M107" s="373"/>
      <c r="N107" s="67"/>
      <c r="O107" s="368"/>
      <c r="P107" s="368"/>
      <c r="Q107" s="368"/>
    </row>
    <row r="108" spans="1:17">
      <c r="A108" s="71">
        <f>MAX($A$1:A95)+1</f>
        <v>64</v>
      </c>
      <c r="B108" s="67"/>
      <c r="C108" s="67" t="s">
        <v>998</v>
      </c>
      <c r="D108" s="67"/>
      <c r="E108" s="81">
        <v>169746.7144961931</v>
      </c>
      <c r="F108" s="71"/>
      <c r="G108" s="361">
        <v>11.316447633079541</v>
      </c>
      <c r="H108" s="71"/>
      <c r="I108" s="81">
        <v>188986.01449619312</v>
      </c>
      <c r="J108" s="71"/>
      <c r="K108" s="361">
        <v>12.599067633079542</v>
      </c>
      <c r="L108" s="77"/>
      <c r="M108" s="362">
        <f>I108-E108</f>
        <v>19239.300000000017</v>
      </c>
      <c r="N108" s="77"/>
      <c r="O108" s="325">
        <f>M108/E108</f>
        <v>0.11334122169670327</v>
      </c>
      <c r="P108" s="327"/>
      <c r="Q108" s="325">
        <f>O108</f>
        <v>0.11334122169670327</v>
      </c>
    </row>
    <row r="109" spans="1:17">
      <c r="A109" s="71">
        <f>MAX($A$1:A108)+1</f>
        <v>65</v>
      </c>
      <c r="B109" s="67"/>
      <c r="C109" s="67" t="s">
        <v>999</v>
      </c>
      <c r="D109" s="67"/>
      <c r="E109" s="81">
        <v>185850</v>
      </c>
      <c r="F109" s="363"/>
      <c r="G109" s="361">
        <v>12.389999999999999</v>
      </c>
      <c r="H109" s="77"/>
      <c r="I109" s="81">
        <v>185850</v>
      </c>
      <c r="J109" s="363"/>
      <c r="K109" s="361">
        <v>12.389999999999999</v>
      </c>
      <c r="L109" s="77"/>
      <c r="M109" s="362">
        <f>I109-E109</f>
        <v>0</v>
      </c>
      <c r="N109" s="77"/>
      <c r="O109" s="326">
        <f>IFERROR(M109/E109,"100.0%")</f>
        <v>0</v>
      </c>
      <c r="P109" s="327"/>
      <c r="Q109" s="326">
        <v>0</v>
      </c>
    </row>
    <row r="110" spans="1:17">
      <c r="A110" s="71">
        <f>MAX($A$1:A109)+1</f>
        <v>66</v>
      </c>
      <c r="B110" s="67"/>
      <c r="C110" s="67" t="s">
        <v>1000</v>
      </c>
      <c r="D110" s="67"/>
      <c r="E110" s="81">
        <v>71116.139989577088</v>
      </c>
      <c r="F110" s="363"/>
      <c r="G110" s="361">
        <v>4.7410759993051395</v>
      </c>
      <c r="H110" s="77"/>
      <c r="I110" s="81">
        <v>71147.639989577088</v>
      </c>
      <c r="J110" s="363"/>
      <c r="K110" s="361">
        <v>4.7431759993051399</v>
      </c>
      <c r="L110" s="77"/>
      <c r="M110" s="362">
        <f>I110-E110</f>
        <v>31.5</v>
      </c>
      <c r="N110" s="77"/>
      <c r="O110" s="326">
        <f>IFERROR(M110/E110,"100.0%")</f>
        <v>4.4293742608382146E-4</v>
      </c>
      <c r="P110" s="327"/>
      <c r="Q110" s="325">
        <f>O110</f>
        <v>4.4293742608382146E-4</v>
      </c>
    </row>
    <row r="111" spans="1:17">
      <c r="A111" s="71">
        <f>MAX($A$1:A110)+1</f>
        <v>67</v>
      </c>
      <c r="B111" s="67"/>
      <c r="C111" s="67" t="s">
        <v>1001</v>
      </c>
      <c r="D111" s="67"/>
      <c r="E111" s="81">
        <v>176711.86163946183</v>
      </c>
      <c r="F111" s="71"/>
      <c r="G111" s="361">
        <v>11.780790775964121</v>
      </c>
      <c r="H111" s="71"/>
      <c r="I111" s="81">
        <v>176756.86163946183</v>
      </c>
      <c r="J111" s="71"/>
      <c r="K111" s="361">
        <v>11.783790775964121</v>
      </c>
      <c r="L111" s="77"/>
      <c r="M111" s="362">
        <f>I111-E111</f>
        <v>45</v>
      </c>
      <c r="N111" s="67"/>
      <c r="O111" s="325">
        <f>M111/E111</f>
        <v>2.5465183594642731E-4</v>
      </c>
      <c r="P111" s="327"/>
      <c r="Q111" s="325">
        <f>O111</f>
        <v>2.5465183594642731E-4</v>
      </c>
    </row>
    <row r="112" spans="1:17">
      <c r="A112" s="71">
        <f>MAX($A$1:A111)+1</f>
        <v>68</v>
      </c>
      <c r="B112" s="67"/>
      <c r="C112" s="67" t="s">
        <v>1002</v>
      </c>
      <c r="D112" s="67"/>
      <c r="E112" s="364">
        <f>SUM(E108:E111)</f>
        <v>603424.71612523205</v>
      </c>
      <c r="F112" s="71"/>
      <c r="G112" s="365">
        <v>40.228314408348801</v>
      </c>
      <c r="H112" s="71"/>
      <c r="I112" s="364">
        <f>SUM(I108:I111)</f>
        <v>622740.5161252321</v>
      </c>
      <c r="J112" s="71"/>
      <c r="K112" s="365">
        <v>41.516034408348808</v>
      </c>
      <c r="L112" s="77"/>
      <c r="M112" s="366">
        <f>SUM(M108:M111)</f>
        <v>19315.800000000017</v>
      </c>
      <c r="N112" s="67"/>
      <c r="O112" s="367">
        <f>M112/E112</f>
        <v>3.2010289740918241E-2</v>
      </c>
      <c r="P112" s="368"/>
      <c r="Q112" s="367">
        <f>(M108+M111+M110)/(E108+E111+E110)</f>
        <v>4.6257111012935816E-2</v>
      </c>
    </row>
    <row r="113" spans="1:17">
      <c r="A113" s="71"/>
      <c r="B113" s="67"/>
      <c r="C113" s="67"/>
      <c r="D113" s="67"/>
      <c r="E113" s="81"/>
      <c r="F113" s="71"/>
      <c r="G113" s="77"/>
      <c r="H113" s="71"/>
      <c r="I113" s="81"/>
      <c r="J113" s="71"/>
      <c r="K113" s="77"/>
      <c r="L113" s="77"/>
      <c r="M113" s="362"/>
      <c r="N113" s="67"/>
      <c r="O113" s="368"/>
      <c r="P113" s="368"/>
      <c r="Q113" s="368"/>
    </row>
    <row r="114" spans="1:17">
      <c r="A114" s="71">
        <f>MAX($A$1:A113)+1</f>
        <v>69</v>
      </c>
      <c r="B114" s="67"/>
      <c r="C114" s="67" t="s">
        <v>1003</v>
      </c>
      <c r="D114" s="67"/>
      <c r="E114" s="364">
        <v>603469.71612523205</v>
      </c>
      <c r="F114" s="71"/>
      <c r="G114" s="369">
        <v>40.231314408348808</v>
      </c>
      <c r="H114" s="71"/>
      <c r="I114" s="364">
        <v>622740.5161252321</v>
      </c>
      <c r="J114" s="71"/>
      <c r="K114" s="369">
        <v>41.516034408348808</v>
      </c>
      <c r="L114" s="77"/>
      <c r="M114" s="366">
        <v>19270.800000000017</v>
      </c>
      <c r="N114" s="67"/>
      <c r="O114" s="370">
        <v>3.1933333993517152E-2</v>
      </c>
      <c r="P114" s="368"/>
      <c r="Q114" s="370">
        <v>4.6144373112454451E-2</v>
      </c>
    </row>
    <row r="115" spans="1:17">
      <c r="A115" s="71">
        <f>MAX($A$1:A114)+1</f>
        <v>70</v>
      </c>
      <c r="B115" s="67"/>
      <c r="C115" s="67" t="s">
        <v>1004</v>
      </c>
      <c r="D115" s="67"/>
      <c r="E115" s="80"/>
      <c r="F115" s="80"/>
      <c r="G115" s="80"/>
      <c r="H115" s="80"/>
      <c r="I115" s="80"/>
      <c r="J115" s="80"/>
      <c r="K115" s="80"/>
      <c r="L115" s="80"/>
      <c r="M115" s="362"/>
      <c r="N115" s="67"/>
      <c r="O115" s="370">
        <v>4.5161048694497788E-2</v>
      </c>
      <c r="P115" s="368"/>
      <c r="Q115" s="370">
        <v>8.000735539376623E-2</v>
      </c>
    </row>
    <row r="116" spans="1:17">
      <c r="A116" s="71">
        <f>MAX($A$1:A115)+1</f>
        <v>71</v>
      </c>
      <c r="B116" s="67"/>
      <c r="C116" s="67" t="s">
        <v>1005</v>
      </c>
      <c r="D116" s="67"/>
      <c r="E116" s="364">
        <v>546212.77374107111</v>
      </c>
      <c r="F116" s="71"/>
      <c r="G116" s="369">
        <v>36.414184916071406</v>
      </c>
      <c r="H116" s="71"/>
      <c r="I116" s="364">
        <v>565698.07374107116</v>
      </c>
      <c r="J116" s="71"/>
      <c r="K116" s="369">
        <v>37.713204916071412</v>
      </c>
      <c r="L116" s="77"/>
      <c r="M116" s="366">
        <v>19485.300000000017</v>
      </c>
      <c r="N116" s="67"/>
      <c r="O116" s="370">
        <v>3.5673460850325897E-2</v>
      </c>
      <c r="P116" s="368"/>
      <c r="Q116" s="370">
        <v>5.4071345377091164E-2</v>
      </c>
    </row>
    <row r="117" spans="1:17">
      <c r="A117" s="71">
        <f>MAX($A$1:A116)+1</f>
        <v>72</v>
      </c>
      <c r="B117" s="67"/>
      <c r="C117" s="67" t="s">
        <v>1006</v>
      </c>
      <c r="D117" s="67"/>
      <c r="E117" s="80"/>
      <c r="F117" s="80"/>
      <c r="G117" s="80"/>
      <c r="H117" s="80"/>
      <c r="I117" s="80"/>
      <c r="J117" s="80"/>
      <c r="K117" s="80"/>
      <c r="L117" s="80"/>
      <c r="M117" s="362"/>
      <c r="N117" s="67"/>
      <c r="O117" s="370">
        <v>5.2740528333029051E-2</v>
      </c>
      <c r="P117" s="368"/>
      <c r="Q117" s="370">
        <v>0.10612566761584812</v>
      </c>
    </row>
    <row r="118" spans="1:17">
      <c r="A118" s="71"/>
      <c r="B118" s="67"/>
      <c r="C118" s="67"/>
      <c r="D118" s="67"/>
      <c r="E118" s="71"/>
      <c r="F118" s="71"/>
      <c r="G118" s="71"/>
      <c r="H118" s="71"/>
      <c r="I118" s="71"/>
      <c r="J118" s="71"/>
      <c r="K118" s="71"/>
      <c r="L118" s="71"/>
      <c r="M118" s="362"/>
      <c r="N118" s="71"/>
      <c r="O118" s="372"/>
      <c r="P118" s="372"/>
      <c r="Q118" s="372"/>
    </row>
    <row r="119" spans="1:17" ht="15.6">
      <c r="A119" s="71"/>
      <c r="B119" s="67"/>
      <c r="C119" s="76" t="s">
        <v>1021</v>
      </c>
      <c r="D119" s="67"/>
      <c r="E119" s="67" t="s">
        <v>1022</v>
      </c>
      <c r="F119" s="67"/>
      <c r="G119" s="67"/>
      <c r="H119" s="71"/>
      <c r="I119" s="71"/>
      <c r="J119" s="71"/>
      <c r="K119" s="71"/>
      <c r="L119" s="71"/>
      <c r="M119" s="362"/>
      <c r="N119" s="71"/>
      <c r="O119" s="372"/>
      <c r="P119" s="372"/>
      <c r="Q119" s="372"/>
    </row>
    <row r="120" spans="1:17">
      <c r="A120" s="71">
        <f>MAX($A$1:A119)+1</f>
        <v>73</v>
      </c>
      <c r="B120" s="67"/>
      <c r="C120" s="67" t="s">
        <v>998</v>
      </c>
      <c r="D120" s="67"/>
      <c r="E120" s="81">
        <v>25390.26538856345</v>
      </c>
      <c r="F120" s="71"/>
      <c r="G120" s="361">
        <v>4.2418347436821628</v>
      </c>
      <c r="H120" s="71"/>
      <c r="I120" s="81">
        <v>25938.990916563449</v>
      </c>
      <c r="J120" s="71"/>
      <c r="K120" s="361">
        <v>4.3335077913559443</v>
      </c>
      <c r="L120" s="77"/>
      <c r="M120" s="362">
        <f>I120-E120</f>
        <v>548.72552799999903</v>
      </c>
      <c r="N120" s="77"/>
      <c r="O120" s="325">
        <f>M120/E120</f>
        <v>2.1611649961215521E-2</v>
      </c>
      <c r="P120" s="327"/>
      <c r="Q120" s="325">
        <f>O120</f>
        <v>2.1611649961215521E-2</v>
      </c>
    </row>
    <row r="121" spans="1:17">
      <c r="A121" s="71">
        <f>MAX($A$1:A120)+1</f>
        <v>74</v>
      </c>
      <c r="B121" s="67"/>
      <c r="C121" s="67" t="s">
        <v>999</v>
      </c>
      <c r="D121" s="67"/>
      <c r="E121" s="81">
        <v>74162.575200000007</v>
      </c>
      <c r="F121" s="363"/>
      <c r="G121" s="361">
        <v>12.39</v>
      </c>
      <c r="H121" s="77"/>
      <c r="I121" s="81">
        <v>74162.575200000007</v>
      </c>
      <c r="J121" s="363"/>
      <c r="K121" s="361">
        <v>12.39</v>
      </c>
      <c r="L121" s="77"/>
      <c r="M121" s="362">
        <f>I121-E121</f>
        <v>0</v>
      </c>
      <c r="N121" s="77"/>
      <c r="O121" s="326">
        <f>IFERROR(M121/E121,"100.0%")</f>
        <v>0</v>
      </c>
      <c r="P121" s="327"/>
      <c r="Q121" s="326">
        <v>0</v>
      </c>
    </row>
    <row r="122" spans="1:17">
      <c r="A122" s="71">
        <f>MAX($A$1:A121)+1</f>
        <v>75</v>
      </c>
      <c r="B122" s="67"/>
      <c r="C122" s="67" t="s">
        <v>1000</v>
      </c>
      <c r="D122" s="67"/>
      <c r="E122" s="81">
        <v>28378.563800450436</v>
      </c>
      <c r="F122" s="363"/>
      <c r="G122" s="361">
        <v>4.7410760014652364</v>
      </c>
      <c r="H122" s="77"/>
      <c r="I122" s="81">
        <v>28391.133728450441</v>
      </c>
      <c r="J122" s="363"/>
      <c r="K122" s="361">
        <v>4.7431760014652369</v>
      </c>
      <c r="L122" s="77"/>
      <c r="M122" s="362">
        <f>I122-E122</f>
        <v>12.569928000004438</v>
      </c>
      <c r="N122" s="77"/>
      <c r="O122" s="326">
        <f>IFERROR(M122/E122,"100.0%")</f>
        <v>4.4293742588216966E-4</v>
      </c>
      <c r="P122" s="327"/>
      <c r="Q122" s="325">
        <f>O122</f>
        <v>4.4293742588216966E-4</v>
      </c>
    </row>
    <row r="123" spans="1:17">
      <c r="A123" s="71">
        <f>MAX($A$1:A122)+1</f>
        <v>76</v>
      </c>
      <c r="B123" s="67"/>
      <c r="C123" s="67" t="s">
        <v>1001</v>
      </c>
      <c r="D123" s="67"/>
      <c r="E123" s="81">
        <v>70148.717566801453</v>
      </c>
      <c r="F123" s="71"/>
      <c r="G123" s="361">
        <v>11.719423284706409</v>
      </c>
      <c r="H123" s="71"/>
      <c r="I123" s="81">
        <v>70156.498950801426</v>
      </c>
      <c r="J123" s="71"/>
      <c r="K123" s="361">
        <v>11.720723284706404</v>
      </c>
      <c r="L123" s="77"/>
      <c r="M123" s="362">
        <f>I123-E123</f>
        <v>7.7813839999726042</v>
      </c>
      <c r="N123" s="67"/>
      <c r="O123" s="325">
        <f>M123/E123</f>
        <v>1.1092696017660653E-4</v>
      </c>
      <c r="P123" s="327"/>
      <c r="Q123" s="325">
        <f>O123</f>
        <v>1.1092696017660653E-4</v>
      </c>
    </row>
    <row r="124" spans="1:17">
      <c r="A124" s="71">
        <f>MAX($A$1:A123)+1</f>
        <v>77</v>
      </c>
      <c r="B124" s="67"/>
      <c r="C124" s="67" t="s">
        <v>1002</v>
      </c>
      <c r="D124" s="67"/>
      <c r="E124" s="364">
        <f>SUM(E120:E123)</f>
        <v>198080.12195581535</v>
      </c>
      <c r="F124" s="71"/>
      <c r="G124" s="365">
        <v>33.092334029853809</v>
      </c>
      <c r="H124" s="71"/>
      <c r="I124" s="364">
        <f>SUM(I120:I123)</f>
        <v>198649.19879581532</v>
      </c>
      <c r="J124" s="71"/>
      <c r="K124" s="365">
        <v>33.187407077527588</v>
      </c>
      <c r="L124" s="77"/>
      <c r="M124" s="366">
        <f>SUM(M120:M123)</f>
        <v>569.07683999997607</v>
      </c>
      <c r="N124" s="67"/>
      <c r="O124" s="367">
        <f>M124/E124</f>
        <v>2.8729628918893585E-3</v>
      </c>
      <c r="P124" s="368"/>
      <c r="Q124" s="367">
        <f>(M120+M123+M122)/(E120+E123+E122)</f>
        <v>4.5923830393557229E-3</v>
      </c>
    </row>
    <row r="125" spans="1:17">
      <c r="A125" s="71"/>
      <c r="B125" s="67"/>
      <c r="C125" s="67"/>
      <c r="D125" s="67"/>
      <c r="E125" s="81"/>
      <c r="F125" s="71"/>
      <c r="G125" s="77"/>
      <c r="H125" s="71"/>
      <c r="I125" s="81"/>
      <c r="J125" s="71"/>
      <c r="K125" s="77"/>
      <c r="L125" s="77"/>
      <c r="M125" s="362"/>
      <c r="N125" s="67"/>
      <c r="O125" s="368"/>
      <c r="P125" s="368"/>
      <c r="Q125" s="368"/>
    </row>
    <row r="126" spans="1:17">
      <c r="A126" s="71">
        <f>A124+1</f>
        <v>78</v>
      </c>
      <c r="B126" s="67"/>
      <c r="C126" s="67" t="s">
        <v>1003</v>
      </c>
      <c r="D126" s="67"/>
      <c r="E126" s="364">
        <v>198087.90333981533</v>
      </c>
      <c r="F126" s="71"/>
      <c r="G126" s="369">
        <v>33.09363402985381</v>
      </c>
      <c r="H126" s="71"/>
      <c r="I126" s="364">
        <v>198649.19879581532</v>
      </c>
      <c r="J126" s="71"/>
      <c r="K126" s="369">
        <v>33.187407077527588</v>
      </c>
      <c r="L126" s="77"/>
      <c r="M126" s="366">
        <v>561.29545600000347</v>
      </c>
      <c r="N126" s="67"/>
      <c r="O126" s="370">
        <v>2.8335675552944484E-3</v>
      </c>
      <c r="P126" s="368"/>
      <c r="Q126" s="370">
        <v>4.5293037704668207E-3</v>
      </c>
    </row>
    <row r="127" spans="1:17">
      <c r="A127" s="71">
        <f>A126+1</f>
        <v>79</v>
      </c>
      <c r="B127" s="67"/>
      <c r="C127" s="67" t="s">
        <v>1004</v>
      </c>
      <c r="D127" s="67"/>
      <c r="E127" s="80"/>
      <c r="F127" s="80"/>
      <c r="G127" s="80"/>
      <c r="H127" s="80"/>
      <c r="I127" s="80"/>
      <c r="J127" s="80"/>
      <c r="K127" s="80"/>
      <c r="L127" s="80"/>
      <c r="M127" s="362"/>
      <c r="N127" s="67"/>
      <c r="O127" s="370">
        <v>4.3874720103377896E-3</v>
      </c>
      <c r="P127" s="368"/>
      <c r="Q127" s="370">
        <v>1.0439049249647564E-2</v>
      </c>
    </row>
    <row r="128" spans="1:17">
      <c r="A128" s="71">
        <f>A127+1</f>
        <v>80</v>
      </c>
      <c r="B128" s="67"/>
      <c r="C128" s="67" t="s">
        <v>1005</v>
      </c>
      <c r="D128" s="67"/>
      <c r="E128" s="364">
        <v>175239.78761254228</v>
      </c>
      <c r="F128" s="71"/>
      <c r="G128" s="369">
        <v>29.276504526226304</v>
      </c>
      <c r="H128" s="71"/>
      <c r="I128" s="364">
        <v>175886.67829254229</v>
      </c>
      <c r="J128" s="71"/>
      <c r="K128" s="369">
        <v>29.384577573900089</v>
      </c>
      <c r="L128" s="77"/>
      <c r="M128" s="366">
        <v>646.89067999999952</v>
      </c>
      <c r="N128" s="67"/>
      <c r="O128" s="370">
        <v>3.6914600777209583E-3</v>
      </c>
      <c r="P128" s="368"/>
      <c r="Q128" s="370">
        <v>6.3999655764124478E-3</v>
      </c>
    </row>
    <row r="129" spans="1:17">
      <c r="A129" s="71">
        <f>A128+1</f>
        <v>81</v>
      </c>
      <c r="B129" s="67"/>
      <c r="C129" s="67" t="s">
        <v>1006</v>
      </c>
      <c r="D129" s="67"/>
      <c r="E129" s="80"/>
      <c r="F129" s="80"/>
      <c r="G129" s="80"/>
      <c r="H129" s="80"/>
      <c r="I129" s="80"/>
      <c r="J129" s="80"/>
      <c r="K129" s="80"/>
      <c r="L129" s="80"/>
      <c r="M129" s="362"/>
      <c r="N129" s="67"/>
      <c r="O129" s="370">
        <v>6.1559805392303263E-3</v>
      </c>
      <c r="P129" s="368"/>
      <c r="Q129" s="370">
        <v>2.0920949343566E-2</v>
      </c>
    </row>
    <row r="130" spans="1:17">
      <c r="A130" s="71"/>
      <c r="B130" s="67"/>
      <c r="C130" s="67"/>
      <c r="D130" s="67"/>
      <c r="E130" s="71"/>
      <c r="F130" s="71"/>
      <c r="G130" s="71"/>
      <c r="H130" s="71"/>
      <c r="I130" s="71"/>
      <c r="J130" s="71"/>
      <c r="K130" s="71"/>
      <c r="L130" s="71"/>
      <c r="M130" s="362"/>
      <c r="N130" s="71"/>
      <c r="O130" s="372"/>
      <c r="P130" s="372"/>
      <c r="Q130" s="368"/>
    </row>
    <row r="131" spans="1:17" ht="15.6">
      <c r="A131" s="71"/>
      <c r="B131" s="67"/>
      <c r="C131" s="76" t="s">
        <v>1023</v>
      </c>
      <c r="D131" s="67"/>
      <c r="E131" s="67" t="s">
        <v>1024</v>
      </c>
      <c r="F131" s="67"/>
      <c r="G131" s="67"/>
      <c r="H131" s="67"/>
      <c r="I131" s="67"/>
      <c r="J131" s="67"/>
      <c r="K131" s="67"/>
      <c r="L131" s="67"/>
      <c r="M131" s="362"/>
      <c r="N131" s="67"/>
      <c r="O131" s="368"/>
      <c r="P131" s="368"/>
      <c r="Q131" s="368"/>
    </row>
    <row r="132" spans="1:17">
      <c r="A132" s="71">
        <f>A129+1</f>
        <v>82</v>
      </c>
      <c r="B132" s="67"/>
      <c r="C132" s="67" t="s">
        <v>998</v>
      </c>
      <c r="D132" s="67"/>
      <c r="E132" s="81">
        <v>246138.6744324264</v>
      </c>
      <c r="F132" s="71"/>
      <c r="G132" s="361">
        <v>2.4672786056345193</v>
      </c>
      <c r="H132" s="71"/>
      <c r="I132" s="81">
        <v>250448.32000042638</v>
      </c>
      <c r="J132" s="71"/>
      <c r="K132" s="361">
        <v>2.5104782219983961</v>
      </c>
      <c r="L132" s="77"/>
      <c r="M132" s="362">
        <f>I132-E132</f>
        <v>4309.6455679999781</v>
      </c>
      <c r="N132" s="77"/>
      <c r="O132" s="325">
        <f>M132/E132</f>
        <v>1.7509014290166436E-2</v>
      </c>
      <c r="P132" s="327"/>
      <c r="Q132" s="325">
        <f>O132</f>
        <v>1.7509014290166436E-2</v>
      </c>
    </row>
    <row r="133" spans="1:17">
      <c r="A133" s="71">
        <f>A132+1</f>
        <v>83</v>
      </c>
      <c r="B133" s="67"/>
      <c r="C133" s="67" t="s">
        <v>999</v>
      </c>
      <c r="D133" s="67"/>
      <c r="E133" s="81">
        <v>1236041.2680000002</v>
      </c>
      <c r="F133" s="363"/>
      <c r="G133" s="361">
        <v>12.39</v>
      </c>
      <c r="H133" s="77"/>
      <c r="I133" s="81">
        <v>1236041.2680000002</v>
      </c>
      <c r="J133" s="363"/>
      <c r="K133" s="361">
        <v>12.39</v>
      </c>
      <c r="L133" s="77"/>
      <c r="M133" s="362">
        <f>I133-E133</f>
        <v>0</v>
      </c>
      <c r="N133" s="77"/>
      <c r="O133" s="326">
        <f>IFERROR(M133/E133,"100.0%")</f>
        <v>0</v>
      </c>
      <c r="P133" s="327"/>
      <c r="Q133" s="326">
        <v>0</v>
      </c>
    </row>
    <row r="134" spans="1:17">
      <c r="A134" s="71">
        <f>A133+1</f>
        <v>84</v>
      </c>
      <c r="B134" s="67"/>
      <c r="C134" s="67" t="s">
        <v>1000</v>
      </c>
      <c r="D134" s="67"/>
      <c r="E134" s="81">
        <v>472975.43119737372</v>
      </c>
      <c r="F134" s="363"/>
      <c r="G134" s="361">
        <v>4.7410760014652356</v>
      </c>
      <c r="H134" s="77"/>
      <c r="I134" s="81">
        <v>473184.9297173738</v>
      </c>
      <c r="J134" s="363"/>
      <c r="K134" s="361">
        <v>4.7431760014652369</v>
      </c>
      <c r="L134" s="77"/>
      <c r="M134" s="362">
        <f>I134-E134</f>
        <v>209.49852000008104</v>
      </c>
      <c r="N134" s="77"/>
      <c r="O134" s="326">
        <f>IFERROR(M134/E134,"100.0%")</f>
        <v>4.4293742588218463E-4</v>
      </c>
      <c r="P134" s="327"/>
      <c r="Q134" s="325">
        <f>O134</f>
        <v>4.4293742588218463E-4</v>
      </c>
    </row>
    <row r="135" spans="1:17">
      <c r="A135" s="71">
        <f>A134+1</f>
        <v>85</v>
      </c>
      <c r="B135" s="67"/>
      <c r="C135" s="67" t="s">
        <v>1001</v>
      </c>
      <c r="D135" s="67"/>
      <c r="E135" s="81">
        <v>1169143.7301902529</v>
      </c>
      <c r="F135" s="71"/>
      <c r="G135" s="361">
        <v>11.719423284706409</v>
      </c>
      <c r="H135" s="71"/>
      <c r="I135" s="81">
        <v>1169273.4197502525</v>
      </c>
      <c r="J135" s="71"/>
      <c r="K135" s="361">
        <v>11.720723284706404</v>
      </c>
      <c r="L135" s="77"/>
      <c r="M135" s="362">
        <f>I135-E135</f>
        <v>129.68955999962054</v>
      </c>
      <c r="N135" s="67"/>
      <c r="O135" s="325">
        <f>M135/E135</f>
        <v>1.1092696017667252E-4</v>
      </c>
      <c r="P135" s="327"/>
      <c r="Q135" s="325">
        <f>O135</f>
        <v>1.1092696017667252E-4</v>
      </c>
    </row>
    <row r="136" spans="1:17">
      <c r="A136" s="71">
        <f>A135+1</f>
        <v>86</v>
      </c>
      <c r="B136" s="67"/>
      <c r="C136" s="67" t="s">
        <v>1002</v>
      </c>
      <c r="D136" s="67"/>
      <c r="E136" s="364">
        <f>SUM(E132:E135)</f>
        <v>3124299.1038200529</v>
      </c>
      <c r="F136" s="71"/>
      <c r="G136" s="365">
        <v>31.317777891806166</v>
      </c>
      <c r="H136" s="71"/>
      <c r="I136" s="364">
        <f>SUM(I132:I135)</f>
        <v>3128947.9374680528</v>
      </c>
      <c r="J136" s="71"/>
      <c r="K136" s="365">
        <v>31.364377508170037</v>
      </c>
      <c r="L136" s="77"/>
      <c r="M136" s="366">
        <f>SUM(M132:M135)</f>
        <v>4648.8336479996797</v>
      </c>
      <c r="N136" s="67"/>
      <c r="O136" s="367">
        <f>M136/E136</f>
        <v>1.487960497224991E-3</v>
      </c>
      <c r="P136" s="368"/>
      <c r="Q136" s="367">
        <f>(M132+M135+M134)/(E132+E135+E134)</f>
        <v>2.4619697372952956E-3</v>
      </c>
    </row>
    <row r="137" spans="1:17">
      <c r="A137" s="71"/>
      <c r="B137" s="67"/>
      <c r="C137" s="67"/>
      <c r="D137" s="67"/>
      <c r="E137" s="81"/>
      <c r="F137" s="71"/>
      <c r="G137" s="77"/>
      <c r="H137" s="71"/>
      <c r="I137" s="81"/>
      <c r="J137" s="71"/>
      <c r="K137" s="77"/>
      <c r="L137" s="77"/>
      <c r="M137" s="362"/>
      <c r="N137" s="67"/>
      <c r="O137" s="368"/>
      <c r="P137" s="368"/>
      <c r="Q137" s="368"/>
    </row>
    <row r="138" spans="1:17">
      <c r="A138" s="71">
        <f>A136+1</f>
        <v>87</v>
      </c>
      <c r="B138" s="67"/>
      <c r="C138" s="67" t="s">
        <v>1003</v>
      </c>
      <c r="D138" s="67"/>
      <c r="E138" s="364">
        <v>3124428.7933800528</v>
      </c>
      <c r="F138" s="71"/>
      <c r="G138" s="369">
        <v>31.319077891806163</v>
      </c>
      <c r="H138" s="71"/>
      <c r="I138" s="364">
        <v>3128947.9374680528</v>
      </c>
      <c r="J138" s="71"/>
      <c r="K138" s="369">
        <v>31.364377508170037</v>
      </c>
      <c r="L138" s="77"/>
      <c r="M138" s="366">
        <v>4519.1440880000591</v>
      </c>
      <c r="N138" s="67"/>
      <c r="O138" s="370">
        <v>1.4463904882630347E-3</v>
      </c>
      <c r="P138" s="368"/>
      <c r="Q138" s="370">
        <v>2.3931232478834269E-3</v>
      </c>
    </row>
    <row r="139" spans="1:17">
      <c r="A139" s="71">
        <f>A138+1</f>
        <v>88</v>
      </c>
      <c r="B139" s="67"/>
      <c r="C139" s="67" t="s">
        <v>1004</v>
      </c>
      <c r="D139" s="67"/>
      <c r="E139" s="80"/>
      <c r="F139" s="80"/>
      <c r="G139" s="80"/>
      <c r="H139" s="80"/>
      <c r="I139" s="80"/>
      <c r="J139" s="80"/>
      <c r="K139" s="80"/>
      <c r="L139" s="80"/>
      <c r="M139" s="362"/>
      <c r="N139" s="67"/>
      <c r="O139" s="370">
        <v>2.3113989552708248E-3</v>
      </c>
      <c r="P139" s="368"/>
      <c r="Q139" s="370">
        <v>6.2843212956338731E-3</v>
      </c>
    </row>
    <row r="140" spans="1:17">
      <c r="A140" s="71">
        <f>A139+1</f>
        <v>89</v>
      </c>
      <c r="B140" s="67"/>
      <c r="C140" s="67" t="s">
        <v>1005</v>
      </c>
      <c r="D140" s="67"/>
      <c r="E140" s="364">
        <v>2743627.3735427693</v>
      </c>
      <c r="F140" s="71"/>
      <c r="G140" s="369">
        <v>27.501948388178665</v>
      </c>
      <c r="H140" s="71"/>
      <c r="I140" s="364">
        <v>2749573.1027907692</v>
      </c>
      <c r="J140" s="71"/>
      <c r="K140" s="369">
        <v>27.561548004542541</v>
      </c>
      <c r="L140" s="77"/>
      <c r="M140" s="366">
        <v>5945.7292479999596</v>
      </c>
      <c r="N140" s="67"/>
      <c r="O140" s="370">
        <v>2.1671052364237078E-3</v>
      </c>
      <c r="P140" s="368"/>
      <c r="Q140" s="370">
        <v>3.9438737370555334E-3</v>
      </c>
    </row>
    <row r="141" spans="1:17">
      <c r="A141" s="71">
        <f>A140+1</f>
        <v>90</v>
      </c>
      <c r="B141" s="67"/>
      <c r="C141" s="67" t="s">
        <v>1006</v>
      </c>
      <c r="D141" s="67"/>
      <c r="E141" s="80"/>
      <c r="F141" s="80"/>
      <c r="G141" s="80"/>
      <c r="H141" s="80"/>
      <c r="I141" s="80"/>
      <c r="J141" s="80"/>
      <c r="K141" s="80"/>
      <c r="L141" s="80"/>
      <c r="M141" s="362"/>
      <c r="N141" s="67"/>
      <c r="O141" s="370">
        <v>3.7766153117455466E-3</v>
      </c>
      <c r="P141" s="368"/>
      <c r="Q141" s="370">
        <v>1.7574656516564705E-2</v>
      </c>
    </row>
    <row r="142" spans="1:17">
      <c r="A142" s="71"/>
      <c r="B142" s="67"/>
      <c r="C142" s="67"/>
      <c r="D142" s="67"/>
      <c r="E142" s="71"/>
      <c r="F142" s="71"/>
      <c r="G142" s="71"/>
      <c r="H142" s="71"/>
      <c r="I142" s="71"/>
      <c r="J142" s="71"/>
      <c r="K142" s="71"/>
      <c r="L142" s="71"/>
      <c r="M142" s="362"/>
      <c r="N142" s="71"/>
      <c r="O142" s="372"/>
      <c r="P142" s="372"/>
      <c r="Q142" s="372"/>
    </row>
    <row r="143" spans="1:17" ht="15.6">
      <c r="A143" s="71"/>
      <c r="B143" s="67"/>
      <c r="C143" s="76" t="s">
        <v>1025</v>
      </c>
      <c r="D143" s="67"/>
      <c r="E143" s="67" t="s">
        <v>1026</v>
      </c>
      <c r="F143" s="67"/>
      <c r="G143" s="67"/>
      <c r="H143" s="71"/>
      <c r="I143" s="71"/>
      <c r="J143" s="71"/>
      <c r="K143" s="71"/>
      <c r="L143" s="71"/>
      <c r="M143" s="362"/>
      <c r="N143" s="71"/>
      <c r="O143" s="372"/>
      <c r="P143" s="372"/>
      <c r="Q143" s="372"/>
    </row>
    <row r="144" spans="1:17">
      <c r="A144" s="71">
        <f>A141+1</f>
        <v>91</v>
      </c>
      <c r="B144" s="67"/>
      <c r="C144" s="67" t="s">
        <v>998</v>
      </c>
      <c r="D144" s="67"/>
      <c r="E144" s="81">
        <v>298176.00606884196</v>
      </c>
      <c r="F144" s="71"/>
      <c r="G144" s="361">
        <v>2.988897248427941</v>
      </c>
      <c r="H144" s="71"/>
      <c r="I144" s="81">
        <v>303907.31361784192</v>
      </c>
      <c r="J144" s="71"/>
      <c r="K144" s="361">
        <v>3.0463475093961061</v>
      </c>
      <c r="L144" s="77"/>
      <c r="M144" s="362">
        <f>I144-E144</f>
        <v>5731.307548999961</v>
      </c>
      <c r="N144" s="77"/>
      <c r="O144" s="325">
        <f>M144/E144</f>
        <v>1.9221223144550183E-2</v>
      </c>
      <c r="P144" s="327"/>
      <c r="Q144" s="325">
        <f>O144</f>
        <v>1.9221223144550183E-2</v>
      </c>
    </row>
    <row r="145" spans="1:17">
      <c r="A145" s="71">
        <f>A144+1</f>
        <v>92</v>
      </c>
      <c r="B145" s="67"/>
      <c r="C145" s="67" t="s">
        <v>999</v>
      </c>
      <c r="D145" s="67"/>
      <c r="E145" s="81">
        <v>1236041.3919000002</v>
      </c>
      <c r="F145" s="363"/>
      <c r="G145" s="361">
        <v>12.39</v>
      </c>
      <c r="H145" s="77"/>
      <c r="I145" s="81">
        <v>1236041.3919000002</v>
      </c>
      <c r="J145" s="363"/>
      <c r="K145" s="361">
        <v>12.39</v>
      </c>
      <c r="L145" s="77"/>
      <c r="M145" s="362">
        <f>I145-E145</f>
        <v>0</v>
      </c>
      <c r="N145" s="77"/>
      <c r="O145" s="326">
        <f>IFERROR(M145/E145,"100.0%")</f>
        <v>0</v>
      </c>
      <c r="P145" s="327"/>
      <c r="Q145" s="326">
        <v>0</v>
      </c>
    </row>
    <row r="146" spans="1:17">
      <c r="A146" s="71">
        <f>A145+1</f>
        <v>93</v>
      </c>
      <c r="B146" s="67"/>
      <c r="C146" s="67" t="s">
        <v>1000</v>
      </c>
      <c r="D146" s="67"/>
      <c r="E146" s="81">
        <v>472975.4786081338</v>
      </c>
      <c r="F146" s="363"/>
      <c r="G146" s="361">
        <v>4.7410760014652364</v>
      </c>
      <c r="H146" s="77"/>
      <c r="I146" s="81">
        <v>473184.9771491338</v>
      </c>
      <c r="J146" s="363"/>
      <c r="K146" s="361">
        <v>4.7431760014652369</v>
      </c>
      <c r="L146" s="77"/>
      <c r="M146" s="362">
        <f>I146-E146</f>
        <v>209.49854100000812</v>
      </c>
      <c r="N146" s="77"/>
      <c r="O146" s="326">
        <f>IFERROR(M146/E146,"100.0%")</f>
        <v>4.429374258820304E-4</v>
      </c>
      <c r="P146" s="327"/>
      <c r="Q146" s="325">
        <f>O146</f>
        <v>4.429374258820304E-4</v>
      </c>
    </row>
    <row r="147" spans="1:17">
      <c r="A147" s="71">
        <f>A146+1</f>
        <v>94</v>
      </c>
      <c r="B147" s="67"/>
      <c r="C147" s="67" t="s">
        <v>1001</v>
      </c>
      <c r="D147" s="67"/>
      <c r="E147" s="81">
        <v>1169143.8473844856</v>
      </c>
      <c r="F147" s="71"/>
      <c r="G147" s="361">
        <v>11.719423284706407</v>
      </c>
      <c r="H147" s="71"/>
      <c r="I147" s="81">
        <v>1169273.5369574854</v>
      </c>
      <c r="J147" s="71"/>
      <c r="K147" s="361">
        <v>11.720723284706404</v>
      </c>
      <c r="L147" s="77"/>
      <c r="M147" s="362">
        <f>I147-E147</f>
        <v>129.68957299971953</v>
      </c>
      <c r="N147" s="67"/>
      <c r="O147" s="325">
        <f>M147/E147</f>
        <v>1.109269601767572E-4</v>
      </c>
      <c r="P147" s="327"/>
      <c r="Q147" s="325">
        <f>O147</f>
        <v>1.109269601767572E-4</v>
      </c>
    </row>
    <row r="148" spans="1:17">
      <c r="A148" s="71">
        <f>A147+1</f>
        <v>95</v>
      </c>
      <c r="B148" s="67"/>
      <c r="C148" s="67" t="s">
        <v>1002</v>
      </c>
      <c r="D148" s="67"/>
      <c r="E148" s="364">
        <f>SUM(E144:E147)</f>
        <v>3176336.7239614613</v>
      </c>
      <c r="F148" s="71"/>
      <c r="G148" s="365">
        <v>31.839396534599583</v>
      </c>
      <c r="H148" s="71"/>
      <c r="I148" s="364">
        <f>SUM(I144:I147)</f>
        <v>3182407.2196244611</v>
      </c>
      <c r="J148" s="71"/>
      <c r="K148" s="365">
        <v>31.90024679556775</v>
      </c>
      <c r="L148" s="77"/>
      <c r="M148" s="366">
        <f>SUM(M144:M147)</f>
        <v>6070.4956629996886</v>
      </c>
      <c r="N148" s="67"/>
      <c r="O148" s="367">
        <f>M148/E148</f>
        <v>1.9111625090644333E-3</v>
      </c>
      <c r="P148" s="368"/>
      <c r="Q148" s="367">
        <f>(M144+M147+M146)/(E144+E147+E146)</f>
        <v>3.1286451926625558E-3</v>
      </c>
    </row>
    <row r="149" spans="1:17">
      <c r="A149" s="71"/>
      <c r="B149" s="67"/>
      <c r="C149" s="67"/>
      <c r="D149" s="67"/>
      <c r="E149" s="81"/>
      <c r="F149" s="71"/>
      <c r="G149" s="77"/>
      <c r="H149" s="71"/>
      <c r="I149" s="81"/>
      <c r="J149" s="71"/>
      <c r="K149" s="77"/>
      <c r="L149" s="77"/>
      <c r="M149" s="362"/>
      <c r="N149" s="67"/>
      <c r="O149" s="368"/>
      <c r="P149" s="368"/>
      <c r="Q149" s="368"/>
    </row>
    <row r="150" spans="1:17">
      <c r="A150" s="71">
        <f>A148+1</f>
        <v>96</v>
      </c>
      <c r="B150" s="67"/>
      <c r="C150" s="67" t="s">
        <v>1003</v>
      </c>
      <c r="D150" s="67"/>
      <c r="E150" s="364">
        <v>3176466.4135344615</v>
      </c>
      <c r="F150" s="71"/>
      <c r="G150" s="369">
        <v>31.840696534599584</v>
      </c>
      <c r="H150" s="71"/>
      <c r="I150" s="364">
        <v>3182407.2196244611</v>
      </c>
      <c r="J150" s="71"/>
      <c r="K150" s="369">
        <v>31.90024679556775</v>
      </c>
      <c r="L150" s="77"/>
      <c r="M150" s="366">
        <v>5940.8060899999691</v>
      </c>
      <c r="N150" s="67"/>
      <c r="O150" s="370">
        <v>1.8702562270726548E-3</v>
      </c>
      <c r="P150" s="368"/>
      <c r="Q150" s="370">
        <v>3.0616004348345818E-3</v>
      </c>
    </row>
    <row r="151" spans="1:17">
      <c r="A151" s="71">
        <f>A150+1</f>
        <v>97</v>
      </c>
      <c r="B151" s="67"/>
      <c r="C151" s="67" t="s">
        <v>1004</v>
      </c>
      <c r="D151" s="67"/>
      <c r="E151" s="80"/>
      <c r="F151" s="80"/>
      <c r="G151" s="80"/>
      <c r="H151" s="80"/>
      <c r="I151" s="80"/>
      <c r="J151" s="80"/>
      <c r="K151" s="80"/>
      <c r="L151" s="80"/>
      <c r="M151" s="362"/>
      <c r="N151" s="67"/>
      <c r="O151" s="370">
        <v>2.9597584563628454E-3</v>
      </c>
      <c r="P151" s="368"/>
      <c r="Q151" s="370">
        <v>7.7038120369935965E-3</v>
      </c>
    </row>
    <row r="152" spans="1:17">
      <c r="A152" s="71">
        <f>A151+1</f>
        <v>98</v>
      </c>
      <c r="B152" s="67"/>
      <c r="C152" s="67" t="s">
        <v>1005</v>
      </c>
      <c r="D152" s="67"/>
      <c r="E152" s="364">
        <v>2795664.9555258825</v>
      </c>
      <c r="F152" s="71"/>
      <c r="G152" s="369">
        <v>28.023567030972085</v>
      </c>
      <c r="H152" s="71"/>
      <c r="I152" s="364">
        <v>2803032.3469188828</v>
      </c>
      <c r="J152" s="71"/>
      <c r="K152" s="369">
        <v>28.097417291940253</v>
      </c>
      <c r="L152" s="77"/>
      <c r="M152" s="366">
        <v>7367.3913929999544</v>
      </c>
      <c r="N152" s="67"/>
      <c r="O152" s="370">
        <v>2.6352912492026786E-3</v>
      </c>
      <c r="P152" s="368"/>
      <c r="Q152" s="370">
        <v>4.7238266751189082E-3</v>
      </c>
    </row>
    <row r="153" spans="1:17">
      <c r="A153" s="71">
        <f>A152+1</f>
        <v>99</v>
      </c>
      <c r="B153" s="67"/>
      <c r="C153" s="67" t="s">
        <v>1006</v>
      </c>
      <c r="D153" s="67"/>
      <c r="E153" s="80"/>
      <c r="F153" s="80"/>
      <c r="G153" s="80"/>
      <c r="H153" s="80"/>
      <c r="I153" s="80"/>
      <c r="J153" s="80"/>
      <c r="K153" s="80"/>
      <c r="L153" s="80"/>
      <c r="M153" s="362"/>
      <c r="N153" s="67"/>
      <c r="O153" s="370">
        <v>4.5299005570780572E-3</v>
      </c>
      <c r="P153" s="368"/>
      <c r="Q153" s="370">
        <v>1.8873807838262462E-2</v>
      </c>
    </row>
    <row r="154" spans="1:17">
      <c r="A154" s="71"/>
      <c r="B154" s="67"/>
      <c r="C154" s="67"/>
      <c r="D154" s="67"/>
      <c r="E154" s="80"/>
      <c r="F154" s="80"/>
      <c r="G154" s="80"/>
      <c r="H154" s="80"/>
      <c r="I154" s="80"/>
      <c r="J154" s="80"/>
      <c r="K154" s="80"/>
      <c r="L154" s="80"/>
      <c r="M154" s="362"/>
      <c r="N154" s="67"/>
      <c r="O154" s="327"/>
      <c r="P154" s="327"/>
      <c r="Q154" s="327"/>
    </row>
    <row r="155" spans="1:17" ht="15.6">
      <c r="A155" s="71"/>
      <c r="B155" s="67"/>
      <c r="C155" s="76" t="s">
        <v>1027</v>
      </c>
      <c r="D155" s="67"/>
      <c r="E155" s="67" t="s">
        <v>1028</v>
      </c>
      <c r="F155" s="67"/>
      <c r="G155" s="67"/>
      <c r="H155" s="71"/>
      <c r="I155" s="71"/>
      <c r="J155" s="71"/>
      <c r="K155" s="71"/>
      <c r="L155" s="71"/>
      <c r="M155" s="362"/>
      <c r="N155" s="71"/>
      <c r="O155" s="372"/>
      <c r="P155" s="372"/>
      <c r="Q155" s="372"/>
    </row>
    <row r="156" spans="1:17">
      <c r="A156" s="71">
        <f>A153+1</f>
        <v>100</v>
      </c>
      <c r="B156" s="67"/>
      <c r="C156" s="67" t="s">
        <v>998</v>
      </c>
      <c r="D156" s="67"/>
      <c r="E156" s="81">
        <v>90009.001559342447</v>
      </c>
      <c r="F156" s="71"/>
      <c r="G156" s="361">
        <v>2.0128996421498941</v>
      </c>
      <c r="H156" s="71"/>
      <c r="I156" s="81">
        <v>97767.663370342445</v>
      </c>
      <c r="J156" s="71"/>
      <c r="K156" s="361">
        <v>2.186409039125345</v>
      </c>
      <c r="L156" s="77"/>
      <c r="M156" s="362">
        <f>I156-E156</f>
        <v>7758.6618109999981</v>
      </c>
      <c r="N156" s="77"/>
      <c r="O156" s="325">
        <f>M156/E156</f>
        <v>8.6198732088865068E-2</v>
      </c>
      <c r="P156" s="327"/>
      <c r="Q156" s="325">
        <f>O156</f>
        <v>8.6198732088865068E-2</v>
      </c>
    </row>
    <row r="157" spans="1:17">
      <c r="A157" s="71">
        <f>A156+1</f>
        <v>101</v>
      </c>
      <c r="B157" s="67"/>
      <c r="C157" s="67" t="s">
        <v>999</v>
      </c>
      <c r="D157" s="67"/>
      <c r="E157" s="81">
        <v>554032.35510000004</v>
      </c>
      <c r="F157" s="363"/>
      <c r="G157" s="361">
        <v>12.39</v>
      </c>
      <c r="H157" s="77"/>
      <c r="I157" s="81">
        <v>554032.35510000004</v>
      </c>
      <c r="J157" s="363"/>
      <c r="K157" s="361">
        <v>12.39</v>
      </c>
      <c r="L157" s="77"/>
      <c r="M157" s="362">
        <f>I157-E157</f>
        <v>0</v>
      </c>
      <c r="N157" s="77"/>
      <c r="O157" s="326">
        <f>IFERROR(M157/E157,"100.0%")</f>
        <v>0</v>
      </c>
      <c r="P157" s="327"/>
      <c r="Q157" s="326">
        <v>0</v>
      </c>
    </row>
    <row r="158" spans="1:17">
      <c r="A158" s="71">
        <f>A157+1</f>
        <v>102</v>
      </c>
      <c r="B158" s="67"/>
      <c r="C158" s="67" t="s">
        <v>1000</v>
      </c>
      <c r="D158" s="67"/>
      <c r="E158" s="81">
        <v>212002.42552868047</v>
      </c>
      <c r="F158" s="363"/>
      <c r="G158" s="361">
        <v>4.7410769932854251</v>
      </c>
      <c r="H158" s="77"/>
      <c r="I158" s="81">
        <v>212096.32931768047</v>
      </c>
      <c r="J158" s="363"/>
      <c r="K158" s="361">
        <v>4.7431769932854255</v>
      </c>
      <c r="L158" s="77"/>
      <c r="M158" s="362">
        <f>I158-E158</f>
        <v>93.903789000003599</v>
      </c>
      <c r="N158" s="77"/>
      <c r="O158" s="326">
        <f>IFERROR(M158/E158,"100.0%")</f>
        <v>4.4293733322074632E-4</v>
      </c>
      <c r="P158" s="327"/>
      <c r="Q158" s="325">
        <f>O158</f>
        <v>4.4293733322074632E-4</v>
      </c>
    </row>
    <row r="159" spans="1:17">
      <c r="A159" s="71">
        <f>A158+1</f>
        <v>103</v>
      </c>
      <c r="B159" s="67"/>
      <c r="C159" s="67" t="s">
        <v>1001</v>
      </c>
      <c r="D159" s="67"/>
      <c r="E159" s="81">
        <v>524046.78634702734</v>
      </c>
      <c r="F159" s="71"/>
      <c r="G159" s="361">
        <v>11.719423284706409</v>
      </c>
      <c r="H159" s="71"/>
      <c r="I159" s="81">
        <v>524104.91726402717</v>
      </c>
      <c r="J159" s="71"/>
      <c r="K159" s="361">
        <v>11.720723284706404</v>
      </c>
      <c r="L159" s="77"/>
      <c r="M159" s="362">
        <f>I159-E159</f>
        <v>58.130916999827605</v>
      </c>
      <c r="N159" s="67"/>
      <c r="O159" s="325">
        <f>M159/E159</f>
        <v>1.1092696017666812E-4</v>
      </c>
      <c r="P159" s="327"/>
      <c r="Q159" s="325">
        <f>O159</f>
        <v>1.1092696017666812E-4</v>
      </c>
    </row>
    <row r="160" spans="1:17">
      <c r="A160" s="71">
        <f>A159+1</f>
        <v>104</v>
      </c>
      <c r="B160" s="67"/>
      <c r="C160" s="67" t="s">
        <v>1002</v>
      </c>
      <c r="D160" s="67"/>
      <c r="E160" s="364">
        <f>SUM(E156:E159)</f>
        <v>1380090.5685350504</v>
      </c>
      <c r="F160" s="71"/>
      <c r="G160" s="365">
        <v>30.863399920141731</v>
      </c>
      <c r="H160" s="71"/>
      <c r="I160" s="364">
        <f>SUM(I156:I159)</f>
        <v>1388001.2650520501</v>
      </c>
      <c r="J160" s="71"/>
      <c r="K160" s="365">
        <v>31.040309317117178</v>
      </c>
      <c r="L160" s="77"/>
      <c r="M160" s="366">
        <f>SUM(M156:M159)</f>
        <v>7910.6965169998293</v>
      </c>
      <c r="N160" s="67"/>
      <c r="O160" s="367">
        <f>M160/E160</f>
        <v>5.7320125920409257E-3</v>
      </c>
      <c r="P160" s="368"/>
      <c r="Q160" s="367">
        <f>(M156+M159+M158)/(E156+E159+E158)</f>
        <v>9.5764395152059308E-3</v>
      </c>
    </row>
    <row r="161" spans="1:17">
      <c r="A161" s="71"/>
      <c r="B161" s="67"/>
      <c r="C161" s="67"/>
      <c r="D161" s="67"/>
      <c r="E161" s="81"/>
      <c r="F161" s="71"/>
      <c r="G161" s="77"/>
      <c r="H161" s="71"/>
      <c r="I161" s="81"/>
      <c r="J161" s="71"/>
      <c r="K161" s="77"/>
      <c r="L161" s="77"/>
      <c r="M161" s="362"/>
      <c r="N161" s="67"/>
      <c r="O161" s="368"/>
      <c r="P161" s="368"/>
      <c r="Q161" s="368"/>
    </row>
    <row r="162" spans="1:17">
      <c r="A162" s="71">
        <f>A160+1</f>
        <v>105</v>
      </c>
      <c r="B162" s="67"/>
      <c r="C162" s="67" t="s">
        <v>1003</v>
      </c>
      <c r="D162" s="67"/>
      <c r="E162" s="364">
        <v>1380148.69945205</v>
      </c>
      <c r="F162" s="71"/>
      <c r="G162" s="369">
        <v>30.864699920141721</v>
      </c>
      <c r="H162" s="71"/>
      <c r="I162" s="364">
        <v>1388001.2650520501</v>
      </c>
      <c r="J162" s="71"/>
      <c r="K162" s="369">
        <v>31.040309317117178</v>
      </c>
      <c r="L162" s="77"/>
      <c r="M162" s="366">
        <v>7852.5656000000017</v>
      </c>
      <c r="N162" s="67"/>
      <c r="O162" s="370">
        <v>5.6896518491939647E-3</v>
      </c>
      <c r="P162" s="368"/>
      <c r="Q162" s="370">
        <v>9.5053991531411034E-3</v>
      </c>
    </row>
    <row r="163" spans="1:17">
      <c r="A163" s="71">
        <f>A162+1</f>
        <v>106</v>
      </c>
      <c r="B163" s="67"/>
      <c r="C163" s="67" t="s">
        <v>1004</v>
      </c>
      <c r="D163" s="67"/>
      <c r="E163" s="80"/>
      <c r="F163" s="80"/>
      <c r="G163" s="80"/>
      <c r="H163" s="80"/>
      <c r="I163" s="80"/>
      <c r="J163" s="80"/>
      <c r="K163" s="80"/>
      <c r="L163" s="80"/>
      <c r="M163" s="362"/>
      <c r="N163" s="67"/>
      <c r="O163" s="370">
        <v>9.1730887641389945E-3</v>
      </c>
      <c r="P163" s="368"/>
      <c r="Q163" s="370">
        <v>2.6000889025008075E-2</v>
      </c>
    </row>
    <row r="164" spans="1:17">
      <c r="A164" s="71">
        <f>A163+1</f>
        <v>107</v>
      </c>
      <c r="B164" s="67"/>
      <c r="C164" s="67" t="s">
        <v>1005</v>
      </c>
      <c r="D164" s="67"/>
      <c r="E164" s="364">
        <v>1209461.5512243437</v>
      </c>
      <c r="F164" s="71"/>
      <c r="G164" s="369">
        <v>27.04756948168643</v>
      </c>
      <c r="H164" s="71"/>
      <c r="I164" s="364">
        <v>1212863.5583836925</v>
      </c>
      <c r="J164" s="71"/>
      <c r="K164" s="369">
        <v>27.123649638948589</v>
      </c>
      <c r="L164" s="77"/>
      <c r="M164" s="366">
        <v>3402.0071593486646</v>
      </c>
      <c r="N164" s="67"/>
      <c r="O164" s="370">
        <v>2.8128278703070772E-3</v>
      </c>
      <c r="P164" s="368"/>
      <c r="Q164" s="370">
        <v>5.190502924595471E-3</v>
      </c>
    </row>
    <row r="165" spans="1:17">
      <c r="A165" s="71">
        <f>A164+1</f>
        <v>108</v>
      </c>
      <c r="B165" s="67"/>
      <c r="C165" s="67" t="s">
        <v>1006</v>
      </c>
      <c r="D165" s="67"/>
      <c r="E165" s="80"/>
      <c r="F165" s="80"/>
      <c r="G165" s="80"/>
      <c r="H165" s="80"/>
      <c r="I165" s="80"/>
      <c r="J165" s="80"/>
      <c r="K165" s="80"/>
      <c r="L165" s="80"/>
      <c r="M165" s="373"/>
      <c r="N165" s="67"/>
      <c r="O165" s="370">
        <v>4.9638494628559283E-3</v>
      </c>
      <c r="P165" s="368"/>
      <c r="Q165" s="370">
        <v>2.5905393799780324E-2</v>
      </c>
    </row>
    <row r="166" spans="1:17">
      <c r="A166" s="71"/>
      <c r="B166" s="67"/>
      <c r="C166" s="67"/>
      <c r="D166" s="67"/>
      <c r="E166" s="71"/>
      <c r="F166" s="71"/>
      <c r="G166" s="71"/>
      <c r="H166" s="71"/>
      <c r="I166" s="71"/>
      <c r="J166" s="71"/>
      <c r="K166" s="71"/>
      <c r="L166" s="71"/>
      <c r="M166" s="373"/>
      <c r="N166" s="71"/>
      <c r="O166" s="71"/>
      <c r="P166" s="71"/>
      <c r="Q166" s="71"/>
    </row>
    <row r="167" spans="1:17" ht="15.6">
      <c r="A167" s="71"/>
      <c r="B167" s="67"/>
      <c r="C167" s="76" t="s">
        <v>1029</v>
      </c>
      <c r="D167" s="67"/>
      <c r="E167" s="67" t="s">
        <v>1030</v>
      </c>
      <c r="F167" s="67"/>
      <c r="G167" s="67"/>
      <c r="H167" s="71"/>
      <c r="I167" s="71"/>
      <c r="J167" s="71"/>
      <c r="K167" s="71"/>
      <c r="L167" s="71"/>
      <c r="M167" s="70"/>
      <c r="N167" s="71"/>
      <c r="O167" s="71"/>
      <c r="P167" s="71"/>
      <c r="Q167" s="71"/>
    </row>
    <row r="168" spans="1:17">
      <c r="A168" s="71">
        <f>A165+1</f>
        <v>109</v>
      </c>
      <c r="B168" s="67"/>
      <c r="C168" s="67" t="s">
        <v>998</v>
      </c>
      <c r="D168" s="67"/>
      <c r="E168" s="81">
        <v>1226889.1906947468</v>
      </c>
      <c r="F168" s="71"/>
      <c r="G168" s="361">
        <v>1.7568940558701913</v>
      </c>
      <c r="H168" s="71"/>
      <c r="I168" s="81">
        <v>1182914.3288907467</v>
      </c>
      <c r="J168" s="71"/>
      <c r="K168" s="361">
        <v>1.6939224575407517</v>
      </c>
      <c r="L168" s="77"/>
      <c r="M168" s="362">
        <f>I168-E168</f>
        <v>-43974.861804000102</v>
      </c>
      <c r="N168" s="77"/>
      <c r="O168" s="325">
        <f>M168/E168</f>
        <v>-3.5842570084995688E-2</v>
      </c>
      <c r="P168" s="327"/>
      <c r="Q168" s="325">
        <f>O168</f>
        <v>-3.5842570084995688E-2</v>
      </c>
    </row>
    <row r="169" spans="1:17">
      <c r="A169" s="71">
        <f>A168+1</f>
        <v>110</v>
      </c>
      <c r="B169" s="67"/>
      <c r="C169" s="67" t="s">
        <v>999</v>
      </c>
      <c r="D169" s="67"/>
      <c r="E169" s="81">
        <v>8652290.1150000002</v>
      </c>
      <c r="F169" s="363"/>
      <c r="G169" s="361">
        <v>12.39</v>
      </c>
      <c r="H169" s="77"/>
      <c r="I169" s="81">
        <v>8652290.1150000002</v>
      </c>
      <c r="J169" s="363"/>
      <c r="K169" s="361">
        <v>12.39</v>
      </c>
      <c r="L169" s="77"/>
      <c r="M169" s="362">
        <f>I169-E169</f>
        <v>0</v>
      </c>
      <c r="N169" s="77"/>
      <c r="O169" s="326">
        <f>IFERROR(M169/E169,"100.0%")</f>
        <v>0</v>
      </c>
      <c r="P169" s="327"/>
      <c r="Q169" s="326">
        <v>0</v>
      </c>
    </row>
    <row r="170" spans="1:17">
      <c r="A170" s="71">
        <f>A169+1</f>
        <v>111</v>
      </c>
      <c r="B170" s="67"/>
      <c r="C170" s="67" t="s">
        <v>1000</v>
      </c>
      <c r="D170" s="67"/>
      <c r="E170" s="81">
        <v>3310829.1851055212</v>
      </c>
      <c r="F170" s="363"/>
      <c r="G170" s="361">
        <v>4.741076993285426</v>
      </c>
      <c r="H170" s="77"/>
      <c r="I170" s="81">
        <v>3312295.6749555212</v>
      </c>
      <c r="J170" s="363"/>
      <c r="K170" s="361">
        <v>4.7431769932854255</v>
      </c>
      <c r="L170" s="77"/>
      <c r="M170" s="362">
        <f>I170-E170</f>
        <v>1466.4898500000127</v>
      </c>
      <c r="N170" s="77"/>
      <c r="O170" s="326">
        <f>IFERROR(M170/E170,"100.0%")</f>
        <v>4.4293733322073314E-4</v>
      </c>
      <c r="P170" s="327"/>
      <c r="Q170" s="325">
        <f>O170</f>
        <v>4.4293733322073314E-4</v>
      </c>
    </row>
    <row r="171" spans="1:17">
      <c r="A171" s="71">
        <f>A170+1</f>
        <v>112</v>
      </c>
      <c r="B171" s="67"/>
      <c r="C171" s="67" t="s">
        <v>1001</v>
      </c>
      <c r="D171" s="67"/>
      <c r="E171" s="81">
        <v>8184007.2832740974</v>
      </c>
      <c r="F171" s="71"/>
      <c r="G171" s="361">
        <v>11.719423284706405</v>
      </c>
      <c r="H171" s="71"/>
      <c r="I171" s="81">
        <v>8184915.1103240959</v>
      </c>
      <c r="J171" s="71"/>
      <c r="K171" s="361">
        <v>11.720723284706404</v>
      </c>
      <c r="L171" s="77"/>
      <c r="M171" s="362">
        <f>I171-E171</f>
        <v>907.82704999856651</v>
      </c>
      <c r="N171" s="67"/>
      <c r="O171" s="325">
        <f>M171/E171</f>
        <v>1.1092696017682194E-4</v>
      </c>
      <c r="P171" s="327"/>
      <c r="Q171" s="325">
        <f>O171</f>
        <v>1.1092696017682194E-4</v>
      </c>
    </row>
    <row r="172" spans="1:17">
      <c r="A172" s="71">
        <f>A171+1</f>
        <v>113</v>
      </c>
      <c r="B172" s="67"/>
      <c r="C172" s="67" t="s">
        <v>1002</v>
      </c>
      <c r="D172" s="67"/>
      <c r="E172" s="364">
        <f>SUM(E168:E171)</f>
        <v>21374015.774074368</v>
      </c>
      <c r="F172" s="71"/>
      <c r="G172" s="365">
        <v>30.607394333862025</v>
      </c>
      <c r="H172" s="71"/>
      <c r="I172" s="364">
        <f>SUM(I168:I171)</f>
        <v>21332415.229170363</v>
      </c>
      <c r="J172" s="71"/>
      <c r="K172" s="365">
        <v>30.547822735532581</v>
      </c>
      <c r="L172" s="77"/>
      <c r="M172" s="366">
        <f>SUM(M168:M171)</f>
        <v>-41600.544904001523</v>
      </c>
      <c r="N172" s="67"/>
      <c r="O172" s="367">
        <f>M172/E172</f>
        <v>-1.9463139422990854E-3</v>
      </c>
      <c r="P172" s="368"/>
      <c r="Q172" s="367">
        <f>(M168+M171+M170)/(E168+E171+E170)</f>
        <v>-3.2700394599633571E-3</v>
      </c>
    </row>
    <row r="173" spans="1:17">
      <c r="A173" s="71"/>
      <c r="B173" s="67"/>
      <c r="C173" s="67"/>
      <c r="D173" s="67"/>
      <c r="E173" s="81"/>
      <c r="F173" s="71"/>
      <c r="G173" s="77"/>
      <c r="H173" s="71"/>
      <c r="I173" s="81"/>
      <c r="J173" s="71"/>
      <c r="K173" s="77"/>
      <c r="L173" s="77"/>
      <c r="M173" s="362"/>
      <c r="N173" s="67"/>
      <c r="O173" s="368"/>
      <c r="P173" s="368"/>
      <c r="Q173" s="368"/>
    </row>
    <row r="174" spans="1:17">
      <c r="A174" s="71">
        <f>A172+1</f>
        <v>114</v>
      </c>
      <c r="B174" s="67"/>
      <c r="C174" s="67" t="s">
        <v>1003</v>
      </c>
      <c r="D174" s="67"/>
      <c r="E174" s="364">
        <v>21374923.601124365</v>
      </c>
      <c r="F174" s="71"/>
      <c r="G174" s="369">
        <v>30.608694333862026</v>
      </c>
      <c r="H174" s="71"/>
      <c r="I174" s="364">
        <v>21332415.229170363</v>
      </c>
      <c r="J174" s="71"/>
      <c r="K174" s="369">
        <v>30.547822735532581</v>
      </c>
      <c r="L174" s="77"/>
      <c r="M174" s="366">
        <v>-42508.371954000089</v>
      </c>
      <c r="N174" s="67"/>
      <c r="O174" s="370">
        <v>-1.9887028719842562E-3</v>
      </c>
      <c r="P174" s="368"/>
      <c r="Q174" s="370">
        <v>-3.3411614034437784E-3</v>
      </c>
    </row>
    <row r="175" spans="1:17">
      <c r="A175" s="71">
        <f>A174+1</f>
        <v>115</v>
      </c>
      <c r="B175" s="67"/>
      <c r="C175" s="67" t="s">
        <v>1004</v>
      </c>
      <c r="D175" s="67"/>
      <c r="E175" s="80"/>
      <c r="F175" s="80"/>
      <c r="G175" s="80"/>
      <c r="H175" s="80"/>
      <c r="I175" s="80"/>
      <c r="J175" s="80"/>
      <c r="K175" s="80"/>
      <c r="L175" s="80"/>
      <c r="M175" s="362"/>
      <c r="N175" s="67"/>
      <c r="O175" s="370">
        <v>-3.2227706285139022E-3</v>
      </c>
      <c r="P175" s="368"/>
      <c r="Q175" s="370">
        <v>-9.3677854008521085E-3</v>
      </c>
    </row>
    <row r="176" spans="1:17">
      <c r="A176" s="71">
        <f>A175+1</f>
        <v>116</v>
      </c>
      <c r="B176" s="67"/>
      <c r="C176" s="67" t="s">
        <v>1005</v>
      </c>
      <c r="D176" s="67"/>
      <c r="E176" s="364">
        <v>18709312.627733536</v>
      </c>
      <c r="F176" s="71"/>
      <c r="G176" s="369">
        <v>26.791563895406728</v>
      </c>
      <c r="H176" s="71"/>
      <c r="I176" s="364">
        <v>18676790.353329536</v>
      </c>
      <c r="J176" s="71"/>
      <c r="K176" s="369">
        <v>26.744992297077285</v>
      </c>
      <c r="L176" s="77"/>
      <c r="M176" s="366">
        <v>-32522.274404000025</v>
      </c>
      <c r="N176" s="67"/>
      <c r="O176" s="370">
        <v>-1.7382933863530081E-3</v>
      </c>
      <c r="P176" s="368"/>
      <c r="Q176" s="370">
        <v>-3.2337875711049152E-3</v>
      </c>
    </row>
    <row r="177" spans="1:17">
      <c r="A177" s="71">
        <f>A176+1</f>
        <v>117</v>
      </c>
      <c r="B177" s="67"/>
      <c r="C177" s="67" t="s">
        <v>1006</v>
      </c>
      <c r="D177" s="67"/>
      <c r="E177" s="80"/>
      <c r="F177" s="80"/>
      <c r="G177" s="80"/>
      <c r="H177" s="80"/>
      <c r="I177" s="80"/>
      <c r="J177" s="80"/>
      <c r="K177" s="80"/>
      <c r="L177" s="80"/>
      <c r="M177" s="362"/>
      <c r="N177" s="67"/>
      <c r="O177" s="370">
        <v>-3.0901792098029113E-3</v>
      </c>
      <c r="P177" s="368"/>
      <c r="Q177" s="370">
        <v>-1.7372013145262509E-2</v>
      </c>
    </row>
    <row r="178" spans="1:17">
      <c r="A178" s="71"/>
      <c r="B178" s="67"/>
      <c r="C178" s="67"/>
      <c r="D178" s="67"/>
      <c r="E178" s="71"/>
      <c r="F178" s="71"/>
      <c r="G178" s="71"/>
      <c r="H178" s="71"/>
      <c r="I178" s="71"/>
      <c r="J178" s="71"/>
      <c r="K178" s="71"/>
      <c r="L178" s="71"/>
      <c r="M178" s="362"/>
      <c r="N178" s="71"/>
      <c r="O178" s="372"/>
      <c r="P178" s="372"/>
      <c r="Q178" s="372"/>
    </row>
    <row r="179" spans="1:17" ht="15.6">
      <c r="A179" s="71"/>
      <c r="B179" s="67"/>
      <c r="C179" s="76" t="s">
        <v>1031</v>
      </c>
      <c r="D179" s="67"/>
      <c r="E179" s="67" t="s">
        <v>1032</v>
      </c>
      <c r="F179" s="67"/>
      <c r="G179" s="67"/>
      <c r="H179" s="71"/>
      <c r="I179" s="71"/>
      <c r="J179" s="71"/>
      <c r="K179" s="71"/>
      <c r="L179" s="71"/>
      <c r="M179" s="362"/>
      <c r="N179" s="71"/>
      <c r="O179" s="372"/>
      <c r="P179" s="372"/>
      <c r="Q179" s="372"/>
    </row>
    <row r="180" spans="1:17">
      <c r="A180" s="71">
        <f>A177+1</f>
        <v>118</v>
      </c>
      <c r="B180" s="67"/>
      <c r="C180" s="67" t="s">
        <v>998</v>
      </c>
      <c r="D180" s="67"/>
      <c r="E180" s="81">
        <v>3153786.1676275972</v>
      </c>
      <c r="F180" s="363"/>
      <c r="G180" s="361">
        <v>1.5309641590425229</v>
      </c>
      <c r="H180" s="77"/>
      <c r="I180" s="81">
        <v>3240000.1808275972</v>
      </c>
      <c r="J180" s="363"/>
      <c r="K180" s="361">
        <v>1.5728156217609695</v>
      </c>
      <c r="L180" s="77"/>
      <c r="M180" s="362">
        <f>I180-E180</f>
        <v>86214.013199999928</v>
      </c>
      <c r="N180" s="77"/>
      <c r="O180" s="326">
        <f>IFERROR(M180/E180,"100.0%")</f>
        <v>2.7336670470862495E-2</v>
      </c>
      <c r="P180" s="327"/>
      <c r="Q180" s="326">
        <f>O180</f>
        <v>2.7336670470862495E-2</v>
      </c>
    </row>
    <row r="181" spans="1:17">
      <c r="A181" s="71">
        <f>A180+1</f>
        <v>119</v>
      </c>
      <c r="B181" s="67"/>
      <c r="C181" s="67" t="s">
        <v>999</v>
      </c>
      <c r="D181" s="67"/>
      <c r="E181" s="81">
        <v>25523400</v>
      </c>
      <c r="F181" s="363"/>
      <c r="G181" s="361">
        <v>12.39</v>
      </c>
      <c r="H181" s="77"/>
      <c r="I181" s="81">
        <v>25523400</v>
      </c>
      <c r="J181" s="363"/>
      <c r="K181" s="361">
        <v>12.39</v>
      </c>
      <c r="L181" s="77"/>
      <c r="M181" s="362">
        <f>I181-E181</f>
        <v>0</v>
      </c>
      <c r="N181" s="77"/>
      <c r="O181" s="326">
        <f>IFERROR(M181/E181,"100.0%")</f>
        <v>0</v>
      </c>
      <c r="P181" s="327"/>
      <c r="Q181" s="325">
        <f>O181</f>
        <v>0</v>
      </c>
    </row>
    <row r="182" spans="1:17">
      <c r="A182" s="71">
        <f>A181+1</f>
        <v>120</v>
      </c>
      <c r="B182" s="67"/>
      <c r="C182" s="67" t="s">
        <v>1001</v>
      </c>
      <c r="D182" s="67"/>
      <c r="E182" s="81">
        <v>24142011.966495201</v>
      </c>
      <c r="F182" s="71"/>
      <c r="G182" s="361">
        <v>11.719423284706409</v>
      </c>
      <c r="H182" s="71"/>
      <c r="I182" s="81">
        <v>24144689.96649519</v>
      </c>
      <c r="J182" s="71"/>
      <c r="K182" s="361">
        <v>11.720723284706402</v>
      </c>
      <c r="L182" s="77"/>
      <c r="M182" s="362">
        <f>I182-E182</f>
        <v>2677.9999999888241</v>
      </c>
      <c r="N182" s="67"/>
      <c r="O182" s="325">
        <f>M182/E182</f>
        <v>1.1092696017653415E-4</v>
      </c>
      <c r="P182" s="327"/>
      <c r="Q182" s="325">
        <f>O182</f>
        <v>1.1092696017653415E-4</v>
      </c>
    </row>
    <row r="183" spans="1:17">
      <c r="A183" s="71">
        <f>A182+1</f>
        <v>121</v>
      </c>
      <c r="B183" s="67"/>
      <c r="C183" s="67" t="s">
        <v>1002</v>
      </c>
      <c r="D183" s="67"/>
      <c r="E183" s="364">
        <f>SUM(E180:E182)</f>
        <v>52819198.134122796</v>
      </c>
      <c r="F183" s="71"/>
      <c r="G183" s="365">
        <v>25.640387443748931</v>
      </c>
      <c r="H183" s="71"/>
      <c r="I183" s="364">
        <f>SUM(I180:I182)</f>
        <v>52908090.147322789</v>
      </c>
      <c r="J183" s="71"/>
      <c r="K183" s="365">
        <v>25.683538906467373</v>
      </c>
      <c r="L183" s="77"/>
      <c r="M183" s="366">
        <f>SUM(M180:M182)</f>
        <v>88892.013199988753</v>
      </c>
      <c r="N183" s="67"/>
      <c r="O183" s="367">
        <f>M183/E183</f>
        <v>1.6829489341028414E-3</v>
      </c>
      <c r="P183" s="368"/>
      <c r="Q183" s="367">
        <f>(M182+M180)/(E182+E180)</f>
        <v>3.2566189405124524E-3</v>
      </c>
    </row>
    <row r="184" spans="1:17">
      <c r="A184" s="71"/>
      <c r="B184" s="67"/>
      <c r="C184" s="67"/>
      <c r="D184" s="67"/>
      <c r="E184" s="81"/>
      <c r="F184" s="71"/>
      <c r="G184" s="77"/>
      <c r="H184" s="71"/>
      <c r="I184" s="81"/>
      <c r="J184" s="71"/>
      <c r="K184" s="77"/>
      <c r="L184" s="77"/>
      <c r="M184" s="362"/>
      <c r="N184" s="67"/>
      <c r="O184" s="368"/>
      <c r="P184" s="368"/>
      <c r="Q184" s="368"/>
    </row>
    <row r="185" spans="1:17">
      <c r="A185" s="71">
        <f>A183+1</f>
        <v>122</v>
      </c>
      <c r="B185" s="67"/>
      <c r="C185" s="67" t="s">
        <v>1033</v>
      </c>
      <c r="D185" s="67"/>
      <c r="E185" s="364">
        <v>52821876.134122789</v>
      </c>
      <c r="F185" s="71"/>
      <c r="G185" s="369">
        <v>25.641687443748928</v>
      </c>
      <c r="H185" s="71"/>
      <c r="I185" s="364">
        <v>52908090.147322789</v>
      </c>
      <c r="J185" s="71"/>
      <c r="K185" s="369">
        <v>25.683538906467373</v>
      </c>
      <c r="L185" s="77"/>
      <c r="M185" s="366">
        <v>86214.013199999928</v>
      </c>
      <c r="N185" s="67"/>
      <c r="O185" s="370">
        <v>1.6321649193430656E-3</v>
      </c>
      <c r="P185" s="368"/>
      <c r="Q185" s="370">
        <v>3.1581987498647728E-3</v>
      </c>
    </row>
    <row r="186" spans="1:17">
      <c r="A186" s="71">
        <f>A185+1</f>
        <v>123</v>
      </c>
      <c r="B186" s="67"/>
      <c r="C186" s="67" t="s">
        <v>1034</v>
      </c>
      <c r="D186" s="67"/>
      <c r="E186" s="80"/>
      <c r="F186" s="80"/>
      <c r="G186" s="80"/>
      <c r="H186" s="80"/>
      <c r="I186" s="80"/>
      <c r="J186" s="80"/>
      <c r="K186" s="80"/>
      <c r="L186" s="80"/>
      <c r="M186" s="362"/>
      <c r="N186" s="67"/>
      <c r="O186" s="370">
        <v>3.0063623640077738E-3</v>
      </c>
      <c r="P186" s="368"/>
      <c r="Q186" s="370">
        <v>2.7336670470862495E-2</v>
      </c>
    </row>
    <row r="187" spans="1:17">
      <c r="A187" s="71"/>
      <c r="B187" s="67"/>
      <c r="C187" s="67"/>
      <c r="D187" s="67"/>
      <c r="E187" s="80"/>
      <c r="F187" s="80"/>
      <c r="G187" s="80"/>
      <c r="H187" s="80"/>
      <c r="I187" s="80"/>
      <c r="J187" s="80"/>
      <c r="K187" s="80"/>
      <c r="L187" s="80"/>
      <c r="M187" s="362"/>
      <c r="N187" s="80"/>
      <c r="O187" s="368"/>
      <c r="P187" s="368"/>
      <c r="Q187" s="368"/>
    </row>
    <row r="188" spans="1:17">
      <c r="A188" s="71"/>
      <c r="B188" s="67"/>
      <c r="C188" s="67"/>
      <c r="D188" s="67"/>
      <c r="E188" s="80"/>
      <c r="F188" s="80"/>
      <c r="G188" s="80"/>
      <c r="H188" s="80"/>
      <c r="I188" s="80"/>
      <c r="J188" s="80"/>
      <c r="K188" s="80"/>
      <c r="L188" s="80"/>
      <c r="M188" s="362"/>
      <c r="N188" s="80"/>
      <c r="O188" s="368"/>
      <c r="P188" s="368"/>
      <c r="Q188" s="368"/>
    </row>
    <row r="189" spans="1:17">
      <c r="A189" s="1184" t="s">
        <v>1018</v>
      </c>
      <c r="B189" s="1184"/>
      <c r="C189" s="1184"/>
      <c r="D189" s="1184"/>
      <c r="E189" s="1184"/>
      <c r="F189" s="1184"/>
      <c r="G189" s="1184"/>
      <c r="H189" s="1184"/>
      <c r="I189" s="1184"/>
      <c r="J189" s="1184"/>
      <c r="K189" s="1184"/>
      <c r="L189" s="1184"/>
      <c r="M189" s="1184"/>
      <c r="N189" s="1184"/>
      <c r="O189" s="1184"/>
      <c r="P189" s="1184"/>
      <c r="Q189" s="1184"/>
    </row>
    <row r="190" spans="1:17">
      <c r="A190" s="1184" t="s">
        <v>125</v>
      </c>
      <c r="B190" s="1184"/>
      <c r="C190" s="1184"/>
      <c r="D190" s="1184"/>
      <c r="E190" s="1184"/>
      <c r="F190" s="1184"/>
      <c r="G190" s="1184"/>
      <c r="H190" s="1184"/>
      <c r="I190" s="1184"/>
      <c r="J190" s="1184"/>
      <c r="K190" s="1184"/>
      <c r="L190" s="1184"/>
      <c r="M190" s="1184"/>
      <c r="N190" s="1184"/>
      <c r="O190" s="1184"/>
      <c r="P190" s="1184"/>
      <c r="Q190" s="1184"/>
    </row>
    <row r="191" spans="1:17">
      <c r="A191" s="86"/>
      <c r="B191" s="86"/>
      <c r="C191" s="86"/>
      <c r="D191" s="86"/>
      <c r="E191" s="86"/>
      <c r="F191" s="86"/>
      <c r="G191" s="86"/>
      <c r="H191" s="86"/>
      <c r="I191" s="86"/>
      <c r="J191" s="86"/>
      <c r="K191" s="86"/>
      <c r="L191" s="86"/>
      <c r="M191" s="86"/>
      <c r="N191" s="86"/>
      <c r="O191" s="86"/>
      <c r="P191" s="86"/>
      <c r="Q191" s="86"/>
    </row>
    <row r="192" spans="1:17">
      <c r="A192" s="71"/>
      <c r="B192" s="67"/>
      <c r="C192" s="67"/>
      <c r="D192" s="67"/>
      <c r="E192" s="1185" t="s">
        <v>985</v>
      </c>
      <c r="F192" s="1185"/>
      <c r="G192" s="1185"/>
      <c r="H192" s="67"/>
      <c r="I192" s="1185" t="s">
        <v>986</v>
      </c>
      <c r="J192" s="1185"/>
      <c r="K192" s="1185"/>
      <c r="L192" s="1185"/>
      <c r="M192" s="1185"/>
      <c r="N192" s="67"/>
      <c r="O192" s="1185" t="s">
        <v>987</v>
      </c>
      <c r="P192" s="1185"/>
      <c r="Q192" s="1185"/>
    </row>
    <row r="193" spans="1:17">
      <c r="A193" s="71"/>
      <c r="B193" s="67"/>
      <c r="C193" s="67"/>
      <c r="D193" s="67"/>
      <c r="E193" s="71"/>
      <c r="F193" s="71"/>
      <c r="G193" s="71"/>
      <c r="H193" s="67"/>
      <c r="I193" s="71"/>
      <c r="J193" s="71"/>
      <c r="K193" s="71"/>
      <c r="L193" s="71"/>
      <c r="M193" s="71" t="s">
        <v>988</v>
      </c>
      <c r="N193" s="67"/>
      <c r="O193" s="71" t="s">
        <v>989</v>
      </c>
      <c r="P193" s="71"/>
      <c r="Q193" s="71" t="s">
        <v>990</v>
      </c>
    </row>
    <row r="194" spans="1:17">
      <c r="A194" s="71" t="s">
        <v>56</v>
      </c>
      <c r="B194" s="67"/>
      <c r="C194" s="67"/>
      <c r="D194" s="67"/>
      <c r="E194" s="71" t="s">
        <v>988</v>
      </c>
      <c r="F194" s="71"/>
      <c r="G194" s="71" t="s">
        <v>991</v>
      </c>
      <c r="H194" s="67"/>
      <c r="I194" s="71" t="s">
        <v>988</v>
      </c>
      <c r="J194" s="71"/>
      <c r="K194" s="71" t="s">
        <v>991</v>
      </c>
      <c r="L194" s="71"/>
      <c r="M194" s="71" t="s">
        <v>845</v>
      </c>
      <c r="N194" s="67"/>
      <c r="O194" s="71" t="s">
        <v>992</v>
      </c>
      <c r="P194" s="67"/>
      <c r="Q194" s="71" t="s">
        <v>992</v>
      </c>
    </row>
    <row r="195" spans="1:17" ht="15.6">
      <c r="A195" s="74" t="s">
        <v>57</v>
      </c>
      <c r="B195" s="67"/>
      <c r="C195" s="360" t="s">
        <v>194</v>
      </c>
      <c r="D195" s="67"/>
      <c r="E195" s="74" t="s">
        <v>993</v>
      </c>
      <c r="F195" s="71"/>
      <c r="G195" s="74" t="s">
        <v>247</v>
      </c>
      <c r="H195" s="67"/>
      <c r="I195" s="74" t="s">
        <v>993</v>
      </c>
      <c r="J195" s="71"/>
      <c r="K195" s="74" t="s">
        <v>247</v>
      </c>
      <c r="L195" s="71"/>
      <c r="M195" s="74" t="s">
        <v>993</v>
      </c>
      <c r="N195" s="67"/>
      <c r="O195" s="74" t="s">
        <v>249</v>
      </c>
      <c r="P195" s="71"/>
      <c r="Q195" s="74" t="s">
        <v>249</v>
      </c>
    </row>
    <row r="196" spans="1:17">
      <c r="A196" s="71"/>
      <c r="B196" s="67"/>
      <c r="C196" s="67"/>
      <c r="D196" s="67"/>
      <c r="E196" s="71" t="s">
        <v>9</v>
      </c>
      <c r="F196" s="71"/>
      <c r="G196" s="71" t="s">
        <v>10</v>
      </c>
      <c r="H196" s="71"/>
      <c r="I196" s="71" t="s">
        <v>58</v>
      </c>
      <c r="J196" s="71"/>
      <c r="K196" s="71" t="s">
        <v>12</v>
      </c>
      <c r="L196" s="71"/>
      <c r="M196" s="71" t="s">
        <v>994</v>
      </c>
      <c r="N196" s="71"/>
      <c r="O196" s="71" t="s">
        <v>995</v>
      </c>
      <c r="P196" s="71"/>
      <c r="Q196" s="71" t="s">
        <v>209</v>
      </c>
    </row>
    <row r="197" spans="1:17">
      <c r="A197" s="71"/>
      <c r="B197" s="67"/>
      <c r="C197" s="67"/>
      <c r="D197" s="67"/>
      <c r="E197" s="80"/>
      <c r="F197" s="80"/>
      <c r="G197" s="80"/>
      <c r="H197" s="80"/>
      <c r="I197" s="80"/>
      <c r="J197" s="80"/>
      <c r="K197" s="80"/>
      <c r="L197" s="80"/>
      <c r="M197" s="362"/>
      <c r="N197" s="80"/>
      <c r="O197" s="368"/>
      <c r="P197" s="368"/>
      <c r="Q197" s="368"/>
    </row>
    <row r="198" spans="1:17" ht="15.6">
      <c r="A198" s="71"/>
      <c r="B198" s="67"/>
      <c r="C198" s="76" t="s">
        <v>1035</v>
      </c>
      <c r="D198" s="67"/>
      <c r="E198" s="1181" t="s">
        <v>1036</v>
      </c>
      <c r="F198" s="1181"/>
      <c r="G198" s="1181"/>
      <c r="H198" s="80"/>
      <c r="I198" s="80"/>
      <c r="J198" s="80"/>
      <c r="K198" s="80"/>
      <c r="L198" s="80"/>
      <c r="M198" s="362"/>
      <c r="N198" s="80"/>
      <c r="O198" s="368"/>
      <c r="P198" s="368"/>
      <c r="Q198" s="368"/>
    </row>
    <row r="199" spans="1:17">
      <c r="A199" s="71">
        <f>A186+1</f>
        <v>124</v>
      </c>
      <c r="B199" s="67"/>
      <c r="C199" s="67" t="s">
        <v>998</v>
      </c>
      <c r="D199" s="67"/>
      <c r="E199" s="81">
        <v>14401.047725797578</v>
      </c>
      <c r="F199" s="71"/>
      <c r="G199" s="361">
        <v>2.4059207617188347</v>
      </c>
      <c r="H199" s="71"/>
      <c r="I199" s="81">
        <v>22785.175135797585</v>
      </c>
      <c r="J199" s="71"/>
      <c r="K199" s="361">
        <v>3.8066206683291233</v>
      </c>
      <c r="L199" s="77"/>
      <c r="M199" s="362">
        <f>I199-E199</f>
        <v>8384.1274100000064</v>
      </c>
      <c r="N199" s="77"/>
      <c r="O199" s="325">
        <f>M199/E199</f>
        <v>0.58218871082420953</v>
      </c>
      <c r="P199" s="327"/>
      <c r="Q199" s="325">
        <f>O199</f>
        <v>0.58218871082420953</v>
      </c>
    </row>
    <row r="200" spans="1:17">
      <c r="A200" s="71">
        <f>A199+1</f>
        <v>125</v>
      </c>
      <c r="B200" s="67"/>
      <c r="C200" s="67" t="s">
        <v>999</v>
      </c>
      <c r="D200" s="67"/>
      <c r="E200" s="81">
        <v>74162.451300000001</v>
      </c>
      <c r="F200" s="363"/>
      <c r="G200" s="361">
        <v>12.39</v>
      </c>
      <c r="H200" s="77"/>
      <c r="I200" s="81">
        <v>74162.451300000001</v>
      </c>
      <c r="J200" s="363"/>
      <c r="K200" s="361">
        <v>12.39</v>
      </c>
      <c r="L200" s="77"/>
      <c r="M200" s="362">
        <f>I200-E200</f>
        <v>0</v>
      </c>
      <c r="N200" s="77"/>
      <c r="O200" s="326">
        <f>IFERROR(M200/E200,"100.0%")</f>
        <v>0</v>
      </c>
      <c r="P200" s="327"/>
      <c r="Q200" s="326">
        <v>0</v>
      </c>
    </row>
    <row r="201" spans="1:17">
      <c r="A201" s="71">
        <f>A200+1</f>
        <v>126</v>
      </c>
      <c r="B201" s="67"/>
      <c r="C201" s="67" t="s">
        <v>1000</v>
      </c>
      <c r="D201" s="67"/>
      <c r="E201" s="81">
        <v>23327.596776137518</v>
      </c>
      <c r="F201" s="363"/>
      <c r="G201" s="361">
        <v>3.8972407059088652</v>
      </c>
      <c r="H201" s="77"/>
      <c r="I201" s="81">
        <v>23340.166683137511</v>
      </c>
      <c r="J201" s="363"/>
      <c r="K201" s="361">
        <v>3.8993407059088643</v>
      </c>
      <c r="L201" s="77"/>
      <c r="M201" s="362">
        <f>I201-E201</f>
        <v>12.569906999993691</v>
      </c>
      <c r="N201" s="77"/>
      <c r="O201" s="326">
        <f>IFERROR(M201/E201,"100.0%")</f>
        <v>5.3884277581700221E-4</v>
      </c>
      <c r="P201" s="327"/>
      <c r="Q201" s="325">
        <f>O201</f>
        <v>5.3884277581700221E-4</v>
      </c>
    </row>
    <row r="202" spans="1:17">
      <c r="A202" s="71">
        <f>A201+1</f>
        <v>127</v>
      </c>
      <c r="B202" s="67"/>
      <c r="C202" s="67" t="s">
        <v>1001</v>
      </c>
      <c r="D202" s="67"/>
      <c r="E202" s="81">
        <v>70172.189186724907</v>
      </c>
      <c r="F202" s="71"/>
      <c r="G202" s="361">
        <v>11.723364165870304</v>
      </c>
      <c r="H202" s="71"/>
      <c r="I202" s="81">
        <v>70180.569124724905</v>
      </c>
      <c r="J202" s="71"/>
      <c r="K202" s="361">
        <v>11.724764165870305</v>
      </c>
      <c r="L202" s="77"/>
      <c r="M202" s="362">
        <f>I202-E202</f>
        <v>8.3799379999982193</v>
      </c>
      <c r="N202" s="67"/>
      <c r="O202" s="325">
        <f>M202/E202</f>
        <v>1.1941964611791713E-4</v>
      </c>
      <c r="P202" s="327"/>
      <c r="Q202" s="325">
        <f>O202</f>
        <v>1.1941964611791713E-4</v>
      </c>
    </row>
    <row r="203" spans="1:17">
      <c r="A203" s="71">
        <f>A202+1</f>
        <v>128</v>
      </c>
      <c r="B203" s="67"/>
      <c r="C203" s="67" t="s">
        <v>1002</v>
      </c>
      <c r="D203" s="67"/>
      <c r="E203" s="364">
        <f>SUM(E199:E202)</f>
        <v>182063.28498866002</v>
      </c>
      <c r="F203" s="71"/>
      <c r="G203" s="365">
        <v>30.416525633498008</v>
      </c>
      <c r="H203" s="71"/>
      <c r="I203" s="364">
        <f>SUM(I199:I202)</f>
        <v>190468.36224366003</v>
      </c>
      <c r="J203" s="71"/>
      <c r="K203" s="365">
        <v>31.820725540108295</v>
      </c>
      <c r="L203" s="77"/>
      <c r="M203" s="366">
        <f>SUM(M199:M202)</f>
        <v>8405.0772549999983</v>
      </c>
      <c r="N203" s="67"/>
      <c r="O203" s="367">
        <f>M203/E203</f>
        <v>4.6165690438484161E-2</v>
      </c>
      <c r="P203" s="368"/>
      <c r="Q203" s="367">
        <f>(M199+M202+M201)/(E199+E202+E201)</f>
        <v>7.7896314307007455E-2</v>
      </c>
    </row>
    <row r="204" spans="1:17">
      <c r="A204" s="71"/>
      <c r="B204" s="67"/>
      <c r="C204" s="67"/>
      <c r="D204" s="67"/>
      <c r="E204" s="81"/>
      <c r="F204" s="71"/>
      <c r="G204" s="77"/>
      <c r="H204" s="71"/>
      <c r="I204" s="81"/>
      <c r="J204" s="71"/>
      <c r="K204" s="77"/>
      <c r="L204" s="77"/>
      <c r="M204" s="362"/>
      <c r="N204" s="67"/>
      <c r="O204" s="368"/>
      <c r="P204" s="368"/>
      <c r="Q204" s="368"/>
    </row>
    <row r="205" spans="1:17">
      <c r="A205" s="71">
        <f>A203+1</f>
        <v>129</v>
      </c>
      <c r="B205" s="67"/>
      <c r="C205" s="67" t="s">
        <v>1003</v>
      </c>
      <c r="D205" s="67"/>
      <c r="E205" s="364">
        <v>182071.66492666001</v>
      </c>
      <c r="F205" s="71"/>
      <c r="G205" s="369">
        <v>30.417925633498005</v>
      </c>
      <c r="H205" s="71"/>
      <c r="I205" s="364">
        <v>190468.36224366003</v>
      </c>
      <c r="J205" s="71"/>
      <c r="K205" s="369">
        <v>31.820725540108295</v>
      </c>
      <c r="L205" s="77"/>
      <c r="M205" s="366">
        <v>8396.6973170000001</v>
      </c>
      <c r="N205" s="67"/>
      <c r="O205" s="370">
        <v>4.6117540147624071E-2</v>
      </c>
      <c r="P205" s="368"/>
      <c r="Q205" s="370">
        <v>7.781260779131019E-2</v>
      </c>
    </row>
    <row r="206" spans="1:17">
      <c r="A206" s="71">
        <f>A205+1</f>
        <v>130</v>
      </c>
      <c r="B206" s="67"/>
      <c r="C206" s="67" t="s">
        <v>1004</v>
      </c>
      <c r="D206" s="67"/>
      <c r="E206" s="80"/>
      <c r="F206" s="80"/>
      <c r="G206" s="80"/>
      <c r="H206" s="80"/>
      <c r="I206" s="80"/>
      <c r="J206" s="80"/>
      <c r="K206" s="80"/>
      <c r="L206" s="80"/>
      <c r="M206" s="362"/>
      <c r="N206" s="67"/>
      <c r="O206" s="370">
        <v>7.5043480956371006E-2</v>
      </c>
      <c r="P206" s="368"/>
      <c r="Q206" s="370">
        <v>0.22255496925073295</v>
      </c>
    </row>
    <row r="207" spans="1:17">
      <c r="A207" s="71">
        <f>A206+1</f>
        <v>131</v>
      </c>
      <c r="B207" s="67"/>
      <c r="C207" s="67" t="s">
        <v>1005</v>
      </c>
      <c r="D207" s="67"/>
      <c r="E207" s="364">
        <v>159223.59225218429</v>
      </c>
      <c r="F207" s="71"/>
      <c r="G207" s="369">
        <v>26.600796945401981</v>
      </c>
      <c r="H207" s="71"/>
      <c r="I207" s="364">
        <v>167705.88465018431</v>
      </c>
      <c r="J207" s="71"/>
      <c r="K207" s="369">
        <v>28.017896852012274</v>
      </c>
      <c r="L207" s="77"/>
      <c r="M207" s="366">
        <v>8482.2923980000069</v>
      </c>
      <c r="N207" s="67"/>
      <c r="O207" s="370">
        <v>5.3272836506322724E-2</v>
      </c>
      <c r="P207" s="368"/>
      <c r="Q207" s="370">
        <v>9.9719946182807342E-2</v>
      </c>
    </row>
    <row r="208" spans="1:17">
      <c r="A208" s="71">
        <f>A207+1</f>
        <v>132</v>
      </c>
      <c r="B208" s="67"/>
      <c r="C208" s="67" t="s">
        <v>1006</v>
      </c>
      <c r="D208" s="67"/>
      <c r="E208" s="80"/>
      <c r="F208" s="80"/>
      <c r="G208" s="80"/>
      <c r="H208" s="80"/>
      <c r="I208" s="80"/>
      <c r="J208" s="80"/>
      <c r="K208" s="80"/>
      <c r="L208" s="80"/>
      <c r="M208" s="362"/>
      <c r="N208" s="67"/>
      <c r="O208" s="370">
        <v>9.5260606615502591E-2</v>
      </c>
      <c r="P208" s="368"/>
      <c r="Q208" s="370">
        <v>0.57002462649637453</v>
      </c>
    </row>
    <row r="209" spans="1:17">
      <c r="A209" s="71"/>
      <c r="B209" s="67"/>
      <c r="C209" s="67"/>
      <c r="D209" s="67"/>
      <c r="E209" s="71"/>
      <c r="F209" s="71"/>
      <c r="G209" s="71"/>
      <c r="H209" s="71"/>
      <c r="I209" s="71"/>
      <c r="J209" s="71"/>
      <c r="K209" s="71"/>
      <c r="L209" s="71"/>
      <c r="M209" s="362"/>
      <c r="N209" s="71"/>
      <c r="O209" s="372"/>
      <c r="P209" s="372"/>
      <c r="Q209" s="372"/>
    </row>
    <row r="210" spans="1:17" ht="15.6">
      <c r="A210" s="71"/>
      <c r="B210" s="67"/>
      <c r="C210" s="76" t="s">
        <v>1037</v>
      </c>
      <c r="D210" s="67"/>
      <c r="E210" s="67" t="s">
        <v>1015</v>
      </c>
      <c r="F210" s="67"/>
      <c r="G210" s="67"/>
      <c r="H210" s="71"/>
      <c r="I210" s="71"/>
      <c r="J210" s="71"/>
      <c r="K210" s="71"/>
      <c r="L210" s="71"/>
      <c r="M210" s="362"/>
      <c r="N210" s="71"/>
      <c r="O210" s="372"/>
      <c r="P210" s="372"/>
      <c r="Q210" s="372"/>
    </row>
    <row r="211" spans="1:17">
      <c r="A211" s="71">
        <f>A208+1</f>
        <v>133</v>
      </c>
      <c r="B211" s="67"/>
      <c r="C211" s="67" t="s">
        <v>998</v>
      </c>
      <c r="D211" s="67"/>
      <c r="E211" s="81">
        <v>29659.035358261041</v>
      </c>
      <c r="F211" s="71"/>
      <c r="G211" s="361">
        <v>8.7441287304565734</v>
      </c>
      <c r="H211" s="71"/>
      <c r="I211" s="81">
        <v>15287.390237261041</v>
      </c>
      <c r="J211" s="71"/>
      <c r="K211" s="361">
        <v>4.507055154445629</v>
      </c>
      <c r="L211" s="77"/>
      <c r="M211" s="362">
        <f>I211-E211</f>
        <v>-14371.645121</v>
      </c>
      <c r="N211" s="77"/>
      <c r="O211" s="325">
        <f>M211/E211</f>
        <v>-0.48456212238194091</v>
      </c>
      <c r="P211" s="327"/>
      <c r="Q211" s="325">
        <f>O211</f>
        <v>-0.48456212238194091</v>
      </c>
    </row>
    <row r="212" spans="1:17">
      <c r="A212" s="71">
        <f>A211+1</f>
        <v>134</v>
      </c>
      <c r="B212" s="67"/>
      <c r="C212" s="67" t="s">
        <v>999</v>
      </c>
      <c r="D212" s="67"/>
      <c r="E212" s="81">
        <v>42025.393200000006</v>
      </c>
      <c r="F212" s="363"/>
      <c r="G212" s="361">
        <v>12.39</v>
      </c>
      <c r="H212" s="77"/>
      <c r="I212" s="81">
        <v>42025.393200000006</v>
      </c>
      <c r="J212" s="363"/>
      <c r="K212" s="361">
        <v>12.39</v>
      </c>
      <c r="L212" s="77"/>
      <c r="M212" s="362">
        <f>I212-E212</f>
        <v>0</v>
      </c>
      <c r="N212" s="77"/>
      <c r="O212" s="326">
        <f>IFERROR(M212/E212,"100.0%")</f>
        <v>0</v>
      </c>
      <c r="P212" s="327"/>
      <c r="Q212" s="326">
        <v>0</v>
      </c>
    </row>
    <row r="213" spans="1:17">
      <c r="A213" s="71">
        <f>A212+1</f>
        <v>135</v>
      </c>
      <c r="B213" s="67"/>
      <c r="C213" s="67" t="s">
        <v>1000</v>
      </c>
      <c r="D213" s="67"/>
      <c r="E213" s="81">
        <v>14222.601424460419</v>
      </c>
      <c r="F213" s="363"/>
      <c r="G213" s="361">
        <v>4.1931322524559889</v>
      </c>
      <c r="H213" s="77"/>
      <c r="I213" s="81">
        <v>14229.724372460416</v>
      </c>
      <c r="J213" s="363"/>
      <c r="K213" s="361">
        <v>4.1952322524559875</v>
      </c>
      <c r="L213" s="77"/>
      <c r="M213" s="362">
        <f>I213-E213</f>
        <v>7.1229479999965406</v>
      </c>
      <c r="N213" s="77"/>
      <c r="O213" s="326">
        <f>IFERROR(M213/E213,"100.0%")</f>
        <v>5.0081892808627113E-4</v>
      </c>
      <c r="P213" s="327"/>
      <c r="Q213" s="325">
        <f>O213</f>
        <v>5.0081892808627113E-4</v>
      </c>
    </row>
    <row r="214" spans="1:17">
      <c r="A214" s="71">
        <f>A213+1</f>
        <v>136</v>
      </c>
      <c r="B214" s="67"/>
      <c r="C214" s="67" t="s">
        <v>1001</v>
      </c>
      <c r="D214" s="67"/>
      <c r="E214" s="81">
        <v>39764.244446932164</v>
      </c>
      <c r="F214" s="71"/>
      <c r="G214" s="361">
        <v>11.723364165870304</v>
      </c>
      <c r="H214" s="71"/>
      <c r="I214" s="81">
        <v>39768.993078932173</v>
      </c>
      <c r="J214" s="71"/>
      <c r="K214" s="361">
        <v>11.724764165870306</v>
      </c>
      <c r="L214" s="77"/>
      <c r="M214" s="362">
        <f>I214-E214</f>
        <v>4.7486320000098203</v>
      </c>
      <c r="N214" s="67"/>
      <c r="O214" s="325">
        <f>M214/E214</f>
        <v>1.1941964611818949E-4</v>
      </c>
      <c r="P214" s="327"/>
      <c r="Q214" s="325">
        <f>O214</f>
        <v>1.1941964611818949E-4</v>
      </c>
    </row>
    <row r="215" spans="1:17">
      <c r="A215" s="71">
        <f>A214+1</f>
        <v>137</v>
      </c>
      <c r="B215" s="67"/>
      <c r="C215" s="67" t="s">
        <v>1002</v>
      </c>
      <c r="D215" s="67"/>
      <c r="E215" s="364">
        <f>SUM(E211:E214)</f>
        <v>125671.27442965363</v>
      </c>
      <c r="F215" s="71"/>
      <c r="G215" s="365">
        <v>37.050625148782871</v>
      </c>
      <c r="H215" s="71"/>
      <c r="I215" s="364">
        <f>SUM(I211:I214)</f>
        <v>111311.50088865362</v>
      </c>
      <c r="J215" s="71"/>
      <c r="K215" s="365">
        <v>32.817051572771923</v>
      </c>
      <c r="L215" s="77"/>
      <c r="M215" s="366">
        <f>SUM(M211:M214)</f>
        <v>-14359.773540999993</v>
      </c>
      <c r="N215" s="67"/>
      <c r="O215" s="367">
        <f>M215/E215</f>
        <v>-0.11426456528089154</v>
      </c>
      <c r="P215" s="368"/>
      <c r="Q215" s="367">
        <f>(M211+M214+M213)/(E211+E214+E213)</f>
        <v>-0.17167340853968138</v>
      </c>
    </row>
    <row r="216" spans="1:17">
      <c r="A216" s="71"/>
      <c r="B216" s="67"/>
      <c r="C216" s="67"/>
      <c r="D216" s="67"/>
      <c r="E216" s="81"/>
      <c r="F216" s="71"/>
      <c r="G216" s="77"/>
      <c r="H216" s="71"/>
      <c r="I216" s="81"/>
      <c r="J216" s="71"/>
      <c r="K216" s="77"/>
      <c r="L216" s="77"/>
      <c r="M216" s="362"/>
      <c r="N216" s="67"/>
      <c r="O216" s="368"/>
      <c r="P216" s="368"/>
      <c r="Q216" s="368"/>
    </row>
    <row r="217" spans="1:17">
      <c r="A217" s="71">
        <f>A215+1</f>
        <v>138</v>
      </c>
      <c r="B217" s="67"/>
      <c r="C217" s="67" t="s">
        <v>1003</v>
      </c>
      <c r="D217" s="67"/>
      <c r="E217" s="364">
        <v>125676.02306165363</v>
      </c>
      <c r="F217" s="71"/>
      <c r="G217" s="369">
        <v>37.052025148782867</v>
      </c>
      <c r="H217" s="71"/>
      <c r="I217" s="364">
        <v>111311.50088865362</v>
      </c>
      <c r="J217" s="71"/>
      <c r="K217" s="369">
        <v>32.817051572771923</v>
      </c>
      <c r="L217" s="77"/>
      <c r="M217" s="366">
        <v>-14364.522173000003</v>
      </c>
      <c r="N217" s="67"/>
      <c r="O217" s="370">
        <v>-0.11429803253682777</v>
      </c>
      <c r="P217" s="368"/>
      <c r="Q217" s="370">
        <v>-0.17172043051865718</v>
      </c>
    </row>
    <row r="218" spans="1:17">
      <c r="A218" s="71">
        <f>A217+1</f>
        <v>139</v>
      </c>
      <c r="B218" s="67"/>
      <c r="C218" s="67" t="s">
        <v>1004</v>
      </c>
      <c r="D218" s="67"/>
      <c r="E218" s="80"/>
      <c r="F218" s="80"/>
      <c r="G218" s="80"/>
      <c r="H218" s="80"/>
      <c r="I218" s="80"/>
      <c r="J218" s="80"/>
      <c r="K218" s="80"/>
      <c r="L218" s="80"/>
      <c r="M218" s="362"/>
      <c r="N218" s="67"/>
      <c r="O218" s="370">
        <v>-0.16721008951059244</v>
      </c>
      <c r="P218" s="368"/>
      <c r="Q218" s="370">
        <v>-0.32734700038937659</v>
      </c>
    </row>
    <row r="219" spans="1:17">
      <c r="A219" s="71">
        <f>A218+1</f>
        <v>140</v>
      </c>
      <c r="B219" s="67"/>
      <c r="C219" s="67" t="s">
        <v>1005</v>
      </c>
      <c r="D219" s="67"/>
      <c r="E219" s="364">
        <v>112728.77105477042</v>
      </c>
      <c r="F219" s="71"/>
      <c r="G219" s="369">
        <v>33.234893644459831</v>
      </c>
      <c r="H219" s="71"/>
      <c r="I219" s="364">
        <v>98412.75276577042</v>
      </c>
      <c r="J219" s="71"/>
      <c r="K219" s="369">
        <v>29.014220068448886</v>
      </c>
      <c r="L219" s="77"/>
      <c r="M219" s="366">
        <v>-14316.018289</v>
      </c>
      <c r="N219" s="67"/>
      <c r="O219" s="370">
        <v>-0.12699524846274085</v>
      </c>
      <c r="P219" s="368"/>
      <c r="Q219" s="370">
        <v>-0.20247997653529481</v>
      </c>
    </row>
    <row r="220" spans="1:17">
      <c r="A220" s="71">
        <f>A219+1</f>
        <v>141</v>
      </c>
      <c r="B220" s="67"/>
      <c r="C220" s="67" t="s">
        <v>1006</v>
      </c>
      <c r="D220" s="67"/>
      <c r="E220" s="80"/>
      <c r="F220" s="80"/>
      <c r="G220" s="80"/>
      <c r="H220" s="80"/>
      <c r="I220" s="80"/>
      <c r="J220" s="80"/>
      <c r="K220" s="80"/>
      <c r="L220" s="80"/>
      <c r="M220" s="362"/>
      <c r="N220" s="67"/>
      <c r="O220" s="370">
        <v>-0.1962179530444976</v>
      </c>
      <c r="P220" s="368"/>
      <c r="Q220" s="370">
        <v>-0.46278658498428371</v>
      </c>
    </row>
    <row r="221" spans="1:17">
      <c r="A221" s="71"/>
      <c r="B221" s="67"/>
      <c r="C221" s="67"/>
      <c r="D221" s="67"/>
      <c r="E221" s="71"/>
      <c r="F221" s="71"/>
      <c r="G221" s="71"/>
      <c r="H221" s="71"/>
      <c r="I221" s="71"/>
      <c r="J221" s="71"/>
      <c r="K221" s="71"/>
      <c r="L221" s="71"/>
      <c r="M221" s="362"/>
      <c r="N221" s="71"/>
      <c r="O221" s="372"/>
      <c r="P221" s="372"/>
      <c r="Q221" s="368"/>
    </row>
    <row r="222" spans="1:17" ht="15.6">
      <c r="A222" s="71"/>
      <c r="B222" s="67"/>
      <c r="C222" s="76" t="s">
        <v>1038</v>
      </c>
      <c r="D222" s="67"/>
      <c r="E222" s="67" t="s">
        <v>1039</v>
      </c>
      <c r="F222" s="67"/>
      <c r="G222" s="67"/>
      <c r="H222" s="67"/>
      <c r="I222" s="67"/>
      <c r="J222" s="67"/>
      <c r="K222" s="67"/>
      <c r="L222" s="67"/>
      <c r="M222" s="362"/>
      <c r="N222" s="67"/>
      <c r="O222" s="368"/>
      <c r="P222" s="368"/>
      <c r="Q222" s="368"/>
    </row>
    <row r="223" spans="1:17">
      <c r="A223" s="71">
        <f>A220+1</f>
        <v>142</v>
      </c>
      <c r="B223" s="67"/>
      <c r="C223" s="67" t="s">
        <v>998</v>
      </c>
      <c r="D223" s="67"/>
      <c r="E223" s="81">
        <v>47936.163039988984</v>
      </c>
      <c r="F223" s="71"/>
      <c r="G223" s="361">
        <v>8.0084874441773408</v>
      </c>
      <c r="H223" s="71"/>
      <c r="I223" s="81">
        <v>24821.978326988978</v>
      </c>
      <c r="J223" s="71"/>
      <c r="K223" s="361">
        <v>4.1469005686897171</v>
      </c>
      <c r="L223" s="77"/>
      <c r="M223" s="362">
        <f>I223-E223</f>
        <v>-23114.184713000006</v>
      </c>
      <c r="N223" s="77"/>
      <c r="O223" s="325">
        <f>M223/E223</f>
        <v>-0.48218679275013826</v>
      </c>
      <c r="P223" s="327"/>
      <c r="Q223" s="325">
        <f>O223</f>
        <v>-0.48218679275013826</v>
      </c>
    </row>
    <row r="224" spans="1:17">
      <c r="A224" s="71">
        <f>A223+1</f>
        <v>143</v>
      </c>
      <c r="B224" s="67"/>
      <c r="C224" s="67" t="s">
        <v>999</v>
      </c>
      <c r="D224" s="67"/>
      <c r="E224" s="81">
        <v>74162.451300000001</v>
      </c>
      <c r="F224" s="363"/>
      <c r="G224" s="361">
        <v>12.389999999999999</v>
      </c>
      <c r="H224" s="77"/>
      <c r="I224" s="81">
        <v>74162.451300000001</v>
      </c>
      <c r="J224" s="363"/>
      <c r="K224" s="361">
        <v>12.389999999999999</v>
      </c>
      <c r="L224" s="77"/>
      <c r="M224" s="362">
        <f>I224-E224</f>
        <v>0</v>
      </c>
      <c r="N224" s="77"/>
      <c r="O224" s="326">
        <f>IFERROR(M224/E224,"100.0%")</f>
        <v>0</v>
      </c>
      <c r="P224" s="327"/>
      <c r="Q224" s="326">
        <v>0</v>
      </c>
    </row>
    <row r="225" spans="1:17">
      <c r="A225" s="71">
        <f>A224+1</f>
        <v>144</v>
      </c>
      <c r="B225" s="67"/>
      <c r="C225" s="67" t="s">
        <v>1000</v>
      </c>
      <c r="D225" s="67"/>
      <c r="E225" s="81">
        <v>25098.705929558237</v>
      </c>
      <c r="F225" s="363"/>
      <c r="G225" s="361">
        <v>4.193132252455988</v>
      </c>
      <c r="H225" s="77"/>
      <c r="I225" s="81">
        <v>25111.275836558234</v>
      </c>
      <c r="J225" s="363"/>
      <c r="K225" s="361">
        <v>4.1952322524559884</v>
      </c>
      <c r="L225" s="77"/>
      <c r="M225" s="362">
        <f>I225-E225</f>
        <v>12.569906999997329</v>
      </c>
      <c r="N225" s="77"/>
      <c r="O225" s="326">
        <f>IFERROR(M225/E225,"100.0%")</f>
        <v>5.0081892808640806E-4</v>
      </c>
      <c r="P225" s="327"/>
      <c r="Q225" s="325">
        <f>O225</f>
        <v>5.0081892808640806E-4</v>
      </c>
    </row>
    <row r="226" spans="1:17">
      <c r="A226" s="71">
        <f>A225+1</f>
        <v>145</v>
      </c>
      <c r="B226" s="67"/>
      <c r="C226" s="67" t="s">
        <v>1001</v>
      </c>
      <c r="D226" s="67"/>
      <c r="E226" s="81">
        <v>70172.189186724907</v>
      </c>
      <c r="F226" s="71"/>
      <c r="G226" s="361">
        <v>11.723364165870304</v>
      </c>
      <c r="H226" s="71"/>
      <c r="I226" s="81">
        <v>70180.569124724905</v>
      </c>
      <c r="J226" s="71"/>
      <c r="K226" s="361">
        <v>11.724764165870305</v>
      </c>
      <c r="L226" s="77"/>
      <c r="M226" s="362">
        <f>I226-E226</f>
        <v>8.3799379999982193</v>
      </c>
      <c r="N226" s="67"/>
      <c r="O226" s="325">
        <f>M226/E226</f>
        <v>1.1941964611791713E-4</v>
      </c>
      <c r="P226" s="327"/>
      <c r="Q226" s="325">
        <f>O226</f>
        <v>1.1941964611791713E-4</v>
      </c>
    </row>
    <row r="227" spans="1:17">
      <c r="A227" s="71">
        <f>A226+1</f>
        <v>146</v>
      </c>
      <c r="B227" s="67"/>
      <c r="C227" s="67" t="s">
        <v>1002</v>
      </c>
      <c r="D227" s="67"/>
      <c r="E227" s="364">
        <f>SUM(E223:E226)</f>
        <v>217369.50945627212</v>
      </c>
      <c r="F227" s="71"/>
      <c r="G227" s="365">
        <v>36.314983862503631</v>
      </c>
      <c r="H227" s="71"/>
      <c r="I227" s="364">
        <f>SUM(I223:I226)</f>
        <v>194276.27458827209</v>
      </c>
      <c r="J227" s="71"/>
      <c r="K227" s="365">
        <v>32.456896987016002</v>
      </c>
      <c r="L227" s="77"/>
      <c r="M227" s="366">
        <f>SUM(M223:M226)</f>
        <v>-23093.23486800001</v>
      </c>
      <c r="N227" s="67"/>
      <c r="O227" s="367">
        <f>M227/E227</f>
        <v>-0.10623953159652154</v>
      </c>
      <c r="P227" s="368"/>
      <c r="Q227" s="367">
        <f>(M223+M226+M225)/(E223+E226+E225)</f>
        <v>-0.16125765842351103</v>
      </c>
    </row>
    <row r="228" spans="1:17">
      <c r="A228" s="71"/>
      <c r="B228" s="67"/>
      <c r="C228" s="67"/>
      <c r="D228" s="67"/>
      <c r="E228" s="81"/>
      <c r="F228" s="71"/>
      <c r="G228" s="77"/>
      <c r="H228" s="71"/>
      <c r="I228" s="81"/>
      <c r="J228" s="71"/>
      <c r="K228" s="77"/>
      <c r="L228" s="77"/>
      <c r="M228" s="362"/>
      <c r="N228" s="67"/>
      <c r="O228" s="368"/>
      <c r="P228" s="368"/>
      <c r="Q228" s="368"/>
    </row>
    <row r="229" spans="1:17">
      <c r="A229" s="71">
        <f>A227+1</f>
        <v>147</v>
      </c>
      <c r="B229" s="67"/>
      <c r="C229" s="67" t="s">
        <v>1003</v>
      </c>
      <c r="D229" s="67"/>
      <c r="E229" s="364">
        <v>217377.88939427212</v>
      </c>
      <c r="F229" s="71"/>
      <c r="G229" s="369">
        <v>36.316383862503635</v>
      </c>
      <c r="H229" s="71"/>
      <c r="I229" s="364">
        <v>194276.27458827209</v>
      </c>
      <c r="J229" s="71"/>
      <c r="K229" s="369">
        <v>32.456896987016002</v>
      </c>
      <c r="L229" s="77"/>
      <c r="M229" s="366">
        <v>-23101.614806000009</v>
      </c>
      <c r="N229" s="67"/>
      <c r="O229" s="370">
        <v>-0.10627398614630552</v>
      </c>
      <c r="P229" s="368"/>
      <c r="Q229" s="370">
        <v>-0.16130673559643258</v>
      </c>
    </row>
    <row r="230" spans="1:17">
      <c r="A230" s="71">
        <f>A229+1</f>
        <v>148</v>
      </c>
      <c r="B230" s="67"/>
      <c r="C230" s="67" t="s">
        <v>1004</v>
      </c>
      <c r="D230" s="67"/>
      <c r="E230" s="80"/>
      <c r="F230" s="80"/>
      <c r="G230" s="80"/>
      <c r="H230" s="80"/>
      <c r="I230" s="80"/>
      <c r="J230" s="80"/>
      <c r="K230" s="80"/>
      <c r="L230" s="80"/>
      <c r="M230" s="362"/>
      <c r="N230" s="67"/>
      <c r="O230" s="370">
        <v>-0.15694317507748382</v>
      </c>
      <c r="P230" s="368"/>
      <c r="Q230" s="370">
        <v>-0.31630938936349035</v>
      </c>
    </row>
    <row r="231" spans="1:17">
      <c r="A231" s="71">
        <f>A230+1</f>
        <v>149</v>
      </c>
      <c r="B231" s="67"/>
      <c r="C231" s="67" t="s">
        <v>1005</v>
      </c>
      <c r="D231" s="67"/>
      <c r="E231" s="364">
        <v>194529.79986279085</v>
      </c>
      <c r="F231" s="71"/>
      <c r="G231" s="369">
        <v>32.499252358180598</v>
      </c>
      <c r="H231" s="71"/>
      <c r="I231" s="364">
        <v>171513.78013779086</v>
      </c>
      <c r="J231" s="71"/>
      <c r="K231" s="369">
        <v>28.654065482692975</v>
      </c>
      <c r="L231" s="77"/>
      <c r="M231" s="366">
        <v>-23016.019725000006</v>
      </c>
      <c r="N231" s="67"/>
      <c r="O231" s="370">
        <v>-0.11831616411076383</v>
      </c>
      <c r="P231" s="368"/>
      <c r="Q231" s="370">
        <v>-0.19121481032701707</v>
      </c>
    </row>
    <row r="232" spans="1:17">
      <c r="A232" s="71">
        <f>A231+1</f>
        <v>150</v>
      </c>
      <c r="B232" s="67"/>
      <c r="C232" s="67" t="s">
        <v>1006</v>
      </c>
      <c r="D232" s="67"/>
      <c r="E232" s="80"/>
      <c r="F232" s="80"/>
      <c r="G232" s="80"/>
      <c r="H232" s="80"/>
      <c r="I232" s="80"/>
      <c r="J232" s="80"/>
      <c r="K232" s="80"/>
      <c r="L232" s="80"/>
      <c r="M232" s="362"/>
      <c r="N232" s="67"/>
      <c r="O232" s="370">
        <v>-0.18509177409775732</v>
      </c>
      <c r="P232" s="368"/>
      <c r="Q232" s="370">
        <v>-0.45860722649883123</v>
      </c>
    </row>
    <row r="233" spans="1:17">
      <c r="A233" s="71"/>
      <c r="B233" s="67"/>
      <c r="C233" s="67"/>
      <c r="D233" s="67"/>
      <c r="E233" s="80"/>
      <c r="F233" s="80"/>
      <c r="G233" s="80"/>
      <c r="H233" s="80"/>
      <c r="I233" s="80"/>
      <c r="J233" s="80"/>
      <c r="K233" s="80"/>
      <c r="L233" s="80"/>
      <c r="M233" s="362"/>
      <c r="N233" s="67"/>
      <c r="O233" s="327"/>
      <c r="P233" s="327"/>
      <c r="Q233" s="327"/>
    </row>
    <row r="234" spans="1:17" ht="15.6">
      <c r="A234" s="71"/>
      <c r="B234" s="67"/>
      <c r="C234" s="76" t="s">
        <v>1040</v>
      </c>
      <c r="D234" s="67"/>
      <c r="E234" s="67" t="s">
        <v>1024</v>
      </c>
      <c r="F234" s="67"/>
      <c r="G234" s="67"/>
      <c r="H234" s="71"/>
      <c r="I234" s="71"/>
      <c r="J234" s="71"/>
      <c r="K234" s="71"/>
      <c r="L234" s="71"/>
      <c r="M234" s="362"/>
      <c r="N234" s="71"/>
      <c r="O234" s="372"/>
      <c r="P234" s="372"/>
      <c r="Q234" s="372"/>
    </row>
    <row r="235" spans="1:17">
      <c r="A235" s="71">
        <f>A232+1</f>
        <v>151</v>
      </c>
      <c r="B235" s="67"/>
      <c r="C235" s="67" t="s">
        <v>998</v>
      </c>
      <c r="D235" s="67"/>
      <c r="E235" s="81">
        <v>106574.92383267121</v>
      </c>
      <c r="F235" s="71"/>
      <c r="G235" s="361">
        <v>1.0683003395375277</v>
      </c>
      <c r="H235" s="71"/>
      <c r="I235" s="81">
        <v>90761.074320671221</v>
      </c>
      <c r="J235" s="71"/>
      <c r="K235" s="361">
        <v>0.90978330574082134</v>
      </c>
      <c r="L235" s="77"/>
      <c r="M235" s="362">
        <f>I235-E235</f>
        <v>-15813.849511999986</v>
      </c>
      <c r="N235" s="77"/>
      <c r="O235" s="325">
        <f>M235/E235</f>
        <v>-0.14838246130795874</v>
      </c>
      <c r="P235" s="327"/>
      <c r="Q235" s="325">
        <f>O235</f>
        <v>-0.14838246130795874</v>
      </c>
    </row>
    <row r="236" spans="1:17">
      <c r="A236" s="71">
        <f>A235+1</f>
        <v>152</v>
      </c>
      <c r="B236" s="67"/>
      <c r="C236" s="67" t="s">
        <v>999</v>
      </c>
      <c r="D236" s="67"/>
      <c r="E236" s="81">
        <v>1236041.2680000002</v>
      </c>
      <c r="F236" s="363"/>
      <c r="G236" s="361">
        <v>12.39</v>
      </c>
      <c r="H236" s="77"/>
      <c r="I236" s="81">
        <v>1236041.2680000002</v>
      </c>
      <c r="J236" s="363"/>
      <c r="K236" s="361">
        <v>12.39</v>
      </c>
      <c r="L236" s="77"/>
      <c r="M236" s="362">
        <f>I236-E236</f>
        <v>0</v>
      </c>
      <c r="N236" s="77"/>
      <c r="O236" s="326">
        <f>IFERROR(M236/E236,"100.0%")</f>
        <v>0</v>
      </c>
      <c r="P236" s="327"/>
      <c r="Q236" s="326">
        <v>0</v>
      </c>
    </row>
    <row r="237" spans="1:17">
      <c r="A237" s="71">
        <f>A236+1</f>
        <v>153</v>
      </c>
      <c r="B237" s="67"/>
      <c r="C237" s="67" t="s">
        <v>1000</v>
      </c>
      <c r="D237" s="67"/>
      <c r="E237" s="81">
        <v>352715.37538496271</v>
      </c>
      <c r="F237" s="363"/>
      <c r="G237" s="361">
        <v>3.5355967589099042</v>
      </c>
      <c r="H237" s="77"/>
      <c r="I237" s="374">
        <v>352924.87390496273</v>
      </c>
      <c r="J237" s="363"/>
      <c r="K237" s="375">
        <v>3.5376967589099042</v>
      </c>
      <c r="L237" s="77"/>
      <c r="M237" s="362">
        <f>I237-E237</f>
        <v>209.49852000002284</v>
      </c>
      <c r="N237" s="77"/>
      <c r="O237" s="326">
        <f>IFERROR(M237/E237,"100.0%")</f>
        <v>5.9395913708431539E-4</v>
      </c>
      <c r="P237" s="327"/>
      <c r="Q237" s="325">
        <f>O237</f>
        <v>5.9395913708431539E-4</v>
      </c>
    </row>
    <row r="238" spans="1:17">
      <c r="A238" s="71">
        <f>A237+1</f>
        <v>154</v>
      </c>
      <c r="B238" s="67"/>
      <c r="C238" s="67" t="s">
        <v>1001</v>
      </c>
      <c r="D238" s="67"/>
      <c r="E238" s="81">
        <v>1169143.7052423712</v>
      </c>
      <c r="F238" s="71"/>
      <c r="G238" s="361">
        <v>11.71942303463041</v>
      </c>
      <c r="H238" s="71"/>
      <c r="I238" s="81">
        <v>1169273.394802371</v>
      </c>
      <c r="J238" s="71"/>
      <c r="K238" s="361">
        <v>11.720723034630408</v>
      </c>
      <c r="L238" s="77"/>
      <c r="M238" s="362">
        <f>I238-E238</f>
        <v>129.68955999985337</v>
      </c>
      <c r="N238" s="67"/>
      <c r="O238" s="325">
        <f>M238/E238</f>
        <v>1.1092696254389692E-4</v>
      </c>
      <c r="P238" s="327"/>
      <c r="Q238" s="325">
        <f>O238</f>
        <v>1.1092696254389692E-4</v>
      </c>
    </row>
    <row r="239" spans="1:17">
      <c r="A239" s="71">
        <f>A238+1</f>
        <v>155</v>
      </c>
      <c r="B239" s="67"/>
      <c r="C239" s="67" t="s">
        <v>1002</v>
      </c>
      <c r="D239" s="67"/>
      <c r="E239" s="364">
        <f>SUM(E235:E238)</f>
        <v>2864475.2724600052</v>
      </c>
      <c r="F239" s="71"/>
      <c r="G239" s="365">
        <v>28.71332013307784</v>
      </c>
      <c r="H239" s="71"/>
      <c r="I239" s="364">
        <f>SUM(I235:I238)</f>
        <v>2849000.6110280054</v>
      </c>
      <c r="J239" s="71"/>
      <c r="K239" s="365">
        <v>28.558203099281137</v>
      </c>
      <c r="L239" s="77"/>
      <c r="M239" s="366">
        <f>SUM(M235:M238)</f>
        <v>-15474.66143200011</v>
      </c>
      <c r="N239" s="67"/>
      <c r="O239" s="367">
        <f>M239/E239</f>
        <v>-5.4022674172748237E-3</v>
      </c>
      <c r="P239" s="368"/>
      <c r="Q239" s="367">
        <f>(M235+M238+M237)/(E235+E238+E237)</f>
        <v>-9.5027869656477519E-3</v>
      </c>
    </row>
    <row r="240" spans="1:17">
      <c r="A240" s="71"/>
      <c r="B240" s="67"/>
      <c r="C240" s="67"/>
      <c r="D240" s="67"/>
      <c r="E240" s="81"/>
      <c r="F240" s="71"/>
      <c r="G240" s="77"/>
      <c r="H240" s="71"/>
      <c r="I240" s="81"/>
      <c r="J240" s="71"/>
      <c r="K240" s="77"/>
      <c r="L240" s="77"/>
      <c r="M240" s="362"/>
      <c r="N240" s="67"/>
      <c r="O240" s="368"/>
      <c r="P240" s="368"/>
      <c r="Q240" s="368"/>
    </row>
    <row r="241" spans="1:17">
      <c r="A241" s="71">
        <f>A239+1</f>
        <v>156</v>
      </c>
      <c r="B241" s="67"/>
      <c r="C241" s="67" t="s">
        <v>1003</v>
      </c>
      <c r="D241" s="67"/>
      <c r="E241" s="364">
        <v>2864604.9620200051</v>
      </c>
      <c r="F241" s="71"/>
      <c r="G241" s="369">
        <v>28.71462013307784</v>
      </c>
      <c r="H241" s="71"/>
      <c r="I241" s="364">
        <v>2849000.6110280054</v>
      </c>
      <c r="J241" s="71"/>
      <c r="K241" s="369">
        <v>28.558203099281137</v>
      </c>
      <c r="L241" s="77"/>
      <c r="M241" s="366">
        <v>-15604.350991999963</v>
      </c>
      <c r="N241" s="67"/>
      <c r="O241" s="370">
        <v>-5.4472959444280223E-3</v>
      </c>
      <c r="P241" s="368"/>
      <c r="Q241" s="370">
        <v>-9.5816645362402902E-3</v>
      </c>
    </row>
    <row r="242" spans="1:17">
      <c r="A242" s="71">
        <f>A241+1</f>
        <v>157</v>
      </c>
      <c r="B242" s="67"/>
      <c r="C242" s="67" t="s">
        <v>1004</v>
      </c>
      <c r="D242" s="67"/>
      <c r="E242" s="80"/>
      <c r="F242" s="80"/>
      <c r="G242" s="80"/>
      <c r="H242" s="80"/>
      <c r="I242" s="80"/>
      <c r="J242" s="80"/>
      <c r="K242" s="80"/>
      <c r="L242" s="80"/>
      <c r="M242" s="362"/>
      <c r="N242" s="67"/>
      <c r="O242" s="370">
        <v>-9.2043062806939357E-3</v>
      </c>
      <c r="P242" s="368"/>
      <c r="Q242" s="370">
        <v>-3.3974919606577343E-2</v>
      </c>
    </row>
    <row r="243" spans="1:17">
      <c r="A243" s="71">
        <f>A242+1</f>
        <v>158</v>
      </c>
      <c r="B243" s="67"/>
      <c r="C243" s="67" t="s">
        <v>1005</v>
      </c>
      <c r="D243" s="67"/>
      <c r="E243" s="364">
        <v>2483803.5245972117</v>
      </c>
      <c r="F243" s="71"/>
      <c r="G243" s="369">
        <v>24.897490453174299</v>
      </c>
      <c r="H243" s="71"/>
      <c r="I243" s="364">
        <v>2469625.7587652113</v>
      </c>
      <c r="J243" s="71"/>
      <c r="K243" s="369">
        <v>24.755373419377587</v>
      </c>
      <c r="L243" s="77"/>
      <c r="M243" s="366">
        <v>-14177.765832000005</v>
      </c>
      <c r="N243" s="67"/>
      <c r="O243" s="370">
        <v>-5.7080866870495139E-3</v>
      </c>
      <c r="P243" s="368"/>
      <c r="Q243" s="370">
        <v>-1.1362553849532499E-2</v>
      </c>
    </row>
    <row r="244" spans="1:17">
      <c r="A244" s="71">
        <f>A243+1</f>
        <v>159</v>
      </c>
      <c r="B244" s="67"/>
      <c r="C244" s="67" t="s">
        <v>1006</v>
      </c>
      <c r="D244" s="67"/>
      <c r="E244" s="80"/>
      <c r="F244" s="80"/>
      <c r="G244" s="80"/>
      <c r="H244" s="80"/>
      <c r="I244" s="80"/>
      <c r="J244" s="80"/>
      <c r="K244" s="80"/>
      <c r="L244" s="80"/>
      <c r="M244" s="362"/>
      <c r="N244" s="67"/>
      <c r="O244" s="370">
        <v>-1.0785424776998254E-2</v>
      </c>
      <c r="P244" s="368"/>
      <c r="Q244" s="370">
        <v>-0.18063411174261659</v>
      </c>
    </row>
    <row r="245" spans="1:17">
      <c r="A245" s="71"/>
      <c r="B245" s="67"/>
      <c r="C245" s="67"/>
      <c r="D245" s="67"/>
      <c r="E245" s="71"/>
      <c r="F245" s="71"/>
      <c r="G245" s="71"/>
      <c r="H245" s="71"/>
      <c r="I245" s="71"/>
      <c r="J245" s="71"/>
      <c r="K245" s="71"/>
      <c r="L245" s="71"/>
      <c r="M245" s="376"/>
      <c r="N245" s="71"/>
      <c r="O245" s="372"/>
      <c r="P245" s="372"/>
      <c r="Q245" s="368"/>
    </row>
    <row r="246" spans="1:17" ht="15.6">
      <c r="A246" s="71"/>
      <c r="B246" s="67"/>
      <c r="C246" s="76" t="s">
        <v>1041</v>
      </c>
      <c r="D246" s="67"/>
      <c r="E246" s="67" t="s">
        <v>1026</v>
      </c>
      <c r="F246" s="67"/>
      <c r="G246" s="67"/>
      <c r="H246" s="67"/>
      <c r="I246" s="67"/>
      <c r="J246" s="67"/>
      <c r="K246" s="67"/>
      <c r="L246" s="67"/>
      <c r="M246" s="82"/>
      <c r="N246" s="67"/>
      <c r="O246" s="368"/>
      <c r="P246" s="368"/>
      <c r="Q246" s="368"/>
    </row>
    <row r="247" spans="1:17">
      <c r="A247" s="71">
        <f>A244+1</f>
        <v>160</v>
      </c>
      <c r="B247" s="67"/>
      <c r="C247" s="67" t="s">
        <v>998</v>
      </c>
      <c r="D247" s="67"/>
      <c r="E247" s="81">
        <v>114579.32384358159</v>
      </c>
      <c r="F247" s="71"/>
      <c r="G247" s="361">
        <v>1.1485358271374373</v>
      </c>
      <c r="H247" s="71"/>
      <c r="I247" s="81">
        <v>100433.9425305816</v>
      </c>
      <c r="J247" s="71"/>
      <c r="K247" s="361">
        <v>1.0067434279373877</v>
      </c>
      <c r="L247" s="77"/>
      <c r="M247" s="82">
        <f>I247-E247</f>
        <v>-14145.381312999991</v>
      </c>
      <c r="N247" s="77"/>
      <c r="O247" s="325">
        <f>M247/E247</f>
        <v>-0.12345492047335359</v>
      </c>
      <c r="P247" s="327"/>
      <c r="Q247" s="325">
        <f>O247</f>
        <v>-0.12345492047335359</v>
      </c>
    </row>
    <row r="248" spans="1:17">
      <c r="A248" s="71">
        <f>A247+1</f>
        <v>161</v>
      </c>
      <c r="B248" s="67"/>
      <c r="C248" s="67" t="s">
        <v>999</v>
      </c>
      <c r="D248" s="67"/>
      <c r="E248" s="81">
        <v>1236041.3919000002</v>
      </c>
      <c r="F248" s="363"/>
      <c r="G248" s="361">
        <v>12.39</v>
      </c>
      <c r="H248" s="77"/>
      <c r="I248" s="81">
        <v>1236041.3919000002</v>
      </c>
      <c r="J248" s="363"/>
      <c r="K248" s="361">
        <v>12.39</v>
      </c>
      <c r="L248" s="77"/>
      <c r="M248" s="82">
        <f>I248-E248</f>
        <v>0</v>
      </c>
      <c r="N248" s="77"/>
      <c r="O248" s="326">
        <f>IFERROR(M248/E248,"100.0%")</f>
        <v>0</v>
      </c>
      <c r="P248" s="327"/>
      <c r="Q248" s="326">
        <v>0</v>
      </c>
    </row>
    <row r="249" spans="1:17">
      <c r="A249" s="71">
        <f>A248+1</f>
        <v>162</v>
      </c>
      <c r="B249" s="67"/>
      <c r="C249" s="67" t="s">
        <v>1000</v>
      </c>
      <c r="D249" s="67"/>
      <c r="E249" s="81">
        <v>352715.4107409303</v>
      </c>
      <c r="F249" s="363"/>
      <c r="G249" s="361">
        <v>3.5355967589099042</v>
      </c>
      <c r="H249" s="77"/>
      <c r="I249" s="374">
        <v>352924.90928193025</v>
      </c>
      <c r="J249" s="363"/>
      <c r="K249" s="375">
        <v>3.5376967589099038</v>
      </c>
      <c r="L249" s="77"/>
      <c r="M249" s="82">
        <f>I249-E249</f>
        <v>209.49854099994991</v>
      </c>
      <c r="N249" s="77"/>
      <c r="O249" s="326">
        <f>IFERROR(M249/E249,"100.0%")</f>
        <v>5.9395913708410863E-4</v>
      </c>
      <c r="P249" s="327"/>
      <c r="Q249" s="325">
        <f>O249</f>
        <v>5.9395913708410863E-4</v>
      </c>
    </row>
    <row r="250" spans="1:17">
      <c r="A250" s="71">
        <f>A249+1</f>
        <v>163</v>
      </c>
      <c r="B250" s="67"/>
      <c r="C250" s="67" t="s">
        <v>1001</v>
      </c>
      <c r="D250" s="67"/>
      <c r="E250" s="81">
        <v>1169143.8224366016</v>
      </c>
      <c r="F250" s="71"/>
      <c r="G250" s="361">
        <v>11.719423034630411</v>
      </c>
      <c r="H250" s="71"/>
      <c r="I250" s="81">
        <v>1169273.5120096013</v>
      </c>
      <c r="J250" s="71"/>
      <c r="K250" s="361">
        <v>11.720723034630408</v>
      </c>
      <c r="L250" s="77"/>
      <c r="M250" s="82">
        <f>I250-E250</f>
        <v>129.68957299971953</v>
      </c>
      <c r="N250" s="67"/>
      <c r="O250" s="325">
        <f>M250/E250</f>
        <v>1.1092696254378243E-4</v>
      </c>
      <c r="P250" s="327"/>
      <c r="Q250" s="325">
        <f>O250</f>
        <v>1.1092696254378243E-4</v>
      </c>
    </row>
    <row r="251" spans="1:17">
      <c r="A251" s="71">
        <f>A250+1</f>
        <v>164</v>
      </c>
      <c r="B251" s="67"/>
      <c r="C251" s="67" t="s">
        <v>1002</v>
      </c>
      <c r="D251" s="67"/>
      <c r="E251" s="364">
        <f>SUM(E247:E250)</f>
        <v>2872479.9489211137</v>
      </c>
      <c r="F251" s="71"/>
      <c r="G251" s="365">
        <v>28.793555620677751</v>
      </c>
      <c r="H251" s="71"/>
      <c r="I251" s="364">
        <f>SUM(I247:I250)</f>
        <v>2858673.755722113</v>
      </c>
      <c r="J251" s="71"/>
      <c r="K251" s="365">
        <v>28.655163221477697</v>
      </c>
      <c r="L251" s="77"/>
      <c r="M251" s="377">
        <f>SUM(M247:M250)</f>
        <v>-13806.193199000321</v>
      </c>
      <c r="N251" s="67"/>
      <c r="O251" s="367">
        <f>M251/E251</f>
        <v>-4.8063671268395959E-3</v>
      </c>
      <c r="P251" s="368"/>
      <c r="Q251" s="367">
        <f>(M247+M250+M249)/(E247+E250+E249)</f>
        <v>-8.4367317915879387E-3</v>
      </c>
    </row>
    <row r="252" spans="1:17">
      <c r="A252" s="71"/>
      <c r="B252" s="67"/>
      <c r="C252" s="67"/>
      <c r="D252" s="67"/>
      <c r="E252" s="81"/>
      <c r="F252" s="71"/>
      <c r="G252" s="77"/>
      <c r="H252" s="71"/>
      <c r="I252" s="81"/>
      <c r="J252" s="71"/>
      <c r="K252" s="77"/>
      <c r="L252" s="77"/>
      <c r="M252" s="82"/>
      <c r="N252" s="67"/>
      <c r="O252" s="368"/>
      <c r="P252" s="368"/>
      <c r="Q252" s="368"/>
    </row>
    <row r="253" spans="1:17">
      <c r="A253" s="71">
        <f>A251+1</f>
        <v>165</v>
      </c>
      <c r="B253" s="67"/>
      <c r="C253" s="67" t="s">
        <v>1003</v>
      </c>
      <c r="D253" s="67"/>
      <c r="E253" s="364">
        <v>2872609.6384941135</v>
      </c>
      <c r="F253" s="71"/>
      <c r="G253" s="369">
        <v>28.794855620677751</v>
      </c>
      <c r="H253" s="71"/>
      <c r="I253" s="364">
        <v>2858673.755722113</v>
      </c>
      <c r="J253" s="71"/>
      <c r="K253" s="369">
        <v>28.655163221477697</v>
      </c>
      <c r="L253" s="77"/>
      <c r="M253" s="377">
        <v>-13935.882772000041</v>
      </c>
      <c r="N253" s="67"/>
      <c r="O253" s="370">
        <v>-4.851297087238607E-3</v>
      </c>
      <c r="P253" s="368"/>
      <c r="Q253" s="370">
        <v>-8.5153080545233694E-3</v>
      </c>
    </row>
    <row r="254" spans="1:17">
      <c r="A254" s="71">
        <f>A253+1</f>
        <v>166</v>
      </c>
      <c r="B254" s="67"/>
      <c r="C254" s="67" t="s">
        <v>1004</v>
      </c>
      <c r="D254" s="67"/>
      <c r="E254" s="80"/>
      <c r="F254" s="80"/>
      <c r="G254" s="80"/>
      <c r="H254" s="80"/>
      <c r="I254" s="80"/>
      <c r="J254" s="80"/>
      <c r="K254" s="80"/>
      <c r="L254" s="80"/>
      <c r="M254" s="82"/>
      <c r="N254" s="67"/>
      <c r="O254" s="370">
        <v>-8.181522457791161E-3</v>
      </c>
      <c r="P254" s="368"/>
      <c r="Q254" s="370">
        <v>-2.9822469077018215E-2</v>
      </c>
    </row>
    <row r="255" spans="1:17">
      <c r="A255" s="71">
        <f>A254+1</f>
        <v>167</v>
      </c>
      <c r="B255" s="67"/>
      <c r="C255" s="67" t="s">
        <v>1005</v>
      </c>
      <c r="D255" s="67"/>
      <c r="E255" s="364">
        <v>2491808.1629000232</v>
      </c>
      <c r="F255" s="71"/>
      <c r="G255" s="369">
        <v>24.977725940774206</v>
      </c>
      <c r="H255" s="71"/>
      <c r="I255" s="364">
        <v>2479298.8654310228</v>
      </c>
      <c r="J255" s="71"/>
      <c r="K255" s="369">
        <v>24.852333541574154</v>
      </c>
      <c r="L255" s="77"/>
      <c r="M255" s="377">
        <v>-12509.297468999997</v>
      </c>
      <c r="N255" s="67"/>
      <c r="O255" s="370">
        <v>-5.0201687494439342E-3</v>
      </c>
      <c r="P255" s="368"/>
      <c r="Q255" s="370">
        <v>-9.9614815090530596E-3</v>
      </c>
    </row>
    <row r="256" spans="1:17">
      <c r="A256" s="71">
        <f>A255+1</f>
        <v>168</v>
      </c>
      <c r="B256" s="67"/>
      <c r="C256" s="67" t="s">
        <v>1006</v>
      </c>
      <c r="D256" s="67"/>
      <c r="E256" s="80"/>
      <c r="F256" s="80"/>
      <c r="G256" s="80"/>
      <c r="H256" s="80"/>
      <c r="I256" s="80"/>
      <c r="J256" s="80"/>
      <c r="K256" s="80"/>
      <c r="L256" s="80"/>
      <c r="M256" s="82"/>
      <c r="N256" s="67"/>
      <c r="O256" s="370">
        <v>-9.4585782388218517E-3</v>
      </c>
      <c r="P256" s="368"/>
      <c r="Q256" s="370">
        <v>-0.14462742663431485</v>
      </c>
    </row>
    <row r="257" spans="1:17">
      <c r="A257" s="71"/>
      <c r="B257" s="67"/>
      <c r="C257" s="67"/>
      <c r="D257" s="67"/>
      <c r="E257" s="71"/>
      <c r="F257" s="71"/>
      <c r="G257" s="71"/>
      <c r="H257" s="71"/>
      <c r="I257" s="71"/>
      <c r="J257" s="71"/>
      <c r="K257" s="71"/>
      <c r="L257" s="71"/>
      <c r="M257" s="376"/>
      <c r="N257" s="71"/>
      <c r="O257" s="372"/>
      <c r="P257" s="372"/>
      <c r="Q257" s="372"/>
    </row>
    <row r="258" spans="1:17" ht="15.6">
      <c r="A258" s="71"/>
      <c r="B258" s="67"/>
      <c r="C258" s="76" t="s">
        <v>1042</v>
      </c>
      <c r="D258" s="67"/>
      <c r="E258" s="67" t="s">
        <v>1043</v>
      </c>
      <c r="F258" s="67"/>
      <c r="G258" s="67"/>
      <c r="H258" s="67"/>
      <c r="I258" s="67"/>
      <c r="J258" s="67"/>
      <c r="K258" s="67"/>
      <c r="L258" s="67"/>
      <c r="M258" s="82"/>
      <c r="N258" s="67"/>
      <c r="O258" s="368"/>
      <c r="P258" s="368"/>
      <c r="Q258" s="368"/>
    </row>
    <row r="259" spans="1:17">
      <c r="A259" s="71">
        <f>A256+1</f>
        <v>169</v>
      </c>
      <c r="B259" s="67"/>
      <c r="C259" s="67" t="s">
        <v>998</v>
      </c>
      <c r="D259" s="67"/>
      <c r="E259" s="81">
        <v>606134.27021154389</v>
      </c>
      <c r="F259" s="71"/>
      <c r="G259" s="361">
        <v>0.8679787094634458</v>
      </c>
      <c r="H259" s="71"/>
      <c r="I259" s="81">
        <v>612818.09646554396</v>
      </c>
      <c r="J259" s="71"/>
      <c r="K259" s="361">
        <v>0.87754988728878169</v>
      </c>
      <c r="L259" s="77"/>
      <c r="M259" s="82">
        <f>I259-E259</f>
        <v>6683.8262540000724</v>
      </c>
      <c r="N259" s="77"/>
      <c r="O259" s="325">
        <f>M259/E259</f>
        <v>1.10269730363E-2</v>
      </c>
      <c r="P259" s="327"/>
      <c r="Q259" s="325">
        <f>O259</f>
        <v>1.10269730363E-2</v>
      </c>
    </row>
    <row r="260" spans="1:17">
      <c r="A260" s="71">
        <f>A259+1</f>
        <v>170</v>
      </c>
      <c r="B260" s="67"/>
      <c r="C260" s="67" t="s">
        <v>999</v>
      </c>
      <c r="D260" s="67"/>
      <c r="E260" s="81">
        <v>8652290.1150000002</v>
      </c>
      <c r="F260" s="363"/>
      <c r="G260" s="361">
        <v>12.39</v>
      </c>
      <c r="H260" s="77"/>
      <c r="I260" s="81">
        <v>8652290.1150000002</v>
      </c>
      <c r="J260" s="363"/>
      <c r="K260" s="361">
        <v>12.39</v>
      </c>
      <c r="L260" s="77"/>
      <c r="M260" s="82">
        <f>I260-E260</f>
        <v>0</v>
      </c>
      <c r="N260" s="77"/>
      <c r="O260" s="326">
        <f>IFERROR(M260/E260,"100.0%")</f>
        <v>0</v>
      </c>
      <c r="P260" s="327"/>
      <c r="Q260" s="326">
        <v>0</v>
      </c>
    </row>
    <row r="261" spans="1:17">
      <c r="A261" s="71">
        <f>A260+1</f>
        <v>171</v>
      </c>
      <c r="B261" s="67"/>
      <c r="C261" s="67" t="s">
        <v>1000</v>
      </c>
      <c r="D261" s="67"/>
      <c r="E261" s="81">
        <v>2469007.9812544151</v>
      </c>
      <c r="F261" s="363"/>
      <c r="G261" s="361">
        <v>3.5355967589099042</v>
      </c>
      <c r="H261" s="77"/>
      <c r="I261" s="374">
        <v>2470474.4711044151</v>
      </c>
      <c r="J261" s="363"/>
      <c r="K261" s="375">
        <v>3.5376967589099042</v>
      </c>
      <c r="L261" s="77"/>
      <c r="M261" s="82">
        <f>I261-E261</f>
        <v>1466.4898500000127</v>
      </c>
      <c r="N261" s="77"/>
      <c r="O261" s="326">
        <f>IFERROR(M261/E261,"100.0%")</f>
        <v>5.9395913708425575E-4</v>
      </c>
      <c r="P261" s="327"/>
      <c r="Q261" s="325">
        <f>O261</f>
        <v>5.9395913708425575E-4</v>
      </c>
    </row>
    <row r="262" spans="1:17">
      <c r="A262" s="71">
        <f>A261+1</f>
        <v>172</v>
      </c>
      <c r="B262" s="67"/>
      <c r="C262" s="67" t="s">
        <v>1001</v>
      </c>
      <c r="D262" s="67"/>
      <c r="E262" s="81">
        <v>8184007.1086389013</v>
      </c>
      <c r="F262" s="71"/>
      <c r="G262" s="361">
        <v>11.719423034630408</v>
      </c>
      <c r="H262" s="71"/>
      <c r="I262" s="81">
        <v>8184914.9356888998</v>
      </c>
      <c r="J262" s="71"/>
      <c r="K262" s="361">
        <v>11.720723034630407</v>
      </c>
      <c r="L262" s="77"/>
      <c r="M262" s="82">
        <f>I262-E262</f>
        <v>907.82704999856651</v>
      </c>
      <c r="N262" s="67"/>
      <c r="O262" s="325">
        <f>M262/E262</f>
        <v>1.1092696254384719E-4</v>
      </c>
      <c r="P262" s="327"/>
      <c r="Q262" s="325">
        <f>O262</f>
        <v>1.1092696254384719E-4</v>
      </c>
    </row>
    <row r="263" spans="1:17">
      <c r="A263" s="71">
        <f>A262+1</f>
        <v>173</v>
      </c>
      <c r="B263" s="67"/>
      <c r="C263" s="67" t="s">
        <v>1002</v>
      </c>
      <c r="D263" s="67"/>
      <c r="E263" s="364">
        <f>SUM(E259:E262)</f>
        <v>19911439.475104861</v>
      </c>
      <c r="F263" s="71"/>
      <c r="G263" s="365">
        <v>28.512998503003761</v>
      </c>
      <c r="H263" s="71"/>
      <c r="I263" s="364">
        <f>SUM(I259:I262)</f>
        <v>19920497.61825886</v>
      </c>
      <c r="J263" s="71"/>
      <c r="K263" s="365">
        <v>28.525969680829093</v>
      </c>
      <c r="L263" s="77"/>
      <c r="M263" s="377">
        <f>SUM(M259:M262)</f>
        <v>9058.1431539986515</v>
      </c>
      <c r="N263" s="67"/>
      <c r="O263" s="367">
        <f>M263/E263</f>
        <v>4.5492156231717888E-4</v>
      </c>
      <c r="P263" s="368"/>
      <c r="Q263" s="367">
        <f>(M259+M262+M261)/(E259+E262+E261)</f>
        <v>8.045139880722117E-4</v>
      </c>
    </row>
    <row r="264" spans="1:17">
      <c r="A264" s="71"/>
      <c r="B264" s="67"/>
      <c r="C264" s="67"/>
      <c r="D264" s="67"/>
      <c r="E264" s="81"/>
      <c r="F264" s="71"/>
      <c r="G264" s="77"/>
      <c r="H264" s="71"/>
      <c r="I264" s="81"/>
      <c r="J264" s="71"/>
      <c r="K264" s="77"/>
      <c r="L264" s="77"/>
      <c r="M264" s="82"/>
      <c r="N264" s="67"/>
      <c r="O264" s="368"/>
      <c r="P264" s="368"/>
      <c r="Q264" s="368"/>
    </row>
    <row r="265" spans="1:17">
      <c r="A265" s="71">
        <f>A263+1</f>
        <v>174</v>
      </c>
      <c r="B265" s="67"/>
      <c r="C265" s="67" t="s">
        <v>1003</v>
      </c>
      <c r="D265" s="67"/>
      <c r="E265" s="364">
        <v>19912347.302154861</v>
      </c>
      <c r="F265" s="71"/>
      <c r="G265" s="369">
        <v>28.514298503003761</v>
      </c>
      <c r="H265" s="71"/>
      <c r="I265" s="364">
        <v>19920497.61825886</v>
      </c>
      <c r="J265" s="71"/>
      <c r="K265" s="369">
        <v>28.525969680829093</v>
      </c>
      <c r="L265" s="77"/>
      <c r="M265" s="377">
        <v>8150.316104000085</v>
      </c>
      <c r="N265" s="67"/>
      <c r="O265" s="370">
        <v>4.0930965999764774E-4</v>
      </c>
      <c r="P265" s="368"/>
      <c r="Q265" s="370">
        <v>7.2382546274256268E-4</v>
      </c>
    </row>
    <row r="266" spans="1:17">
      <c r="A266" s="71">
        <f>A265+1</f>
        <v>175</v>
      </c>
      <c r="B266" s="67"/>
      <c r="C266" s="67" t="s">
        <v>1004</v>
      </c>
      <c r="D266" s="67"/>
      <c r="E266" s="80"/>
      <c r="F266" s="80"/>
      <c r="G266" s="80"/>
      <c r="H266" s="80"/>
      <c r="I266" s="80"/>
      <c r="J266" s="80"/>
      <c r="K266" s="80"/>
      <c r="L266" s="80"/>
      <c r="M266" s="82"/>
      <c r="N266" s="67"/>
      <c r="O266" s="370">
        <v>6.949787344163698E-4</v>
      </c>
      <c r="P266" s="368"/>
      <c r="Q266" s="370">
        <v>2.6503866935309178E-3</v>
      </c>
    </row>
    <row r="267" spans="1:17">
      <c r="A267" s="71">
        <f>A266+1</f>
        <v>176</v>
      </c>
      <c r="B267" s="67"/>
      <c r="C267" s="67" t="s">
        <v>1005</v>
      </c>
      <c r="D267" s="67"/>
      <c r="E267" s="364">
        <v>17246736.858482338</v>
      </c>
      <c r="F267" s="71"/>
      <c r="G267" s="369">
        <v>24.697168823100217</v>
      </c>
      <c r="H267" s="71"/>
      <c r="I267" s="364">
        <v>17264873.272136338</v>
      </c>
      <c r="J267" s="71"/>
      <c r="K267" s="369">
        <v>24.72314000092555</v>
      </c>
      <c r="L267" s="77"/>
      <c r="M267" s="377">
        <v>18136.413654000033</v>
      </c>
      <c r="N267" s="67"/>
      <c r="O267" s="370">
        <v>1.0515852246612166E-3</v>
      </c>
      <c r="P267" s="368"/>
      <c r="Q267" s="370">
        <v>2.1102479537445408E-3</v>
      </c>
    </row>
    <row r="268" spans="1:17">
      <c r="A268" s="71">
        <f>A267+1</f>
        <v>177</v>
      </c>
      <c r="B268" s="67"/>
      <c r="C268" s="67" t="s">
        <v>1006</v>
      </c>
      <c r="D268" s="67"/>
      <c r="E268" s="80"/>
      <c r="F268" s="80"/>
      <c r="G268" s="80"/>
      <c r="H268" s="80"/>
      <c r="I268" s="80"/>
      <c r="J268" s="80"/>
      <c r="K268" s="80"/>
      <c r="L268" s="80"/>
      <c r="M268" s="82"/>
      <c r="N268" s="67"/>
      <c r="O268" s="370">
        <v>2.0014091877463449E-3</v>
      </c>
      <c r="P268" s="368"/>
      <c r="Q268" s="370">
        <v>4.4285726551300857E-2</v>
      </c>
    </row>
    <row r="269" spans="1:17">
      <c r="A269" s="71"/>
      <c r="B269" s="67"/>
      <c r="C269" s="67"/>
      <c r="D269" s="67"/>
      <c r="E269" s="80"/>
      <c r="F269" s="80"/>
      <c r="G269" s="80"/>
      <c r="H269" s="80"/>
      <c r="I269" s="80"/>
      <c r="J269" s="80"/>
      <c r="K269" s="80"/>
      <c r="L269" s="80"/>
      <c r="M269" s="82"/>
      <c r="N269" s="67"/>
      <c r="O269" s="327"/>
      <c r="P269" s="327"/>
      <c r="Q269" s="327"/>
    </row>
    <row r="270" spans="1:17" ht="15.6">
      <c r="A270" s="71"/>
      <c r="B270" s="67"/>
      <c r="C270" s="76" t="s">
        <v>1044</v>
      </c>
      <c r="D270" s="67"/>
      <c r="E270" s="67" t="s">
        <v>1045</v>
      </c>
      <c r="F270" s="67"/>
      <c r="G270" s="67"/>
      <c r="H270" s="67"/>
      <c r="I270" s="67"/>
      <c r="J270" s="67"/>
      <c r="K270" s="67"/>
      <c r="L270" s="67"/>
      <c r="M270" s="82"/>
      <c r="N270" s="67"/>
      <c r="O270" s="368"/>
      <c r="P270" s="368"/>
      <c r="Q270" s="368"/>
    </row>
    <row r="271" spans="1:17">
      <c r="A271" s="71">
        <f>A268+1</f>
        <v>178</v>
      </c>
      <c r="B271" s="67"/>
      <c r="C271" s="67" t="s">
        <v>998</v>
      </c>
      <c r="D271" s="67"/>
      <c r="E271" s="81">
        <v>6241712.566037978</v>
      </c>
      <c r="F271" s="71"/>
      <c r="G271" s="361">
        <v>4.4486553395145867</v>
      </c>
      <c r="H271" s="71"/>
      <c r="I271" s="81">
        <v>6335823.7900379784</v>
      </c>
      <c r="J271" s="71"/>
      <c r="K271" s="361">
        <v>4.5157312252953403</v>
      </c>
      <c r="L271" s="77"/>
      <c r="M271" s="82">
        <f>I271-E271</f>
        <v>94111.224000000395</v>
      </c>
      <c r="N271" s="77"/>
      <c r="O271" s="368"/>
      <c r="P271" s="327"/>
      <c r="Q271" s="325">
        <f>M271/E271</f>
        <v>1.5077788828673815E-2</v>
      </c>
    </row>
    <row r="272" spans="1:17">
      <c r="A272" s="71">
        <f>A271+1</f>
        <v>179</v>
      </c>
      <c r="B272" s="67"/>
      <c r="C272" s="67" t="s">
        <v>1000</v>
      </c>
      <c r="D272" s="67"/>
      <c r="E272" s="81">
        <v>6391482.5174918622</v>
      </c>
      <c r="F272" s="363"/>
      <c r="G272" s="361">
        <v>4.5554008660323335</v>
      </c>
      <c r="H272" s="77"/>
      <c r="I272" s="81">
        <v>6394428.9350918634</v>
      </c>
      <c r="J272" s="363"/>
      <c r="K272" s="361">
        <v>4.5575008660323348</v>
      </c>
      <c r="L272" s="77"/>
      <c r="M272" s="82">
        <f>I272-E272</f>
        <v>2946.4176000012085</v>
      </c>
      <c r="N272" s="77"/>
      <c r="O272" s="368"/>
      <c r="P272" s="327"/>
      <c r="Q272" s="325">
        <f>M272/E272</f>
        <v>4.6099126328478764E-4</v>
      </c>
    </row>
    <row r="273" spans="1:17">
      <c r="A273" s="71">
        <f>A272+1</f>
        <v>180</v>
      </c>
      <c r="B273" s="67"/>
      <c r="C273" s="67" t="s">
        <v>1001</v>
      </c>
      <c r="D273" s="67"/>
      <c r="E273" s="81">
        <v>16442865.865198635</v>
      </c>
      <c r="F273" s="71"/>
      <c r="G273" s="361">
        <v>11.719322582419116</v>
      </c>
      <c r="H273" s="71"/>
      <c r="I273" s="81">
        <v>16444689.83799863</v>
      </c>
      <c r="J273" s="71"/>
      <c r="K273" s="361">
        <v>11.720622582419113</v>
      </c>
      <c r="L273" s="77"/>
      <c r="M273" s="82">
        <f>I273-E273</f>
        <v>1823.9727999959141</v>
      </c>
      <c r="N273" s="67"/>
      <c r="O273" s="368"/>
      <c r="P273" s="327"/>
      <c r="Q273" s="325">
        <f>M273/E273</f>
        <v>1.1092791335459088E-4</v>
      </c>
    </row>
    <row r="274" spans="1:17">
      <c r="A274" s="71">
        <f>A273+1</f>
        <v>181</v>
      </c>
      <c r="B274" s="67"/>
      <c r="C274" s="67" t="s">
        <v>1002</v>
      </c>
      <c r="D274" s="67"/>
      <c r="E274" s="364">
        <f>SUM(E271:E273)</f>
        <v>29076060.948728476</v>
      </c>
      <c r="F274" s="71"/>
      <c r="G274" s="365">
        <v>20.723378787966038</v>
      </c>
      <c r="H274" s="71"/>
      <c r="I274" s="364">
        <f>SUM(I271:I273)</f>
        <v>29174942.563128471</v>
      </c>
      <c r="J274" s="71"/>
      <c r="K274" s="365">
        <v>20.793854673746786</v>
      </c>
      <c r="L274" s="77"/>
      <c r="M274" s="377">
        <f>SUM(M271:M273)</f>
        <v>98881.614399997517</v>
      </c>
      <c r="N274" s="67"/>
      <c r="O274" s="368"/>
      <c r="P274" s="368"/>
      <c r="Q274" s="367">
        <f>(M271+M273+M272)/(E271+E273+E272)</f>
        <v>3.4007912754881508E-3</v>
      </c>
    </row>
    <row r="275" spans="1:17">
      <c r="A275" s="71"/>
      <c r="B275" s="67"/>
      <c r="C275" s="67"/>
      <c r="D275" s="67"/>
      <c r="E275" s="81"/>
      <c r="F275" s="71"/>
      <c r="G275" s="77"/>
      <c r="H275" s="71"/>
      <c r="I275" s="81"/>
      <c r="J275" s="71"/>
      <c r="K275" s="77"/>
      <c r="L275" s="77"/>
      <c r="M275" s="82"/>
      <c r="N275" s="67"/>
      <c r="O275" s="368"/>
      <c r="P275" s="368"/>
      <c r="Q275" s="368"/>
    </row>
    <row r="276" spans="1:17">
      <c r="A276" s="71">
        <f>A274+1</f>
        <v>182</v>
      </c>
      <c r="B276" s="67"/>
      <c r="C276" s="67" t="s">
        <v>1003</v>
      </c>
      <c r="D276" s="67"/>
      <c r="E276" s="364">
        <v>29077884.921528473</v>
      </c>
      <c r="F276" s="71"/>
      <c r="G276" s="369">
        <v>20.724678787966035</v>
      </c>
      <c r="H276" s="71"/>
      <c r="I276" s="364">
        <v>29174942.563128471</v>
      </c>
      <c r="J276" s="71"/>
      <c r="K276" s="369">
        <v>20.793854673746786</v>
      </c>
      <c r="L276" s="77"/>
      <c r="M276" s="377">
        <v>97057.641600001603</v>
      </c>
      <c r="N276" s="67"/>
      <c r="O276" s="368"/>
      <c r="P276" s="368"/>
      <c r="Q276" s="370">
        <v>3.3378508052400598E-3</v>
      </c>
    </row>
    <row r="277" spans="1:17">
      <c r="A277" s="71">
        <f>A276+1</f>
        <v>183</v>
      </c>
      <c r="B277" s="67"/>
      <c r="C277" s="67" t="s">
        <v>1004</v>
      </c>
      <c r="D277" s="67"/>
      <c r="E277" s="80"/>
      <c r="F277" s="80"/>
      <c r="G277" s="80"/>
      <c r="H277" s="80"/>
      <c r="I277" s="80"/>
      <c r="J277" s="80"/>
      <c r="K277" s="80"/>
      <c r="L277" s="80"/>
      <c r="M277" s="82"/>
      <c r="N277" s="67"/>
      <c r="O277" s="368"/>
      <c r="P277" s="368"/>
      <c r="Q277" s="370">
        <v>7.6827469977517934E-3</v>
      </c>
    </row>
    <row r="278" spans="1:17">
      <c r="A278" s="71">
        <f>A277+1</f>
        <v>184</v>
      </c>
      <c r="B278" s="67"/>
      <c r="C278" s="67" t="s">
        <v>1005</v>
      </c>
      <c r="D278" s="67"/>
      <c r="E278" s="364">
        <v>23722238.493227411</v>
      </c>
      <c r="F278" s="71"/>
      <c r="G278" s="369">
        <v>16.907549301829299</v>
      </c>
      <c r="H278" s="71"/>
      <c r="I278" s="364">
        <v>23839359.835627411</v>
      </c>
      <c r="J278" s="71"/>
      <c r="K278" s="369">
        <v>16.991025187610052</v>
      </c>
      <c r="L278" s="77"/>
      <c r="M278" s="377">
        <v>117121.34240000043</v>
      </c>
      <c r="N278" s="67"/>
      <c r="O278" s="368"/>
      <c r="P278" s="368"/>
      <c r="Q278" s="370">
        <v>4.9371960590244481E-3</v>
      </c>
    </row>
    <row r="279" spans="1:17">
      <c r="A279" s="71">
        <f>A278+1</f>
        <v>185</v>
      </c>
      <c r="B279" s="67"/>
      <c r="C279" s="67" t="s">
        <v>1006</v>
      </c>
      <c r="D279" s="67"/>
      <c r="E279" s="80"/>
      <c r="F279" s="80"/>
      <c r="G279" s="80"/>
      <c r="H279" s="80"/>
      <c r="I279" s="80"/>
      <c r="J279" s="80"/>
      <c r="K279" s="80"/>
      <c r="L279" s="80"/>
      <c r="M279" s="82"/>
      <c r="N279" s="67"/>
      <c r="O279" s="368"/>
      <c r="P279" s="368"/>
      <c r="Q279" s="370">
        <v>1.6093515543293687E-2</v>
      </c>
    </row>
    <row r="280" spans="1:17">
      <c r="A280" s="71"/>
      <c r="B280" s="67"/>
      <c r="C280" s="67"/>
      <c r="D280" s="67"/>
      <c r="E280" s="71"/>
      <c r="F280" s="71"/>
      <c r="G280" s="71"/>
      <c r="H280" s="71"/>
      <c r="I280" s="71"/>
      <c r="J280" s="71"/>
      <c r="K280" s="71"/>
      <c r="L280" s="71"/>
      <c r="M280" s="376"/>
      <c r="N280" s="71"/>
      <c r="O280" s="71"/>
      <c r="P280" s="71"/>
      <c r="Q280" s="71"/>
    </row>
    <row r="281" spans="1:17">
      <c r="A281" s="76" t="s">
        <v>80</v>
      </c>
      <c r="B281" s="76"/>
      <c r="C281" s="67"/>
      <c r="D281" s="67"/>
      <c r="E281" s="67"/>
      <c r="F281" s="67"/>
      <c r="G281" s="77"/>
      <c r="H281" s="67"/>
      <c r="I281" s="67"/>
      <c r="J281" s="67"/>
      <c r="K281" s="67"/>
      <c r="L281" s="67"/>
      <c r="M281" s="82"/>
      <c r="N281" s="67"/>
      <c r="O281" s="67"/>
      <c r="P281" s="67"/>
      <c r="Q281" s="67"/>
    </row>
    <row r="282" spans="1:17">
      <c r="A282" s="190" t="s">
        <v>40</v>
      </c>
      <c r="B282" s="83"/>
      <c r="C282" s="84" t="s">
        <v>1046</v>
      </c>
      <c r="D282" s="67"/>
      <c r="E282" s="81"/>
      <c r="F282" s="67"/>
      <c r="G282" s="77"/>
      <c r="H282" s="67"/>
      <c r="I282" s="81"/>
      <c r="J282" s="67"/>
      <c r="K282" s="77"/>
      <c r="L282" s="77"/>
      <c r="M282" s="78"/>
      <c r="N282" s="67"/>
      <c r="O282" s="80"/>
      <c r="P282" s="80"/>
      <c r="Q282" s="80"/>
    </row>
    <row r="283" spans="1:17">
      <c r="A283" s="190" t="s">
        <v>20</v>
      </c>
      <c r="B283" s="67"/>
      <c r="C283" s="1182" t="s">
        <v>1047</v>
      </c>
      <c r="D283" s="1183"/>
      <c r="E283" s="1183"/>
      <c r="F283" s="1183"/>
      <c r="G283" s="1183"/>
      <c r="H283" s="1183"/>
      <c r="I283" s="1183"/>
      <c r="J283" s="1183"/>
      <c r="K283" s="1183"/>
      <c r="L283" s="1183"/>
      <c r="M283" s="1183"/>
      <c r="N283" s="1183"/>
      <c r="O283" s="1183"/>
      <c r="P283" s="1183"/>
      <c r="Q283" s="1183"/>
    </row>
    <row r="284" spans="1:17">
      <c r="A284" s="71"/>
      <c r="B284" s="67"/>
      <c r="C284" s="76"/>
      <c r="D284" s="76"/>
      <c r="E284" s="76"/>
      <c r="F284" s="76"/>
      <c r="G284" s="76"/>
      <c r="H284" s="76"/>
      <c r="I284" s="76"/>
      <c r="J284" s="76"/>
      <c r="K284" s="76"/>
      <c r="L284" s="76"/>
      <c r="M284" s="76"/>
      <c r="N284" s="67"/>
      <c r="O284" s="85"/>
      <c r="P284" s="85"/>
      <c r="Q284" s="85"/>
    </row>
    <row r="285" spans="1:17">
      <c r="A285" s="71"/>
      <c r="B285" s="67"/>
      <c r="C285" s="76"/>
      <c r="D285" s="76"/>
      <c r="E285" s="76"/>
      <c r="F285" s="76"/>
      <c r="G285" s="76"/>
      <c r="H285" s="76"/>
      <c r="I285" s="76"/>
      <c r="J285" s="76"/>
      <c r="K285" s="76"/>
      <c r="L285" s="76"/>
      <c r="M285" s="76"/>
      <c r="N285" s="67"/>
      <c r="O285" s="85"/>
      <c r="P285" s="85"/>
      <c r="Q285" s="85"/>
    </row>
    <row r="286" spans="1:17">
      <c r="A286" s="71"/>
      <c r="B286" s="67"/>
      <c r="C286" s="76"/>
      <c r="D286" s="76"/>
      <c r="E286" s="76"/>
      <c r="F286" s="76"/>
      <c r="G286" s="76"/>
      <c r="H286" s="76"/>
      <c r="I286" s="76"/>
      <c r="J286" s="76"/>
      <c r="K286" s="76"/>
      <c r="L286" s="76"/>
      <c r="M286" s="76"/>
      <c r="N286" s="67"/>
      <c r="O286" s="85"/>
      <c r="P286" s="85"/>
      <c r="Q286" s="85"/>
    </row>
    <row r="287" spans="1:17">
      <c r="A287" s="71"/>
      <c r="B287" s="67"/>
      <c r="C287" s="76"/>
      <c r="D287" s="76"/>
      <c r="E287" s="76"/>
      <c r="F287" s="76"/>
      <c r="G287" s="76"/>
      <c r="H287" s="76"/>
      <c r="I287" s="76"/>
      <c r="J287" s="76"/>
      <c r="K287" s="76"/>
      <c r="L287" s="76"/>
      <c r="M287" s="76"/>
      <c r="N287" s="67"/>
      <c r="O287" s="70"/>
      <c r="P287" s="70"/>
      <c r="Q287" s="70"/>
    </row>
    <row r="288" spans="1:17">
      <c r="A288" s="71"/>
      <c r="B288" s="67"/>
      <c r="C288" s="86"/>
      <c r="D288" s="86"/>
      <c r="E288" s="86"/>
      <c r="F288" s="86"/>
      <c r="G288" s="86"/>
      <c r="H288" s="86"/>
      <c r="I288" s="86"/>
      <c r="J288" s="86"/>
      <c r="K288" s="86"/>
      <c r="L288" s="86"/>
      <c r="M288" s="86"/>
      <c r="N288" s="76"/>
      <c r="O288" s="87"/>
      <c r="P288" s="87"/>
      <c r="Q288" s="70"/>
    </row>
    <row r="710" spans="1:17">
      <c r="A710" s="71"/>
      <c r="B710" s="83"/>
      <c r="C710" s="67"/>
      <c r="D710" s="67"/>
      <c r="E710" s="67"/>
      <c r="F710" s="67"/>
      <c r="G710" s="67"/>
      <c r="H710" s="67"/>
      <c r="I710" s="67"/>
      <c r="J710" s="67"/>
      <c r="K710" s="67"/>
      <c r="L710" s="67"/>
      <c r="M710" s="67"/>
      <c r="N710" s="67"/>
      <c r="O710" s="67"/>
      <c r="P710" s="67"/>
      <c r="Q710" s="67"/>
    </row>
  </sheetData>
  <mergeCells count="21">
    <mergeCell ref="E13:G13"/>
    <mergeCell ref="A3:Q3"/>
    <mergeCell ref="A4:Q4"/>
    <mergeCell ref="E7:G7"/>
    <mergeCell ref="I7:M7"/>
    <mergeCell ref="O7:Q7"/>
    <mergeCell ref="E25:G25"/>
    <mergeCell ref="E37:G37"/>
    <mergeCell ref="E49:G49"/>
    <mergeCell ref="E198:G198"/>
    <mergeCell ref="C283:Q283"/>
    <mergeCell ref="A98:Q98"/>
    <mergeCell ref="A99:Q99"/>
    <mergeCell ref="A189:Q189"/>
    <mergeCell ref="A190:Q190"/>
    <mergeCell ref="E101:G101"/>
    <mergeCell ref="I101:M101"/>
    <mergeCell ref="O101:Q101"/>
    <mergeCell ref="E192:G192"/>
    <mergeCell ref="I192:M192"/>
    <mergeCell ref="O192:Q192"/>
  </mergeCells>
  <printOptions horizontalCentered="1"/>
  <pageMargins left="0.7" right="0.7" top="0.75" bottom="0.75" header="0.3" footer="0.3"/>
  <pageSetup scale="48" fitToHeight="3" orientation="portrait" r:id="rId1"/>
  <headerFooter>
    <oddHeader>&amp;RFiled: 2024-02-16
EB-2022-0200
Rate Order
Working Papers
Schedule 24
Page &amp;P of 8</oddHeader>
  </headerFooter>
  <rowBreaks count="2" manualBreakCount="2">
    <brk id="95" max="16" man="1"/>
    <brk id="186"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67F6-0971-4FC3-9B70-DE790E398ECE}">
  <sheetPr>
    <pageSetUpPr fitToPage="1"/>
  </sheetPr>
  <dimension ref="A3:Q142"/>
  <sheetViews>
    <sheetView view="pageBreakPreview" zoomScale="85" zoomScaleNormal="100" zoomScaleSheetLayoutView="85" workbookViewId="0"/>
  </sheetViews>
  <sheetFormatPr defaultColWidth="8.625" defaultRowHeight="14.45"/>
  <cols>
    <col min="1" max="1" width="4.125" style="66" customWidth="1"/>
    <col min="2" max="2" width="1.125" style="66" customWidth="1"/>
    <col min="3" max="3" width="32.125" style="66" customWidth="1"/>
    <col min="4" max="4" width="1.125" style="66" customWidth="1"/>
    <col min="5" max="5" width="14.125" style="66" customWidth="1"/>
    <col min="6" max="6" width="1.125" style="66" customWidth="1"/>
    <col min="7" max="7" width="14.125" style="66" customWidth="1"/>
    <col min="8" max="8" width="1.125" style="66" customWidth="1"/>
    <col min="9" max="9" width="14.125" style="66" customWidth="1"/>
    <col min="10" max="10" width="1.125" style="66" customWidth="1"/>
    <col min="11" max="11" width="14.125" style="66" customWidth="1"/>
    <col min="12" max="12" width="1.125" style="66" customWidth="1"/>
    <col min="13" max="13" width="14.125" style="66" customWidth="1"/>
    <col min="14" max="14" width="1.125" style="66" customWidth="1"/>
    <col min="15" max="15" width="14.125" style="66" customWidth="1"/>
    <col min="16" max="16" width="1.125" style="66" customWidth="1"/>
    <col min="17" max="17" width="14.125" style="66" customWidth="1"/>
    <col min="18" max="16384" width="8.625" style="68"/>
  </cols>
  <sheetData>
    <row r="3" spans="1:17">
      <c r="A3" s="1184" t="s">
        <v>1048</v>
      </c>
      <c r="B3" s="1184"/>
      <c r="C3" s="1184"/>
      <c r="D3" s="1184"/>
      <c r="E3" s="1184"/>
      <c r="F3" s="1184"/>
      <c r="G3" s="1184"/>
      <c r="H3" s="1184"/>
      <c r="I3" s="1184"/>
      <c r="J3" s="1184"/>
      <c r="K3" s="1184"/>
      <c r="L3" s="1184"/>
      <c r="M3" s="1184"/>
      <c r="N3" s="1184"/>
      <c r="O3" s="1184"/>
      <c r="P3" s="1184"/>
      <c r="Q3" s="1184"/>
    </row>
    <row r="4" spans="1:17">
      <c r="A4" s="1184" t="s">
        <v>1049</v>
      </c>
      <c r="B4" s="1184"/>
      <c r="C4" s="1184"/>
      <c r="D4" s="1184"/>
      <c r="E4" s="1184"/>
      <c r="F4" s="1184"/>
      <c r="G4" s="1184"/>
      <c r="H4" s="1184"/>
      <c r="I4" s="1184"/>
      <c r="J4" s="1184"/>
      <c r="K4" s="1184"/>
      <c r="L4" s="1184"/>
      <c r="M4" s="1184"/>
      <c r="N4" s="1184"/>
      <c r="O4" s="1184"/>
      <c r="P4" s="1184"/>
      <c r="Q4" s="1184"/>
    </row>
    <row r="5" spans="1:17">
      <c r="A5" s="88"/>
      <c r="B5" s="88"/>
      <c r="C5" s="88"/>
      <c r="D5" s="88"/>
      <c r="E5" s="88"/>
      <c r="F5" s="88"/>
      <c r="G5" s="88"/>
      <c r="H5" s="88"/>
      <c r="I5" s="88"/>
      <c r="J5" s="88"/>
      <c r="K5" s="88"/>
      <c r="L5" s="88"/>
      <c r="M5" s="88"/>
      <c r="N5" s="88"/>
      <c r="O5" s="88"/>
      <c r="P5" s="88"/>
      <c r="Q5" s="88"/>
    </row>
    <row r="6" spans="1:17">
      <c r="A6" s="71"/>
      <c r="B6" s="67"/>
      <c r="C6" s="67"/>
      <c r="D6" s="67"/>
      <c r="E6" s="89"/>
      <c r="F6" s="89"/>
      <c r="G6" s="89"/>
      <c r="H6" s="89"/>
      <c r="I6" s="89"/>
      <c r="J6" s="89"/>
      <c r="K6" s="89"/>
      <c r="L6" s="89"/>
      <c r="M6" s="89"/>
      <c r="N6" s="89"/>
      <c r="O6" s="89"/>
      <c r="P6" s="90"/>
      <c r="Q6" s="90"/>
    </row>
    <row r="7" spans="1:17">
      <c r="A7" s="71"/>
      <c r="B7" s="67"/>
      <c r="C7" s="67"/>
      <c r="D7" s="67"/>
      <c r="E7" s="1185" t="s">
        <v>985</v>
      </c>
      <c r="F7" s="1185"/>
      <c r="G7" s="1185"/>
      <c r="H7" s="67"/>
      <c r="I7" s="1185" t="s">
        <v>986</v>
      </c>
      <c r="J7" s="1185"/>
      <c r="K7" s="1185"/>
      <c r="L7" s="1185"/>
      <c r="M7" s="1185"/>
      <c r="N7" s="67"/>
      <c r="O7" s="1185" t="s">
        <v>987</v>
      </c>
      <c r="P7" s="1185"/>
      <c r="Q7" s="1185"/>
    </row>
    <row r="8" spans="1:17">
      <c r="A8" s="71"/>
      <c r="B8" s="67"/>
      <c r="C8" s="67"/>
      <c r="D8" s="67"/>
      <c r="E8" s="71"/>
      <c r="F8" s="71"/>
      <c r="G8" s="71"/>
      <c r="H8" s="67"/>
      <c r="I8" s="71"/>
      <c r="J8" s="71"/>
      <c r="K8" s="71"/>
      <c r="L8" s="71"/>
      <c r="M8" s="71" t="s">
        <v>988</v>
      </c>
      <c r="N8" s="67"/>
      <c r="O8" s="71" t="s">
        <v>989</v>
      </c>
      <c r="P8" s="71"/>
      <c r="Q8" s="71" t="s">
        <v>990</v>
      </c>
    </row>
    <row r="9" spans="1:17">
      <c r="A9" s="71" t="s">
        <v>56</v>
      </c>
      <c r="B9" s="67"/>
      <c r="C9" s="67"/>
      <c r="D9" s="67"/>
      <c r="E9" s="71" t="s">
        <v>988</v>
      </c>
      <c r="F9" s="71"/>
      <c r="G9" s="71" t="s">
        <v>991</v>
      </c>
      <c r="H9" s="67"/>
      <c r="I9" s="71" t="s">
        <v>988</v>
      </c>
      <c r="J9" s="71"/>
      <c r="K9" s="71" t="s">
        <v>991</v>
      </c>
      <c r="L9" s="71"/>
      <c r="M9" s="71" t="s">
        <v>845</v>
      </c>
      <c r="N9" s="67"/>
      <c r="O9" s="71" t="s">
        <v>992</v>
      </c>
      <c r="P9" s="67"/>
      <c r="Q9" s="71" t="s">
        <v>992</v>
      </c>
    </row>
    <row r="10" spans="1:17" ht="15.6">
      <c r="A10" s="74" t="s">
        <v>57</v>
      </c>
      <c r="B10" s="67"/>
      <c r="C10" s="360" t="s">
        <v>194</v>
      </c>
      <c r="D10" s="67"/>
      <c r="E10" s="74" t="s">
        <v>993</v>
      </c>
      <c r="F10" s="71"/>
      <c r="G10" s="74" t="s">
        <v>247</v>
      </c>
      <c r="H10" s="67"/>
      <c r="I10" s="74" t="s">
        <v>993</v>
      </c>
      <c r="J10" s="71"/>
      <c r="K10" s="74" t="s">
        <v>247</v>
      </c>
      <c r="L10" s="71"/>
      <c r="M10" s="74" t="s">
        <v>993</v>
      </c>
      <c r="N10" s="67"/>
      <c r="O10" s="74" t="s">
        <v>249</v>
      </c>
      <c r="P10" s="71"/>
      <c r="Q10" s="74" t="s">
        <v>249</v>
      </c>
    </row>
    <row r="11" spans="1:17">
      <c r="A11" s="71"/>
      <c r="B11" s="67"/>
      <c r="C11" s="67"/>
      <c r="D11" s="67"/>
      <c r="E11" s="71" t="s">
        <v>9</v>
      </c>
      <c r="F11" s="71"/>
      <c r="G11" s="71" t="s">
        <v>10</v>
      </c>
      <c r="H11" s="71"/>
      <c r="I11" s="71" t="s">
        <v>58</v>
      </c>
      <c r="J11" s="71"/>
      <c r="K11" s="71" t="s">
        <v>12</v>
      </c>
      <c r="L11" s="71"/>
      <c r="M11" s="71" t="s">
        <v>994</v>
      </c>
      <c r="N11" s="71"/>
      <c r="O11" s="71" t="s">
        <v>995</v>
      </c>
      <c r="P11" s="71"/>
      <c r="Q11" s="71" t="s">
        <v>209</v>
      </c>
    </row>
    <row r="12" spans="1:17">
      <c r="A12" s="71"/>
      <c r="B12" s="67"/>
      <c r="C12" s="67"/>
      <c r="D12" s="67"/>
      <c r="E12" s="71"/>
      <c r="F12" s="71"/>
      <c r="G12" s="71"/>
      <c r="H12" s="71"/>
      <c r="I12" s="71"/>
      <c r="J12" s="71"/>
      <c r="K12" s="71"/>
      <c r="L12" s="71"/>
      <c r="M12" s="71"/>
      <c r="N12" s="71"/>
      <c r="O12" s="71"/>
      <c r="P12" s="71"/>
      <c r="Q12" s="71"/>
    </row>
    <row r="13" spans="1:17" ht="15.6">
      <c r="A13" s="71"/>
      <c r="B13" s="67"/>
      <c r="C13" s="76" t="s">
        <v>1050</v>
      </c>
      <c r="D13" s="67"/>
      <c r="E13" s="1181" t="s">
        <v>1051</v>
      </c>
      <c r="F13" s="1181"/>
      <c r="G13" s="1181"/>
      <c r="H13" s="71"/>
      <c r="I13" s="71"/>
      <c r="J13" s="71"/>
      <c r="K13" s="71"/>
      <c r="L13" s="71"/>
      <c r="M13" s="376"/>
      <c r="N13" s="71"/>
      <c r="O13" s="71"/>
      <c r="P13" s="71"/>
      <c r="Q13" s="71"/>
    </row>
    <row r="14" spans="1:17">
      <c r="A14" s="71">
        <f>1</f>
        <v>1</v>
      </c>
      <c r="B14" s="67"/>
      <c r="C14" s="67" t="s">
        <v>998</v>
      </c>
      <c r="D14" s="67"/>
      <c r="E14" s="81">
        <v>525.59919580000007</v>
      </c>
      <c r="F14" s="363"/>
      <c r="G14" s="77">
        <v>23.890872536363638</v>
      </c>
      <c r="H14" s="77"/>
      <c r="I14" s="81">
        <v>556.68724500000008</v>
      </c>
      <c r="J14" s="71"/>
      <c r="K14" s="77">
        <v>25.303965681818184</v>
      </c>
      <c r="L14" s="77"/>
      <c r="M14" s="82">
        <f>I14-E14</f>
        <v>31.0880492</v>
      </c>
      <c r="N14" s="77"/>
      <c r="O14" s="325">
        <f>M14/E14</f>
        <v>5.9147824898555516E-2</v>
      </c>
      <c r="P14" s="79"/>
      <c r="Q14" s="325">
        <f>O14</f>
        <v>5.9147824898555516E-2</v>
      </c>
    </row>
    <row r="15" spans="1:17">
      <c r="A15" s="71">
        <f>A14+1</f>
        <v>2</v>
      </c>
      <c r="B15" s="67"/>
      <c r="C15" s="67" t="s">
        <v>999</v>
      </c>
      <c r="D15" s="67"/>
      <c r="E15" s="81">
        <v>272.58</v>
      </c>
      <c r="F15" s="363"/>
      <c r="G15" s="77">
        <v>12.39</v>
      </c>
      <c r="H15" s="77"/>
      <c r="I15" s="81">
        <v>272.58</v>
      </c>
      <c r="J15" s="363"/>
      <c r="K15" s="77">
        <v>12.39</v>
      </c>
      <c r="L15" s="77"/>
      <c r="M15" s="82">
        <f>I15-E15</f>
        <v>0</v>
      </c>
      <c r="N15" s="77"/>
      <c r="O15" s="326">
        <f>IFERROR(M15/E15,"100.0%")</f>
        <v>0</v>
      </c>
      <c r="P15" s="79"/>
      <c r="Q15" s="326">
        <v>0</v>
      </c>
    </row>
    <row r="16" spans="1:17">
      <c r="A16" s="71">
        <f>A15+1</f>
        <v>3</v>
      </c>
      <c r="B16" s="67"/>
      <c r="C16" s="67" t="s">
        <v>1000</v>
      </c>
      <c r="D16" s="67"/>
      <c r="E16" s="81">
        <v>171.97399999999996</v>
      </c>
      <c r="F16" s="363"/>
      <c r="G16" s="77">
        <v>7.8169999999999975</v>
      </c>
      <c r="H16" s="77"/>
      <c r="I16" s="81">
        <v>173.40179999999998</v>
      </c>
      <c r="J16" s="363"/>
      <c r="K16" s="77">
        <v>7.881899999999999</v>
      </c>
      <c r="L16" s="77"/>
      <c r="M16" s="82">
        <f>I16-E16</f>
        <v>1.4278000000000191</v>
      </c>
      <c r="N16" s="67"/>
      <c r="O16" s="325">
        <f>M16/E16</f>
        <v>8.3024178073430824E-3</v>
      </c>
      <c r="P16" s="79"/>
      <c r="Q16" s="325">
        <f>O16</f>
        <v>8.3024178073430824E-3</v>
      </c>
    </row>
    <row r="17" spans="1:17">
      <c r="A17" s="71">
        <f>A16+1</f>
        <v>4</v>
      </c>
      <c r="B17" s="67"/>
      <c r="C17" s="67" t="s">
        <v>1001</v>
      </c>
      <c r="D17" s="67"/>
      <c r="E17" s="81">
        <v>345.06120000000004</v>
      </c>
      <c r="F17" s="363"/>
      <c r="G17" s="77">
        <v>15.684600000000001</v>
      </c>
      <c r="H17" s="67"/>
      <c r="I17" s="81">
        <v>345.18660000000006</v>
      </c>
      <c r="J17" s="71"/>
      <c r="K17" s="77">
        <v>15.690300000000001</v>
      </c>
      <c r="L17" s="77"/>
      <c r="M17" s="82">
        <f>I17-E17</f>
        <v>0.12540000000001328</v>
      </c>
      <c r="N17" s="67"/>
      <c r="O17" s="325">
        <f>M17/E17</f>
        <v>3.6341379442259307E-4</v>
      </c>
      <c r="P17" s="79"/>
      <c r="Q17" s="325">
        <f>O17</f>
        <v>3.6341379442259307E-4</v>
      </c>
    </row>
    <row r="18" spans="1:17">
      <c r="A18" s="71">
        <f>A17+1</f>
        <v>5</v>
      </c>
      <c r="B18" s="67"/>
      <c r="C18" s="67" t="s">
        <v>1002</v>
      </c>
      <c r="D18" s="67"/>
      <c r="E18" s="364">
        <f>SUM(E14:E17)</f>
        <v>1315.2143958000001</v>
      </c>
      <c r="F18" s="71"/>
      <c r="G18" s="369">
        <v>59.782472536363642</v>
      </c>
      <c r="H18" s="71"/>
      <c r="I18" s="364">
        <f>SUM(I14:I17)</f>
        <v>1347.8556450000001</v>
      </c>
      <c r="J18" s="71"/>
      <c r="K18" s="369">
        <v>61.266165681818187</v>
      </c>
      <c r="L18" s="77"/>
      <c r="M18" s="377">
        <f>SUM(M14:M17)</f>
        <v>32.641249200000033</v>
      </c>
      <c r="N18" s="67"/>
      <c r="O18" s="367">
        <f>M18/E18</f>
        <v>2.481819641287113E-2</v>
      </c>
      <c r="P18" s="80"/>
      <c r="Q18" s="367">
        <f>(M14+M17+M16)/(E14+E17+E16)</f>
        <v>3.1306514854571643E-2</v>
      </c>
    </row>
    <row r="19" spans="1:17">
      <c r="A19" s="71"/>
      <c r="B19" s="67"/>
      <c r="C19" s="67"/>
      <c r="D19" s="67"/>
      <c r="E19" s="81"/>
      <c r="F19" s="71"/>
      <c r="G19" s="77"/>
      <c r="H19" s="71"/>
      <c r="I19" s="81"/>
      <c r="J19" s="71"/>
      <c r="K19" s="77"/>
      <c r="L19" s="77"/>
      <c r="M19" s="82"/>
      <c r="N19" s="67"/>
      <c r="O19" s="368"/>
      <c r="P19" s="80"/>
      <c r="Q19" s="368"/>
    </row>
    <row r="20" spans="1:17">
      <c r="A20" s="71">
        <f>A18+1</f>
        <v>6</v>
      </c>
      <c r="B20" s="67"/>
      <c r="C20" s="67" t="s">
        <v>1033</v>
      </c>
      <c r="D20" s="67"/>
      <c r="E20" s="364">
        <f>SUM(E14:E16)+I17</f>
        <v>1315.3397958</v>
      </c>
      <c r="F20" s="71"/>
      <c r="G20" s="369">
        <v>59.788172536363639</v>
      </c>
      <c r="H20" s="71"/>
      <c r="I20" s="364">
        <f>SUM(I14:I17)</f>
        <v>1347.8556450000001</v>
      </c>
      <c r="J20" s="363"/>
      <c r="K20" s="369">
        <v>61.266165681818187</v>
      </c>
      <c r="L20" s="77"/>
      <c r="M20" s="377">
        <f>M14+M15+M16</f>
        <v>32.515849200000019</v>
      </c>
      <c r="N20" s="67"/>
      <c r="O20" s="367">
        <f>M20/E20</f>
        <v>2.4720493749087569E-2</v>
      </c>
      <c r="P20" s="80"/>
      <c r="Q20" s="367">
        <f>(M20-M15)/(E20-E15)</f>
        <v>3.1182492200952205E-2</v>
      </c>
    </row>
    <row r="21" spans="1:17">
      <c r="A21" s="71">
        <f>A20+1</f>
        <v>7</v>
      </c>
      <c r="B21" s="67"/>
      <c r="C21" s="67" t="s">
        <v>1034</v>
      </c>
      <c r="D21" s="67"/>
      <c r="E21" s="80"/>
      <c r="F21" s="80"/>
      <c r="G21" s="80"/>
      <c r="H21" s="80"/>
      <c r="I21" s="80"/>
      <c r="J21" s="80"/>
      <c r="K21" s="80"/>
      <c r="L21" s="80"/>
      <c r="M21" s="82"/>
      <c r="N21" s="67"/>
      <c r="O21" s="327">
        <v>3.3516200679200012E-2</v>
      </c>
      <c r="P21" s="80"/>
      <c r="Q21" s="327">
        <v>4.6612813387575447E-2</v>
      </c>
    </row>
    <row r="22" spans="1:17">
      <c r="A22" s="71"/>
      <c r="B22" s="67"/>
      <c r="C22" s="67"/>
      <c r="D22" s="67"/>
      <c r="E22" s="71"/>
      <c r="F22" s="71"/>
      <c r="G22" s="71"/>
      <c r="H22" s="71"/>
      <c r="I22" s="71"/>
      <c r="J22" s="71"/>
      <c r="K22" s="71"/>
      <c r="L22" s="71"/>
      <c r="M22" s="376"/>
      <c r="N22" s="71"/>
      <c r="O22" s="372"/>
      <c r="P22" s="71"/>
      <c r="Q22" s="368"/>
    </row>
    <row r="23" spans="1:17" ht="15.6">
      <c r="A23" s="71"/>
      <c r="B23" s="67"/>
      <c r="C23" s="76" t="s">
        <v>1052</v>
      </c>
      <c r="D23" s="67"/>
      <c r="E23" s="1181" t="s">
        <v>1053</v>
      </c>
      <c r="F23" s="1181"/>
      <c r="G23" s="1181"/>
      <c r="H23" s="71"/>
      <c r="I23" s="71"/>
      <c r="J23" s="71"/>
      <c r="K23" s="71"/>
      <c r="L23" s="71"/>
      <c r="M23" s="376"/>
      <c r="N23" s="71"/>
      <c r="O23" s="372"/>
      <c r="P23" s="71"/>
      <c r="Q23" s="372"/>
    </row>
    <row r="24" spans="1:17">
      <c r="A24" s="71">
        <f>A21+1</f>
        <v>8</v>
      </c>
      <c r="B24" s="67"/>
      <c r="C24" s="67" t="s">
        <v>998</v>
      </c>
      <c r="D24" s="67"/>
      <c r="E24" s="81">
        <v>4191.6668</v>
      </c>
      <c r="F24" s="363"/>
      <c r="G24" s="77">
        <v>10.479167</v>
      </c>
      <c r="H24" s="77"/>
      <c r="I24" s="81">
        <v>4175.6776</v>
      </c>
      <c r="J24" s="71"/>
      <c r="K24" s="77">
        <v>10.439194000000001</v>
      </c>
      <c r="L24" s="77"/>
      <c r="M24" s="82">
        <f>I24-E24</f>
        <v>-15.989199999999983</v>
      </c>
      <c r="N24" s="77"/>
      <c r="O24" s="325">
        <f>M24/E24</f>
        <v>-3.8145207534148427E-3</v>
      </c>
      <c r="P24" s="79"/>
      <c r="Q24" s="325">
        <f>O24</f>
        <v>-3.8145207534148427E-3</v>
      </c>
    </row>
    <row r="25" spans="1:17">
      <c r="A25" s="71">
        <f>A24+1</f>
        <v>9</v>
      </c>
      <c r="B25" s="67"/>
      <c r="C25" s="67" t="s">
        <v>999</v>
      </c>
      <c r="D25" s="67"/>
      <c r="E25" s="81">
        <v>4956</v>
      </c>
      <c r="F25" s="363"/>
      <c r="G25" s="77">
        <v>12.39</v>
      </c>
      <c r="H25" s="77"/>
      <c r="I25" s="81">
        <v>4956</v>
      </c>
      <c r="J25" s="363"/>
      <c r="K25" s="77">
        <v>12.39</v>
      </c>
      <c r="L25" s="77"/>
      <c r="M25" s="82">
        <f>I25-E25</f>
        <v>0</v>
      </c>
      <c r="N25" s="77"/>
      <c r="O25" s="326">
        <f>IFERROR(M25/E25,"100.0%")</f>
        <v>0</v>
      </c>
      <c r="P25" s="79"/>
      <c r="Q25" s="326">
        <v>0</v>
      </c>
    </row>
    <row r="26" spans="1:17">
      <c r="A26" s="71">
        <f>A25+1</f>
        <v>10</v>
      </c>
      <c r="B26" s="67"/>
      <c r="C26" s="67" t="s">
        <v>1000</v>
      </c>
      <c r="D26" s="67"/>
      <c r="E26" s="81">
        <v>3126.7999999999997</v>
      </c>
      <c r="F26" s="363"/>
      <c r="G26" s="77">
        <v>7.8169999999999993</v>
      </c>
      <c r="H26" s="77"/>
      <c r="I26" s="81">
        <v>3152.7599999999998</v>
      </c>
      <c r="J26" s="363"/>
      <c r="K26" s="77">
        <v>7.8818999999999999</v>
      </c>
      <c r="L26" s="77"/>
      <c r="M26" s="82">
        <f>I26-E26</f>
        <v>25.960000000000036</v>
      </c>
      <c r="N26" s="67"/>
      <c r="O26" s="325">
        <f>M26/E26</f>
        <v>8.3024178073429836E-3</v>
      </c>
      <c r="P26" s="79"/>
      <c r="Q26" s="325">
        <f>O26</f>
        <v>8.3024178073429836E-3</v>
      </c>
    </row>
    <row r="27" spans="1:17">
      <c r="A27" s="71">
        <f>A26+1</f>
        <v>11</v>
      </c>
      <c r="B27" s="67"/>
      <c r="C27" s="67" t="s">
        <v>1001</v>
      </c>
      <c r="D27" s="67"/>
      <c r="E27" s="81">
        <v>6273.84</v>
      </c>
      <c r="F27" s="363"/>
      <c r="G27" s="77">
        <v>15.684600000000001</v>
      </c>
      <c r="H27" s="67"/>
      <c r="I27" s="81">
        <v>6276.1200000000008</v>
      </c>
      <c r="J27" s="71"/>
      <c r="K27" s="77">
        <v>15.690300000000001</v>
      </c>
      <c r="L27" s="77"/>
      <c r="M27" s="82">
        <f>I27-E27</f>
        <v>2.2800000000006548</v>
      </c>
      <c r="N27" s="67"/>
      <c r="O27" s="325">
        <f>M27/E27</f>
        <v>3.6341379442265899E-4</v>
      </c>
      <c r="P27" s="79"/>
      <c r="Q27" s="325">
        <f>O27</f>
        <v>3.6341379442265899E-4</v>
      </c>
    </row>
    <row r="28" spans="1:17">
      <c r="A28" s="71">
        <f>A27+1</f>
        <v>12</v>
      </c>
      <c r="B28" s="67"/>
      <c r="C28" s="67" t="s">
        <v>1002</v>
      </c>
      <c r="D28" s="67"/>
      <c r="E28" s="364">
        <f>SUM(E24:E27)</f>
        <v>18548.306799999998</v>
      </c>
      <c r="F28" s="71"/>
      <c r="G28" s="369">
        <v>46.370766999999994</v>
      </c>
      <c r="H28" s="71"/>
      <c r="I28" s="364">
        <f>SUM(I24:I27)</f>
        <v>18560.5576</v>
      </c>
      <c r="J28" s="71"/>
      <c r="K28" s="369">
        <v>46.401394000000003</v>
      </c>
      <c r="L28" s="77"/>
      <c r="M28" s="377">
        <f>SUM(M24:M27)</f>
        <v>12.250800000000709</v>
      </c>
      <c r="N28" s="67"/>
      <c r="O28" s="367">
        <f>M28/E28</f>
        <v>6.6048077229349637E-4</v>
      </c>
      <c r="P28" s="80"/>
      <c r="Q28" s="367">
        <f>(M24+M27+M26)/(E24+E27+E26)</f>
        <v>9.0130396409244607E-4</v>
      </c>
    </row>
    <row r="29" spans="1:17">
      <c r="A29" s="71"/>
      <c r="B29" s="67"/>
      <c r="C29" s="67"/>
      <c r="D29" s="67"/>
      <c r="E29" s="81"/>
      <c r="F29" s="71"/>
      <c r="G29" s="77"/>
      <c r="H29" s="71"/>
      <c r="I29" s="81"/>
      <c r="J29" s="71"/>
      <c r="K29" s="77"/>
      <c r="L29" s="77"/>
      <c r="M29" s="82"/>
      <c r="N29" s="67"/>
      <c r="O29" s="368"/>
      <c r="P29" s="80"/>
      <c r="Q29" s="368"/>
    </row>
    <row r="30" spans="1:17">
      <c r="A30" s="71">
        <f>A28+1</f>
        <v>13</v>
      </c>
      <c r="B30" s="67"/>
      <c r="C30" s="67" t="s">
        <v>1033</v>
      </c>
      <c r="D30" s="67"/>
      <c r="E30" s="364">
        <f>SUM(E24:E26)+I27</f>
        <v>18550.586799999997</v>
      </c>
      <c r="F30" s="71"/>
      <c r="G30" s="369">
        <v>46.376466999999991</v>
      </c>
      <c r="H30" s="71"/>
      <c r="I30" s="364">
        <f>SUM(I24:I27)</f>
        <v>18560.5576</v>
      </c>
      <c r="J30" s="363"/>
      <c r="K30" s="369">
        <v>46.401394000000003</v>
      </c>
      <c r="L30" s="77"/>
      <c r="M30" s="377">
        <f>M24+M25+M26</f>
        <v>9.9708000000000538</v>
      </c>
      <c r="N30" s="67"/>
      <c r="O30" s="367">
        <f>M30/E30</f>
        <v>5.3749243123673348E-4</v>
      </c>
      <c r="P30" s="80"/>
      <c r="Q30" s="367">
        <f>(M30-M25)/(E30-E25)</f>
        <v>7.3343898911293543E-4</v>
      </c>
    </row>
    <row r="31" spans="1:17">
      <c r="A31" s="71">
        <f>A30+1</f>
        <v>14</v>
      </c>
      <c r="B31" s="67"/>
      <c r="C31" s="67" t="s">
        <v>1034</v>
      </c>
      <c r="D31" s="67"/>
      <c r="E31" s="80"/>
      <c r="F31" s="80"/>
      <c r="G31" s="80"/>
      <c r="H31" s="80"/>
      <c r="I31" s="80"/>
      <c r="J31" s="80"/>
      <c r="K31" s="80"/>
      <c r="L31" s="80"/>
      <c r="M31" s="82"/>
      <c r="N31" s="67"/>
      <c r="O31" s="327">
        <v>8.1232041786126973E-4</v>
      </c>
      <c r="P31" s="80"/>
      <c r="Q31" s="327">
        <v>1.3624165105183344E-3</v>
      </c>
    </row>
    <row r="32" spans="1:17">
      <c r="A32" s="71"/>
      <c r="B32" s="67"/>
      <c r="C32" s="67"/>
      <c r="D32" s="67"/>
      <c r="E32" s="71"/>
      <c r="F32" s="71"/>
      <c r="G32" s="71"/>
      <c r="H32" s="71"/>
      <c r="I32" s="71"/>
      <c r="J32" s="71"/>
      <c r="K32" s="71"/>
      <c r="L32" s="71"/>
      <c r="M32" s="376"/>
      <c r="N32" s="71"/>
      <c r="O32" s="372"/>
      <c r="P32" s="71"/>
      <c r="Q32" s="368"/>
    </row>
    <row r="33" spans="1:17" ht="15.6">
      <c r="A33" s="71"/>
      <c r="B33" s="67"/>
      <c r="C33" s="76" t="s">
        <v>1054</v>
      </c>
      <c r="D33" s="67"/>
      <c r="E33" s="1181" t="s">
        <v>1055</v>
      </c>
      <c r="F33" s="1181"/>
      <c r="G33" s="1181"/>
      <c r="H33" s="67"/>
      <c r="I33" s="67"/>
      <c r="J33" s="67"/>
      <c r="K33" s="67"/>
      <c r="L33" s="67"/>
      <c r="M33" s="82"/>
      <c r="N33" s="67"/>
      <c r="O33" s="368"/>
      <c r="P33" s="67"/>
      <c r="Q33" s="368"/>
    </row>
    <row r="34" spans="1:17">
      <c r="A34" s="71">
        <f>A31+1</f>
        <v>15</v>
      </c>
      <c r="B34" s="67"/>
      <c r="C34" s="67" t="s">
        <v>998</v>
      </c>
      <c r="D34" s="67"/>
      <c r="E34" s="81">
        <v>6073.3903634399985</v>
      </c>
      <c r="F34" s="363"/>
      <c r="G34" s="77">
        <v>10.122317272399997</v>
      </c>
      <c r="H34" s="77"/>
      <c r="I34" s="81">
        <v>5901.3056265799996</v>
      </c>
      <c r="J34" s="71"/>
      <c r="K34" s="77">
        <v>9.8355093776333327</v>
      </c>
      <c r="L34" s="77"/>
      <c r="M34" s="82">
        <f>I34-E34</f>
        <v>-172.08473685999888</v>
      </c>
      <c r="N34" s="77"/>
      <c r="O34" s="325">
        <f>M34/E34</f>
        <v>-2.8334213110340768E-2</v>
      </c>
      <c r="P34" s="79"/>
      <c r="Q34" s="325">
        <f>O34</f>
        <v>-2.8334213110340768E-2</v>
      </c>
    </row>
    <row r="35" spans="1:17">
      <c r="A35" s="71">
        <f>A34+1</f>
        <v>16</v>
      </c>
      <c r="B35" s="67"/>
      <c r="C35" s="67" t="s">
        <v>999</v>
      </c>
      <c r="D35" s="67"/>
      <c r="E35" s="81">
        <v>7434</v>
      </c>
      <c r="F35" s="363"/>
      <c r="G35" s="77">
        <v>12.389999999999999</v>
      </c>
      <c r="H35" s="77"/>
      <c r="I35" s="81">
        <v>7434</v>
      </c>
      <c r="J35" s="363"/>
      <c r="K35" s="77">
        <v>12.389999999999999</v>
      </c>
      <c r="L35" s="77"/>
      <c r="M35" s="82">
        <f>I35-E35</f>
        <v>0</v>
      </c>
      <c r="N35" s="77"/>
      <c r="O35" s="326">
        <f>IFERROR(M35/E35,"100.0%")</f>
        <v>0</v>
      </c>
      <c r="P35" s="79"/>
      <c r="Q35" s="326">
        <v>0</v>
      </c>
    </row>
    <row r="36" spans="1:17">
      <c r="A36" s="71">
        <f>A35+1</f>
        <v>17</v>
      </c>
      <c r="B36" s="67"/>
      <c r="C36" s="67" t="s">
        <v>1000</v>
      </c>
      <c r="D36" s="67"/>
      <c r="E36" s="81">
        <v>3704.04</v>
      </c>
      <c r="F36" s="363"/>
      <c r="G36" s="77">
        <v>6.1734</v>
      </c>
      <c r="H36" s="77"/>
      <c r="I36" s="81">
        <v>3733.92</v>
      </c>
      <c r="J36" s="363"/>
      <c r="K36" s="77">
        <v>6.2232000000000003</v>
      </c>
      <c r="L36" s="77"/>
      <c r="M36" s="82">
        <f>I36-E36</f>
        <v>29.880000000000109</v>
      </c>
      <c r="N36" s="67"/>
      <c r="O36" s="325">
        <f>M36/E36</f>
        <v>8.0668675284284487E-3</v>
      </c>
      <c r="P36" s="79"/>
      <c r="Q36" s="325">
        <f>O36</f>
        <v>8.0668675284284487E-3</v>
      </c>
    </row>
    <row r="37" spans="1:17">
      <c r="A37" s="71">
        <f>A36+1</f>
        <v>18</v>
      </c>
      <c r="B37" s="67"/>
      <c r="C37" s="67" t="s">
        <v>1001</v>
      </c>
      <c r="D37" s="67"/>
      <c r="E37" s="81">
        <v>9410.760000000002</v>
      </c>
      <c r="F37" s="363"/>
      <c r="G37" s="77">
        <v>15.684600000000003</v>
      </c>
      <c r="H37" s="67"/>
      <c r="I37" s="81">
        <v>9414.18</v>
      </c>
      <c r="J37" s="71"/>
      <c r="K37" s="77">
        <v>15.690300000000001</v>
      </c>
      <c r="L37" s="77"/>
      <c r="M37" s="82">
        <f>I37-E37</f>
        <v>3.4199999999982538</v>
      </c>
      <c r="N37" s="67"/>
      <c r="O37" s="325">
        <f>M37/E37</f>
        <v>3.6341379442236896E-4</v>
      </c>
      <c r="P37" s="79"/>
      <c r="Q37" s="325">
        <f>O37</f>
        <v>3.6341379442236896E-4</v>
      </c>
    </row>
    <row r="38" spans="1:17">
      <c r="A38" s="71">
        <f>A37+1</f>
        <v>19</v>
      </c>
      <c r="B38" s="67"/>
      <c r="C38" s="67" t="s">
        <v>1002</v>
      </c>
      <c r="D38" s="67"/>
      <c r="E38" s="364">
        <f>SUM(E34:E37)</f>
        <v>26622.190363440001</v>
      </c>
      <c r="F38" s="71"/>
      <c r="G38" s="369">
        <v>44.370317272400001</v>
      </c>
      <c r="H38" s="71"/>
      <c r="I38" s="364">
        <f>SUM(I34:I37)</f>
        <v>26483.405626580003</v>
      </c>
      <c r="J38" s="71"/>
      <c r="K38" s="369">
        <v>44.139009377633336</v>
      </c>
      <c r="L38" s="77"/>
      <c r="M38" s="377">
        <f>SUM(M34:M37)</f>
        <v>-138.78473686000052</v>
      </c>
      <c r="N38" s="67"/>
      <c r="O38" s="367">
        <f>M38/E38</f>
        <v>-5.2131223977194708E-3</v>
      </c>
      <c r="P38" s="80"/>
      <c r="Q38" s="367">
        <f>(M34+M37+M36)/(E34+E37+E36)</f>
        <v>-7.2328205125811364E-3</v>
      </c>
    </row>
    <row r="39" spans="1:17">
      <c r="A39" s="71"/>
      <c r="B39" s="67"/>
      <c r="C39" s="67"/>
      <c r="D39" s="67"/>
      <c r="E39" s="81"/>
      <c r="F39" s="71"/>
      <c r="G39" s="77"/>
      <c r="H39" s="71"/>
      <c r="I39" s="81"/>
      <c r="J39" s="71"/>
      <c r="K39" s="77"/>
      <c r="L39" s="77"/>
      <c r="M39" s="82"/>
      <c r="N39" s="67"/>
      <c r="O39" s="368"/>
      <c r="P39" s="80"/>
      <c r="Q39" s="368"/>
    </row>
    <row r="40" spans="1:17">
      <c r="A40" s="71">
        <f>A38+1</f>
        <v>20</v>
      </c>
      <c r="B40" s="67"/>
      <c r="C40" s="67" t="s">
        <v>1033</v>
      </c>
      <c r="D40" s="67"/>
      <c r="E40" s="364">
        <f>SUM(E34:E36)+I37</f>
        <v>26625.610363439999</v>
      </c>
      <c r="F40" s="71"/>
      <c r="G40" s="369">
        <v>44.376017272399999</v>
      </c>
      <c r="H40" s="71"/>
      <c r="I40" s="364">
        <f>SUM(I34:I37)</f>
        <v>26483.405626580003</v>
      </c>
      <c r="J40" s="363"/>
      <c r="K40" s="369">
        <v>44.139009377633336</v>
      </c>
      <c r="L40" s="77"/>
      <c r="M40" s="377">
        <f>M34+M35+M36</f>
        <v>-142.20473685999877</v>
      </c>
      <c r="N40" s="67"/>
      <c r="O40" s="367">
        <f>M40/E40</f>
        <v>-5.3409005434580424E-3</v>
      </c>
      <c r="P40" s="80"/>
      <c r="Q40" s="367">
        <f>(M40-M35)/(E40-E35)</f>
        <v>-7.4097344707924392E-3</v>
      </c>
    </row>
    <row r="41" spans="1:17">
      <c r="A41" s="71">
        <f>A40+1</f>
        <v>21</v>
      </c>
      <c r="B41" s="67"/>
      <c r="C41" s="67" t="s">
        <v>1034</v>
      </c>
      <c r="D41" s="67"/>
      <c r="E41" s="80"/>
      <c r="F41" s="80"/>
      <c r="G41" s="80"/>
      <c r="H41" s="80"/>
      <c r="I41" s="80"/>
      <c r="J41" s="80"/>
      <c r="K41" s="80"/>
      <c r="L41" s="80"/>
      <c r="M41" s="82"/>
      <c r="N41" s="67"/>
      <c r="O41" s="327">
        <v>-8.2622265469618258E-3</v>
      </c>
      <c r="P41" s="80"/>
      <c r="Q41" s="327">
        <v>-1.4544183039312059E-2</v>
      </c>
    </row>
    <row r="42" spans="1:17">
      <c r="A42" s="71"/>
      <c r="B42" s="67"/>
      <c r="C42" s="67"/>
      <c r="D42" s="67"/>
      <c r="E42" s="67"/>
      <c r="F42" s="67"/>
      <c r="G42" s="67"/>
      <c r="H42" s="71"/>
      <c r="I42" s="71"/>
      <c r="J42" s="71"/>
      <c r="K42" s="71"/>
      <c r="L42" s="67"/>
      <c r="M42" s="82"/>
      <c r="N42" s="67"/>
      <c r="O42" s="368"/>
      <c r="P42" s="67"/>
      <c r="Q42" s="368"/>
    </row>
    <row r="43" spans="1:17" ht="15.6">
      <c r="A43" s="71"/>
      <c r="B43" s="67"/>
      <c r="C43" s="76" t="s">
        <v>1056</v>
      </c>
      <c r="D43" s="67"/>
      <c r="E43" s="1181" t="s">
        <v>1057</v>
      </c>
      <c r="F43" s="1181"/>
      <c r="G43" s="1181"/>
      <c r="H43" s="67"/>
      <c r="I43" s="67"/>
      <c r="J43" s="67"/>
      <c r="K43" s="67"/>
      <c r="L43" s="67"/>
      <c r="M43" s="82"/>
      <c r="N43" s="67"/>
      <c r="O43" s="368"/>
      <c r="P43" s="67"/>
      <c r="Q43" s="325"/>
    </row>
    <row r="44" spans="1:17">
      <c r="A44" s="71">
        <v>22</v>
      </c>
      <c r="B44" s="67"/>
      <c r="C44" s="67" t="s">
        <v>998</v>
      </c>
      <c r="D44" s="67"/>
      <c r="E44" s="81">
        <v>8652.3093529199996</v>
      </c>
      <c r="F44" s="363"/>
      <c r="G44" s="77">
        <v>9.3035584440000001</v>
      </c>
      <c r="H44" s="77"/>
      <c r="I44" s="81">
        <v>8380.2212810300007</v>
      </c>
      <c r="J44" s="71"/>
      <c r="K44" s="77">
        <v>9.0109906247634424</v>
      </c>
      <c r="L44" s="77"/>
      <c r="M44" s="82">
        <f>I44-E44</f>
        <v>-272.0880718899989</v>
      </c>
      <c r="N44" s="77"/>
      <c r="O44" s="325">
        <f>M44/E44</f>
        <v>-3.1446872828024122E-2</v>
      </c>
      <c r="P44" s="79"/>
      <c r="Q44" s="325">
        <f>O44</f>
        <v>-3.1446872828024122E-2</v>
      </c>
    </row>
    <row r="45" spans="1:17">
      <c r="A45" s="71">
        <f>A44+1</f>
        <v>23</v>
      </c>
      <c r="B45" s="67"/>
      <c r="C45" s="67" t="s">
        <v>999</v>
      </c>
      <c r="D45" s="67"/>
      <c r="E45" s="81">
        <v>11522.7</v>
      </c>
      <c r="F45" s="363"/>
      <c r="G45" s="77">
        <v>12.39</v>
      </c>
      <c r="H45" s="77"/>
      <c r="I45" s="81">
        <v>11522.7</v>
      </c>
      <c r="J45" s="363"/>
      <c r="K45" s="77">
        <v>12.39</v>
      </c>
      <c r="L45" s="77"/>
      <c r="M45" s="82">
        <f>I45-E45</f>
        <v>0</v>
      </c>
      <c r="N45" s="77"/>
      <c r="O45" s="326">
        <f>IFERROR(M45/E45,"100.0%")</f>
        <v>0</v>
      </c>
      <c r="P45" s="79"/>
      <c r="Q45" s="326">
        <v>0</v>
      </c>
    </row>
    <row r="46" spans="1:17">
      <c r="A46" s="71">
        <f>A45+1</f>
        <v>24</v>
      </c>
      <c r="B46" s="67"/>
      <c r="C46" s="67" t="s">
        <v>1000</v>
      </c>
      <c r="D46" s="67"/>
      <c r="E46" s="81">
        <v>5741.2619999999997</v>
      </c>
      <c r="F46" s="363"/>
      <c r="G46" s="77">
        <v>6.1734</v>
      </c>
      <c r="H46" s="77"/>
      <c r="I46" s="81">
        <v>5787.576</v>
      </c>
      <c r="J46" s="363"/>
      <c r="K46" s="77">
        <v>6.2232000000000003</v>
      </c>
      <c r="L46" s="77"/>
      <c r="M46" s="82">
        <f>I46-E46</f>
        <v>46.314000000000306</v>
      </c>
      <c r="N46" s="67"/>
      <c r="O46" s="325">
        <f>M46/E46</f>
        <v>8.066867528428473E-3</v>
      </c>
      <c r="P46" s="79"/>
      <c r="Q46" s="325">
        <f>O46</f>
        <v>8.066867528428473E-3</v>
      </c>
    </row>
    <row r="47" spans="1:17">
      <c r="A47" s="71">
        <f>A46+1</f>
        <v>25</v>
      </c>
      <c r="B47" s="67"/>
      <c r="C47" s="67" t="s">
        <v>1001</v>
      </c>
      <c r="D47" s="67"/>
      <c r="E47" s="81">
        <v>14586.678</v>
      </c>
      <c r="F47" s="363"/>
      <c r="G47" s="77">
        <v>15.684599999999998</v>
      </c>
      <c r="H47" s="67"/>
      <c r="I47" s="81">
        <v>14591.979000000001</v>
      </c>
      <c r="J47" s="71"/>
      <c r="K47" s="77">
        <v>15.690300000000001</v>
      </c>
      <c r="L47" s="77"/>
      <c r="M47" s="82">
        <f>I47-E47</f>
        <v>5.3010000000012951</v>
      </c>
      <c r="N47" s="67"/>
      <c r="O47" s="325">
        <f>M47/E47</f>
        <v>3.6341379442264338E-4</v>
      </c>
      <c r="P47" s="79"/>
      <c r="Q47" s="325">
        <f>O47</f>
        <v>3.6341379442264338E-4</v>
      </c>
    </row>
    <row r="48" spans="1:17">
      <c r="A48" s="71">
        <f>A47+1</f>
        <v>26</v>
      </c>
      <c r="B48" s="67"/>
      <c r="C48" s="67" t="s">
        <v>1002</v>
      </c>
      <c r="D48" s="67"/>
      <c r="E48" s="364">
        <f>SUM(E44:E47)</f>
        <v>40502.949352919997</v>
      </c>
      <c r="F48" s="71"/>
      <c r="G48" s="369">
        <v>43.551558444000001</v>
      </c>
      <c r="H48" s="71"/>
      <c r="I48" s="364">
        <f>SUM(I44:I47)</f>
        <v>40282.476281030002</v>
      </c>
      <c r="J48" s="71"/>
      <c r="K48" s="369">
        <v>43.314490624763444</v>
      </c>
      <c r="L48" s="77"/>
      <c r="M48" s="377">
        <f>SUM(M44:M47)</f>
        <v>-220.4730718899973</v>
      </c>
      <c r="N48" s="67"/>
      <c r="O48" s="367">
        <f>M48/E48</f>
        <v>-5.4433831464696198E-3</v>
      </c>
      <c r="P48" s="80"/>
      <c r="Q48" s="367">
        <f>(M44+M47+M46)/(E44+E47+E46)</f>
        <v>-7.6077009968094989E-3</v>
      </c>
    </row>
    <row r="49" spans="1:17">
      <c r="A49" s="71"/>
      <c r="B49" s="67"/>
      <c r="C49" s="67"/>
      <c r="D49" s="67"/>
      <c r="E49" s="81"/>
      <c r="F49" s="71"/>
      <c r="G49" s="77"/>
      <c r="H49" s="71"/>
      <c r="I49" s="81"/>
      <c r="J49" s="71"/>
      <c r="K49" s="77"/>
      <c r="L49" s="77"/>
      <c r="M49" s="82"/>
      <c r="N49" s="67"/>
      <c r="O49" s="368"/>
      <c r="P49" s="80"/>
      <c r="Q49" s="368"/>
    </row>
    <row r="50" spans="1:17">
      <c r="A50" s="71">
        <f>A48+1</f>
        <v>27</v>
      </c>
      <c r="B50" s="67"/>
      <c r="C50" s="67" t="s">
        <v>1033</v>
      </c>
      <c r="D50" s="67"/>
      <c r="E50" s="364">
        <f>SUM(E44:E46)+I47</f>
        <v>40508.250352920004</v>
      </c>
      <c r="F50" s="71"/>
      <c r="G50" s="369">
        <v>43.557258443999999</v>
      </c>
      <c r="H50" s="71"/>
      <c r="I50" s="364">
        <f>SUM(I44:I47)</f>
        <v>40282.476281030002</v>
      </c>
      <c r="J50" s="363"/>
      <c r="K50" s="369">
        <v>43.314490624763444</v>
      </c>
      <c r="L50" s="77"/>
      <c r="M50" s="377">
        <f>M44+M45+M46</f>
        <v>-225.77407188999859</v>
      </c>
      <c r="N50" s="67"/>
      <c r="O50" s="367">
        <f>M50/E50</f>
        <v>-5.5735330438364357E-3</v>
      </c>
      <c r="P50" s="80"/>
      <c r="Q50" s="367">
        <f>(M50-M45)/(E50-E45)</f>
        <v>-7.7891938963047542E-3</v>
      </c>
    </row>
    <row r="51" spans="1:17">
      <c r="A51" s="71">
        <f>A50+1</f>
        <v>28</v>
      </c>
      <c r="B51" s="67"/>
      <c r="C51" s="67" t="s">
        <v>1034</v>
      </c>
      <c r="D51" s="67"/>
      <c r="E51" s="80"/>
      <c r="F51" s="80"/>
      <c r="G51" s="80"/>
      <c r="H51" s="80"/>
      <c r="I51" s="80"/>
      <c r="J51" s="80"/>
      <c r="K51" s="80"/>
      <c r="L51" s="80"/>
      <c r="M51" s="82"/>
      <c r="N51" s="67"/>
      <c r="O51" s="327">
        <v>-8.7116726328211342E-3</v>
      </c>
      <c r="P51" s="80"/>
      <c r="Q51" s="327">
        <v>-1.568575764514462E-2</v>
      </c>
    </row>
    <row r="52" spans="1:17">
      <c r="A52" s="71"/>
      <c r="B52" s="67"/>
      <c r="C52" s="67"/>
      <c r="D52" s="67"/>
      <c r="E52" s="67"/>
      <c r="F52" s="67"/>
      <c r="G52" s="67"/>
      <c r="H52" s="67"/>
      <c r="I52" s="67"/>
      <c r="J52" s="67"/>
      <c r="K52" s="67"/>
      <c r="L52" s="67"/>
      <c r="M52" s="82"/>
      <c r="N52" s="67"/>
      <c r="O52" s="368"/>
      <c r="P52" s="67"/>
      <c r="Q52" s="368"/>
    </row>
    <row r="53" spans="1:17" ht="15.6">
      <c r="A53" s="71"/>
      <c r="B53" s="67"/>
      <c r="C53" s="76" t="s">
        <v>1058</v>
      </c>
      <c r="D53" s="67"/>
      <c r="E53" s="1181" t="s">
        <v>1059</v>
      </c>
      <c r="F53" s="1181"/>
      <c r="G53" s="1181"/>
      <c r="H53" s="67"/>
      <c r="I53" s="67"/>
      <c r="J53" s="67"/>
      <c r="K53" s="67"/>
      <c r="L53" s="67"/>
      <c r="M53" s="82"/>
      <c r="N53" s="67"/>
      <c r="O53" s="368"/>
      <c r="P53" s="67"/>
      <c r="Q53" s="325"/>
    </row>
    <row r="54" spans="1:17">
      <c r="A54" s="71">
        <v>29</v>
      </c>
      <c r="B54" s="67"/>
      <c r="C54" s="67" t="s">
        <v>998</v>
      </c>
      <c r="D54" s="67"/>
      <c r="E54" s="81">
        <v>20082.608045509998</v>
      </c>
      <c r="F54" s="363"/>
      <c r="G54" s="77">
        <v>8.0330432182039981</v>
      </c>
      <c r="H54" s="77"/>
      <c r="I54" s="81">
        <v>19362.677403680002</v>
      </c>
      <c r="J54" s="71"/>
      <c r="K54" s="77">
        <v>7.7450709614720008</v>
      </c>
      <c r="L54" s="77"/>
      <c r="M54" s="82">
        <f>I54-E54</f>
        <v>-719.9306418299966</v>
      </c>
      <c r="N54" s="77"/>
      <c r="O54" s="325">
        <f>M54/E54</f>
        <v>-3.5848463516219266E-2</v>
      </c>
      <c r="P54" s="79"/>
      <c r="Q54" s="325">
        <f>O54</f>
        <v>-3.5848463516219266E-2</v>
      </c>
    </row>
    <row r="55" spans="1:17">
      <c r="A55" s="71">
        <f>A54+1</f>
        <v>30</v>
      </c>
      <c r="B55" s="67"/>
      <c r="C55" s="67" t="s">
        <v>999</v>
      </c>
      <c r="D55" s="67"/>
      <c r="E55" s="81">
        <v>30975</v>
      </c>
      <c r="F55" s="363"/>
      <c r="G55" s="77">
        <v>12.389999999999999</v>
      </c>
      <c r="H55" s="77"/>
      <c r="I55" s="81">
        <v>30975</v>
      </c>
      <c r="J55" s="363"/>
      <c r="K55" s="77">
        <v>12.389999999999999</v>
      </c>
      <c r="L55" s="77"/>
      <c r="M55" s="82">
        <f>I55-E55</f>
        <v>0</v>
      </c>
      <c r="N55" s="77"/>
      <c r="O55" s="326">
        <f>IFERROR(M55/E55,"100.0%")</f>
        <v>0</v>
      </c>
      <c r="P55" s="79"/>
      <c r="Q55" s="326">
        <v>0</v>
      </c>
    </row>
    <row r="56" spans="1:17">
      <c r="A56" s="71">
        <f>A55+1</f>
        <v>31</v>
      </c>
      <c r="B56" s="67"/>
      <c r="C56" s="67" t="s">
        <v>1000</v>
      </c>
      <c r="D56" s="67"/>
      <c r="E56" s="81">
        <v>15433.5</v>
      </c>
      <c r="F56" s="363"/>
      <c r="G56" s="77">
        <v>6.1734</v>
      </c>
      <c r="H56" s="77"/>
      <c r="I56" s="81">
        <v>15558</v>
      </c>
      <c r="J56" s="363"/>
      <c r="K56" s="77">
        <v>6.2232000000000003</v>
      </c>
      <c r="L56" s="77"/>
      <c r="M56" s="82">
        <f>I56-E56</f>
        <v>124.5</v>
      </c>
      <c r="N56" s="67"/>
      <c r="O56" s="325">
        <f>M56/E56</f>
        <v>8.0668675284284192E-3</v>
      </c>
      <c r="P56" s="79"/>
      <c r="Q56" s="325">
        <f>O56</f>
        <v>8.0668675284284192E-3</v>
      </c>
    </row>
    <row r="57" spans="1:17">
      <c r="A57" s="71">
        <f>A56+1</f>
        <v>32</v>
      </c>
      <c r="B57" s="67"/>
      <c r="C57" s="67" t="s">
        <v>1001</v>
      </c>
      <c r="D57" s="67"/>
      <c r="E57" s="81">
        <v>39211.500000000007</v>
      </c>
      <c r="F57" s="363"/>
      <c r="G57" s="77">
        <v>15.684600000000003</v>
      </c>
      <c r="H57" s="67"/>
      <c r="I57" s="81">
        <v>39225.750000000007</v>
      </c>
      <c r="J57" s="71"/>
      <c r="K57" s="77">
        <v>15.690300000000004</v>
      </c>
      <c r="L57" s="77"/>
      <c r="M57" s="82">
        <f>I57-E57</f>
        <v>14.25</v>
      </c>
      <c r="N57" s="67"/>
      <c r="O57" s="325">
        <f>M57/E57</f>
        <v>3.6341379442255453E-4</v>
      </c>
      <c r="P57" s="79"/>
      <c r="Q57" s="325">
        <f>O57</f>
        <v>3.6341379442255453E-4</v>
      </c>
    </row>
    <row r="58" spans="1:17">
      <c r="A58" s="71">
        <f>A57+1</f>
        <v>33</v>
      </c>
      <c r="B58" s="67"/>
      <c r="C58" s="67" t="s">
        <v>1002</v>
      </c>
      <c r="D58" s="67"/>
      <c r="E58" s="364">
        <f>SUM(E54:E57)</f>
        <v>105702.60804551002</v>
      </c>
      <c r="F58" s="71"/>
      <c r="G58" s="369">
        <v>42.281043218204005</v>
      </c>
      <c r="H58" s="71"/>
      <c r="I58" s="364">
        <f>SUM(I54:I57)</f>
        <v>105121.42740368002</v>
      </c>
      <c r="J58" s="71"/>
      <c r="K58" s="369">
        <v>42.048570961472009</v>
      </c>
      <c r="L58" s="77"/>
      <c r="M58" s="377">
        <f>SUM(M54:M57)</f>
        <v>-581.1806418299966</v>
      </c>
      <c r="N58" s="67"/>
      <c r="O58" s="367">
        <f>M58/E58</f>
        <v>-5.4982620824244053E-3</v>
      </c>
      <c r="P58" s="80"/>
      <c r="Q58" s="367">
        <f>(M54+M57+M56)/(E54+E57+E56)</f>
        <v>-7.7773216222316484E-3</v>
      </c>
    </row>
    <row r="59" spans="1:17">
      <c r="A59" s="71"/>
      <c r="B59" s="67"/>
      <c r="C59" s="67"/>
      <c r="D59" s="67"/>
      <c r="E59" s="81"/>
      <c r="F59" s="71"/>
      <c r="G59" s="77"/>
      <c r="H59" s="71"/>
      <c r="I59" s="81"/>
      <c r="J59" s="71"/>
      <c r="K59" s="77"/>
      <c r="L59" s="77"/>
      <c r="M59" s="82"/>
      <c r="N59" s="67"/>
      <c r="O59" s="368"/>
      <c r="P59" s="80"/>
      <c r="Q59" s="368"/>
    </row>
    <row r="60" spans="1:17">
      <c r="A60" s="71">
        <f>A58+1</f>
        <v>34</v>
      </c>
      <c r="B60" s="67"/>
      <c r="C60" s="67" t="s">
        <v>1033</v>
      </c>
      <c r="D60" s="67"/>
      <c r="E60" s="364">
        <f>SUM(E54:E56)+I57</f>
        <v>105716.85804551002</v>
      </c>
      <c r="F60" s="71"/>
      <c r="G60" s="369">
        <v>42.286743218204009</v>
      </c>
      <c r="H60" s="71"/>
      <c r="I60" s="364">
        <f>SUM(I54:I57)</f>
        <v>105121.42740368002</v>
      </c>
      <c r="J60" s="363"/>
      <c r="K60" s="369">
        <v>42.048570961472009</v>
      </c>
      <c r="L60" s="77"/>
      <c r="M60" s="377">
        <f>M54+M55+M56</f>
        <v>-595.4306418299966</v>
      </c>
      <c r="N60" s="67"/>
      <c r="O60" s="367">
        <f>M60/E60</f>
        <v>-5.6323149669626942E-3</v>
      </c>
      <c r="P60" s="80"/>
      <c r="Q60" s="367">
        <f>(M60-M55)/(E60-E55)</f>
        <v>-7.9664950457538977E-3</v>
      </c>
    </row>
    <row r="61" spans="1:17">
      <c r="A61" s="71">
        <f>A60+1</f>
        <v>35</v>
      </c>
      <c r="B61" s="67"/>
      <c r="C61" s="67" t="s">
        <v>1034</v>
      </c>
      <c r="D61" s="67"/>
      <c r="E61" s="80"/>
      <c r="F61" s="80"/>
      <c r="G61" s="80"/>
      <c r="H61" s="80"/>
      <c r="I61" s="80"/>
      <c r="J61" s="80"/>
      <c r="K61" s="80"/>
      <c r="L61" s="80"/>
      <c r="M61" s="82"/>
      <c r="N61" s="67"/>
      <c r="O61" s="327">
        <v>-8.95504164891423E-3</v>
      </c>
      <c r="P61" s="80"/>
      <c r="Q61" s="327">
        <v>-1.6765087015362688E-2</v>
      </c>
    </row>
    <row r="62" spans="1:17">
      <c r="A62" s="71"/>
      <c r="B62" s="67"/>
      <c r="C62" s="67"/>
      <c r="D62" s="67"/>
      <c r="E62" s="67"/>
      <c r="F62" s="67"/>
      <c r="G62" s="67"/>
      <c r="H62" s="67"/>
      <c r="I62" s="67"/>
      <c r="J62" s="67"/>
      <c r="K62" s="67"/>
      <c r="L62" s="67"/>
      <c r="M62" s="82"/>
      <c r="N62" s="67"/>
      <c r="O62" s="368"/>
      <c r="P62" s="67"/>
      <c r="Q62" s="368"/>
    </row>
    <row r="63" spans="1:17" ht="15.6">
      <c r="A63" s="71"/>
      <c r="B63" s="67"/>
      <c r="C63" s="76" t="s">
        <v>1060</v>
      </c>
      <c r="D63" s="67"/>
      <c r="E63" s="67" t="s">
        <v>1061</v>
      </c>
      <c r="F63" s="67"/>
      <c r="G63" s="67"/>
      <c r="H63" s="67"/>
      <c r="I63" s="67"/>
      <c r="J63" s="67"/>
      <c r="K63" s="67"/>
      <c r="L63" s="67"/>
      <c r="M63" s="82"/>
      <c r="N63" s="67"/>
      <c r="O63" s="368"/>
      <c r="P63" s="67"/>
      <c r="Q63" s="368"/>
    </row>
    <row r="64" spans="1:17">
      <c r="A64" s="71">
        <v>36</v>
      </c>
      <c r="B64" s="67"/>
      <c r="C64" s="67" t="s">
        <v>998</v>
      </c>
      <c r="D64" s="67"/>
      <c r="E64" s="81">
        <v>94608.744000000006</v>
      </c>
      <c r="F64" s="363"/>
      <c r="G64" s="77">
        <v>3.1536248000000002</v>
      </c>
      <c r="H64" s="77"/>
      <c r="I64" s="81">
        <v>95012.343600000007</v>
      </c>
      <c r="J64" s="71"/>
      <c r="K64" s="77">
        <v>3.1670781200000007</v>
      </c>
      <c r="L64" s="77"/>
      <c r="M64" s="82">
        <f>I64-E64</f>
        <v>403.59960000000137</v>
      </c>
      <c r="N64" s="77"/>
      <c r="O64" s="325">
        <f>M64/E64</f>
        <v>4.2659862390732233E-3</v>
      </c>
      <c r="P64" s="79"/>
      <c r="Q64" s="325">
        <f>O64</f>
        <v>4.2659862390732233E-3</v>
      </c>
    </row>
    <row r="65" spans="1:17">
      <c r="A65" s="71">
        <f>A64+1</f>
        <v>37</v>
      </c>
      <c r="B65" s="67"/>
      <c r="C65" s="67" t="s">
        <v>999</v>
      </c>
      <c r="D65" s="67"/>
      <c r="E65" s="81">
        <v>371700</v>
      </c>
      <c r="F65" s="363"/>
      <c r="G65" s="77">
        <v>12.389999999999999</v>
      </c>
      <c r="H65" s="77"/>
      <c r="I65" s="81">
        <v>371700</v>
      </c>
      <c r="J65" s="363"/>
      <c r="K65" s="77">
        <v>12.389999999999999</v>
      </c>
      <c r="L65" s="77"/>
      <c r="M65" s="82">
        <f>I65-E65</f>
        <v>0</v>
      </c>
      <c r="N65" s="77"/>
      <c r="O65" s="326">
        <f>IFERROR(M65/E65,"100.0%")</f>
        <v>0</v>
      </c>
      <c r="P65" s="79"/>
      <c r="Q65" s="326">
        <v>0</v>
      </c>
    </row>
    <row r="66" spans="1:17">
      <c r="A66" s="71">
        <f>A65+1</f>
        <v>38</v>
      </c>
      <c r="B66" s="67"/>
      <c r="C66" s="67" t="s">
        <v>1000</v>
      </c>
      <c r="D66" s="67"/>
      <c r="E66" s="81">
        <v>68072.617199999993</v>
      </c>
      <c r="F66" s="363"/>
      <c r="G66" s="77">
        <v>2.2690872399999997</v>
      </c>
      <c r="H66" s="77"/>
      <c r="I66" s="81">
        <v>68281.079999999987</v>
      </c>
      <c r="J66" s="363"/>
      <c r="K66" s="77">
        <v>2.2760359999999995</v>
      </c>
      <c r="L66" s="77"/>
      <c r="M66" s="82">
        <f>I66-E66</f>
        <v>208.46279999999388</v>
      </c>
      <c r="N66" s="67"/>
      <c r="O66" s="325">
        <f>M66/E66</f>
        <v>3.0623591184620103E-3</v>
      </c>
      <c r="P66" s="79"/>
      <c r="Q66" s="325">
        <f>O66</f>
        <v>3.0623591184620103E-3</v>
      </c>
    </row>
    <row r="67" spans="1:17">
      <c r="A67" s="71">
        <f>A66+1</f>
        <v>39</v>
      </c>
      <c r="B67" s="67"/>
      <c r="C67" s="67" t="s">
        <v>1001</v>
      </c>
      <c r="D67" s="67"/>
      <c r="E67" s="81">
        <v>455364</v>
      </c>
      <c r="F67" s="363"/>
      <c r="G67" s="77">
        <v>15.178800000000001</v>
      </c>
      <c r="H67" s="67"/>
      <c r="I67" s="81">
        <v>455535.00000000006</v>
      </c>
      <c r="J67" s="71"/>
      <c r="K67" s="77">
        <v>15.1845</v>
      </c>
      <c r="L67" s="77"/>
      <c r="M67" s="82">
        <f>I67-E67</f>
        <v>171.00000000005821</v>
      </c>
      <c r="N67" s="67"/>
      <c r="O67" s="325">
        <f>M67/E67</f>
        <v>3.755237568188487E-4</v>
      </c>
      <c r="P67" s="79"/>
      <c r="Q67" s="325">
        <f>O67</f>
        <v>3.755237568188487E-4</v>
      </c>
    </row>
    <row r="68" spans="1:17">
      <c r="A68" s="71">
        <f>A67+1</f>
        <v>40</v>
      </c>
      <c r="B68" s="67"/>
      <c r="C68" s="67" t="s">
        <v>1002</v>
      </c>
      <c r="D68" s="67"/>
      <c r="E68" s="364">
        <f>SUM(E64:E67)</f>
        <v>989745.36120000004</v>
      </c>
      <c r="F68" s="71"/>
      <c r="G68" s="369">
        <v>32.991512040000003</v>
      </c>
      <c r="H68" s="71"/>
      <c r="I68" s="364">
        <f>SUM(I64:I67)</f>
        <v>990528.4236000001</v>
      </c>
      <c r="J68" s="71"/>
      <c r="K68" s="369">
        <v>33.017614120000005</v>
      </c>
      <c r="L68" s="77"/>
      <c r="M68" s="377">
        <f>SUM(M64:M67)</f>
        <v>783.06240000005346</v>
      </c>
      <c r="N68" s="67"/>
      <c r="O68" s="367">
        <f>M68/E68</f>
        <v>7.9117562021270061E-4</v>
      </c>
      <c r="P68" s="80"/>
      <c r="Q68" s="367">
        <f>(M64+M67+M66)/(E64+E67+E66)</f>
        <v>1.2669982644633974E-3</v>
      </c>
    </row>
    <row r="69" spans="1:17">
      <c r="A69" s="71"/>
      <c r="B69" s="67"/>
      <c r="C69" s="67"/>
      <c r="D69" s="67"/>
      <c r="E69" s="81"/>
      <c r="F69" s="71"/>
      <c r="G69" s="77"/>
      <c r="H69" s="71"/>
      <c r="I69" s="81"/>
      <c r="J69" s="71"/>
      <c r="K69" s="77"/>
      <c r="L69" s="77"/>
      <c r="M69" s="82"/>
      <c r="N69" s="67"/>
      <c r="O69" s="368"/>
      <c r="P69" s="80"/>
      <c r="Q69" s="368"/>
    </row>
    <row r="70" spans="1:17">
      <c r="A70" s="71">
        <f>A68+1</f>
        <v>41</v>
      </c>
      <c r="B70" s="67"/>
      <c r="C70" s="67" t="s">
        <v>1033</v>
      </c>
      <c r="D70" s="67"/>
      <c r="E70" s="364">
        <f>SUM(E64:E66)+I67</f>
        <v>989916.36120000016</v>
      </c>
      <c r="F70" s="71"/>
      <c r="G70" s="369">
        <v>32.997212040000008</v>
      </c>
      <c r="H70" s="71"/>
      <c r="I70" s="364">
        <f>SUM(I64:I67)</f>
        <v>990528.4236000001</v>
      </c>
      <c r="J70" s="363"/>
      <c r="K70" s="369">
        <v>33.017614120000005</v>
      </c>
      <c r="L70" s="77"/>
      <c r="M70" s="377">
        <f>M64+M65+M66</f>
        <v>612.06239999999525</v>
      </c>
      <c r="N70" s="67"/>
      <c r="O70" s="367">
        <f>M70/E70</f>
        <v>6.182970844708927E-4</v>
      </c>
      <c r="P70" s="80"/>
      <c r="Q70" s="367">
        <f>(M70-M65)/(E70-E65)</f>
        <v>9.9004561899969845E-4</v>
      </c>
    </row>
    <row r="71" spans="1:17">
      <c r="A71" s="71">
        <f>A70+1</f>
        <v>42</v>
      </c>
      <c r="B71" s="67"/>
      <c r="C71" s="67" t="s">
        <v>1034</v>
      </c>
      <c r="D71" s="67"/>
      <c r="E71" s="80"/>
      <c r="F71" s="80"/>
      <c r="G71" s="80"/>
      <c r="H71" s="80"/>
      <c r="I71" s="80"/>
      <c r="J71" s="80"/>
      <c r="K71" s="80"/>
      <c r="L71" s="80"/>
      <c r="M71" s="82"/>
      <c r="N71" s="67"/>
      <c r="O71" s="327">
        <v>1.1453662953841714E-3</v>
      </c>
      <c r="P71" s="80"/>
      <c r="Q71" s="327">
        <v>3.7623388167223847E-3</v>
      </c>
    </row>
    <row r="72" spans="1:17">
      <c r="A72" s="71"/>
      <c r="B72" s="67"/>
      <c r="C72" s="67"/>
      <c r="D72" s="67"/>
      <c r="E72" s="67"/>
      <c r="F72" s="67"/>
      <c r="G72" s="67"/>
      <c r="H72" s="67"/>
      <c r="I72" s="67"/>
      <c r="J72" s="67"/>
      <c r="K72" s="67"/>
      <c r="L72" s="67"/>
      <c r="M72" s="82"/>
      <c r="N72" s="67"/>
      <c r="O72" s="368"/>
      <c r="P72" s="67"/>
      <c r="Q72" s="368"/>
    </row>
    <row r="73" spans="1:17">
      <c r="A73" s="71"/>
      <c r="B73" s="67"/>
      <c r="C73" s="67"/>
      <c r="D73" s="67"/>
      <c r="E73" s="67"/>
      <c r="F73" s="67"/>
      <c r="G73" s="67"/>
      <c r="H73" s="67"/>
      <c r="I73" s="67"/>
      <c r="J73" s="67"/>
      <c r="K73" s="67"/>
      <c r="L73" s="67"/>
      <c r="M73" s="82"/>
      <c r="N73" s="67"/>
      <c r="O73" s="368"/>
      <c r="P73" s="67"/>
      <c r="Q73" s="368"/>
    </row>
    <row r="74" spans="1:17">
      <c r="A74" s="71"/>
      <c r="B74" s="67"/>
      <c r="C74" s="67"/>
      <c r="D74" s="67"/>
      <c r="E74" s="67"/>
      <c r="F74" s="67"/>
      <c r="G74" s="67"/>
      <c r="H74" s="67"/>
      <c r="I74" s="67"/>
      <c r="J74" s="67"/>
      <c r="K74" s="67"/>
      <c r="L74" s="67"/>
      <c r="M74" s="82"/>
      <c r="N74" s="67"/>
      <c r="O74" s="368"/>
      <c r="P74" s="67"/>
      <c r="Q74" s="368"/>
    </row>
    <row r="75" spans="1:17">
      <c r="A75" s="1184" t="s">
        <v>1018</v>
      </c>
      <c r="B75" s="1184"/>
      <c r="C75" s="1184"/>
      <c r="D75" s="1184"/>
      <c r="E75" s="1184"/>
      <c r="F75" s="1184"/>
      <c r="G75" s="1184"/>
      <c r="H75" s="1184"/>
      <c r="I75" s="1184"/>
      <c r="J75" s="1184"/>
      <c r="K75" s="1184"/>
      <c r="L75" s="1184"/>
      <c r="M75" s="1184"/>
      <c r="N75" s="1184"/>
      <c r="O75" s="1184"/>
      <c r="P75" s="1184"/>
      <c r="Q75" s="1184"/>
    </row>
    <row r="76" spans="1:17">
      <c r="A76" s="1184" t="s">
        <v>1049</v>
      </c>
      <c r="B76" s="1184"/>
      <c r="C76" s="1184"/>
      <c r="D76" s="1184"/>
      <c r="E76" s="1184"/>
      <c r="F76" s="1184"/>
      <c r="G76" s="1184"/>
      <c r="H76" s="1184"/>
      <c r="I76" s="1184"/>
      <c r="J76" s="1184"/>
      <c r="K76" s="1184"/>
      <c r="L76" s="1184"/>
      <c r="M76" s="1184"/>
      <c r="N76" s="1184"/>
      <c r="O76" s="1184"/>
      <c r="P76" s="1184"/>
      <c r="Q76" s="1184"/>
    </row>
    <row r="77" spans="1:17">
      <c r="A77" s="86"/>
      <c r="B77" s="86"/>
      <c r="C77" s="86"/>
      <c r="D77" s="86"/>
      <c r="E77" s="86"/>
      <c r="F77" s="86"/>
      <c r="G77" s="86"/>
      <c r="H77" s="86"/>
      <c r="I77" s="86"/>
      <c r="J77" s="86"/>
      <c r="K77" s="86"/>
      <c r="L77" s="86"/>
      <c r="M77" s="86"/>
      <c r="N77" s="86"/>
      <c r="O77" s="86"/>
      <c r="P77" s="86"/>
      <c r="Q77" s="86"/>
    </row>
    <row r="78" spans="1:17">
      <c r="A78" s="71"/>
      <c r="B78" s="67"/>
      <c r="C78" s="67"/>
      <c r="D78" s="67"/>
      <c r="E78" s="1185" t="s">
        <v>985</v>
      </c>
      <c r="F78" s="1185"/>
      <c r="G78" s="1185"/>
      <c r="H78" s="67"/>
      <c r="I78" s="1185" t="s">
        <v>986</v>
      </c>
      <c r="J78" s="1185"/>
      <c r="K78" s="1185"/>
      <c r="L78" s="1185"/>
      <c r="M78" s="1185"/>
      <c r="N78" s="67"/>
      <c r="O78" s="1185" t="s">
        <v>987</v>
      </c>
      <c r="P78" s="1185"/>
      <c r="Q78" s="1185"/>
    </row>
    <row r="79" spans="1:17">
      <c r="A79" s="71"/>
      <c r="B79" s="67"/>
      <c r="C79" s="67"/>
      <c r="D79" s="67"/>
      <c r="E79" s="71"/>
      <c r="F79" s="71"/>
      <c r="G79" s="71"/>
      <c r="H79" s="67"/>
      <c r="I79" s="71"/>
      <c r="J79" s="71"/>
      <c r="K79" s="71"/>
      <c r="L79" s="71"/>
      <c r="M79" s="71" t="s">
        <v>988</v>
      </c>
      <c r="N79" s="67"/>
      <c r="O79" s="71" t="s">
        <v>989</v>
      </c>
      <c r="P79" s="71"/>
      <c r="Q79" s="71" t="s">
        <v>990</v>
      </c>
    </row>
    <row r="80" spans="1:17">
      <c r="A80" s="71" t="s">
        <v>56</v>
      </c>
      <c r="B80" s="67"/>
      <c r="C80" s="67"/>
      <c r="D80" s="67"/>
      <c r="E80" s="71" t="s">
        <v>988</v>
      </c>
      <c r="F80" s="71"/>
      <c r="G80" s="71" t="s">
        <v>991</v>
      </c>
      <c r="H80" s="67"/>
      <c r="I80" s="71" t="s">
        <v>988</v>
      </c>
      <c r="J80" s="71"/>
      <c r="K80" s="71" t="s">
        <v>991</v>
      </c>
      <c r="L80" s="71"/>
      <c r="M80" s="71" t="s">
        <v>845</v>
      </c>
      <c r="N80" s="67"/>
      <c r="O80" s="71" t="s">
        <v>992</v>
      </c>
      <c r="P80" s="67"/>
      <c r="Q80" s="71" t="s">
        <v>992</v>
      </c>
    </row>
    <row r="81" spans="1:17" ht="15.6">
      <c r="A81" s="74" t="s">
        <v>57</v>
      </c>
      <c r="B81" s="67"/>
      <c r="C81" s="360" t="s">
        <v>194</v>
      </c>
      <c r="D81" s="67"/>
      <c r="E81" s="74" t="s">
        <v>993</v>
      </c>
      <c r="F81" s="71"/>
      <c r="G81" s="74" t="s">
        <v>247</v>
      </c>
      <c r="H81" s="67"/>
      <c r="I81" s="74" t="s">
        <v>993</v>
      </c>
      <c r="J81" s="71"/>
      <c r="K81" s="74" t="s">
        <v>247</v>
      </c>
      <c r="L81" s="71"/>
      <c r="M81" s="74" t="s">
        <v>993</v>
      </c>
      <c r="N81" s="67"/>
      <c r="O81" s="74" t="s">
        <v>249</v>
      </c>
      <c r="P81" s="71"/>
      <c r="Q81" s="74" t="s">
        <v>249</v>
      </c>
    </row>
    <row r="82" spans="1:17">
      <c r="A82" s="71"/>
      <c r="B82" s="67"/>
      <c r="C82" s="67"/>
      <c r="D82" s="67"/>
      <c r="E82" s="71" t="s">
        <v>9</v>
      </c>
      <c r="F82" s="71"/>
      <c r="G82" s="71" t="s">
        <v>10</v>
      </c>
      <c r="H82" s="71"/>
      <c r="I82" s="71" t="s">
        <v>58</v>
      </c>
      <c r="J82" s="71"/>
      <c r="K82" s="71" t="s">
        <v>12</v>
      </c>
      <c r="L82" s="71"/>
      <c r="M82" s="71" t="s">
        <v>994</v>
      </c>
      <c r="N82" s="71"/>
      <c r="O82" s="71" t="s">
        <v>995</v>
      </c>
      <c r="P82" s="71"/>
      <c r="Q82" s="71" t="s">
        <v>209</v>
      </c>
    </row>
    <row r="83" spans="1:17">
      <c r="A83" s="71"/>
      <c r="B83" s="67"/>
      <c r="C83" s="67"/>
      <c r="D83" s="67"/>
      <c r="E83" s="67"/>
      <c r="F83" s="67"/>
      <c r="G83" s="67"/>
      <c r="H83" s="67"/>
      <c r="I83" s="67"/>
      <c r="J83" s="67"/>
      <c r="K83" s="67"/>
      <c r="L83" s="67"/>
      <c r="M83" s="82"/>
      <c r="N83" s="67"/>
      <c r="O83" s="368"/>
      <c r="P83" s="67"/>
      <c r="Q83" s="368"/>
    </row>
    <row r="84" spans="1:17" ht="15.6">
      <c r="A84" s="71"/>
      <c r="B84" s="67"/>
      <c r="C84" s="76" t="s">
        <v>1062</v>
      </c>
      <c r="D84" s="67"/>
      <c r="E84" s="67" t="s">
        <v>1063</v>
      </c>
      <c r="F84" s="67"/>
      <c r="G84" s="67"/>
      <c r="H84" s="67"/>
      <c r="I84" s="67"/>
      <c r="J84" s="67"/>
      <c r="K84" s="67"/>
      <c r="L84" s="67"/>
      <c r="M84" s="82"/>
      <c r="N84" s="67"/>
      <c r="O84" s="368"/>
      <c r="P84" s="67"/>
      <c r="Q84" s="368"/>
    </row>
    <row r="85" spans="1:17">
      <c r="A85" s="71">
        <f>A71+1</f>
        <v>43</v>
      </c>
      <c r="B85" s="67"/>
      <c r="C85" s="67" t="s">
        <v>998</v>
      </c>
      <c r="D85" s="67"/>
      <c r="E85" s="81">
        <v>368882.13600000006</v>
      </c>
      <c r="F85" s="363"/>
      <c r="G85" s="77">
        <v>2.4592142400000001</v>
      </c>
      <c r="H85" s="77"/>
      <c r="I85" s="81">
        <v>369255.15960000007</v>
      </c>
      <c r="J85" s="71"/>
      <c r="K85" s="77">
        <v>2.4617010640000005</v>
      </c>
      <c r="L85" s="77"/>
      <c r="M85" s="82">
        <f>I85-E85</f>
        <v>373.02360000001499</v>
      </c>
      <c r="N85" s="77"/>
      <c r="O85" s="1046">
        <f>M85/E85</f>
        <v>1.0112270657639407E-3</v>
      </c>
      <c r="P85" s="1045"/>
      <c r="Q85" s="1046">
        <f>O85</f>
        <v>1.0112270657639407E-3</v>
      </c>
    </row>
    <row r="86" spans="1:17">
      <c r="A86" s="71">
        <f>A85+1</f>
        <v>44</v>
      </c>
      <c r="B86" s="67"/>
      <c r="C86" s="67" t="s">
        <v>999</v>
      </c>
      <c r="D86" s="67"/>
      <c r="E86" s="81">
        <v>1858500</v>
      </c>
      <c r="F86" s="363"/>
      <c r="G86" s="77">
        <v>12.389999999999999</v>
      </c>
      <c r="H86" s="77"/>
      <c r="I86" s="81">
        <v>1858500</v>
      </c>
      <c r="J86" s="363"/>
      <c r="K86" s="77">
        <v>12.389999999999999</v>
      </c>
      <c r="L86" s="77"/>
      <c r="M86" s="82">
        <f>I86-E86</f>
        <v>0</v>
      </c>
      <c r="N86" s="77"/>
      <c r="O86" s="1044">
        <f>IFERROR(M86/E86,"100.0%")</f>
        <v>0</v>
      </c>
      <c r="P86" s="1045"/>
      <c r="Q86" s="1044">
        <v>0</v>
      </c>
    </row>
    <row r="87" spans="1:17">
      <c r="A87" s="71">
        <f>A86+1</f>
        <v>45</v>
      </c>
      <c r="B87" s="67"/>
      <c r="C87" s="67" t="s">
        <v>1000</v>
      </c>
      <c r="D87" s="67"/>
      <c r="E87" s="81">
        <v>291739.78799999994</v>
      </c>
      <c r="F87" s="363"/>
      <c r="G87" s="77">
        <v>1.9449319199999995</v>
      </c>
      <c r="H87" s="77"/>
      <c r="I87" s="81">
        <v>292633.19999999995</v>
      </c>
      <c r="J87" s="363"/>
      <c r="K87" s="77">
        <v>1.9508879999999995</v>
      </c>
      <c r="L87" s="77"/>
      <c r="M87" s="82">
        <f>I87-E87</f>
        <v>893.41200000001118</v>
      </c>
      <c r="N87" s="67"/>
      <c r="O87" s="1046">
        <f>M87/E87</f>
        <v>3.0623591184621391E-3</v>
      </c>
      <c r="P87" s="1045"/>
      <c r="Q87" s="1046">
        <f>O87</f>
        <v>3.0623591184621391E-3</v>
      </c>
    </row>
    <row r="88" spans="1:17">
      <c r="A88" s="71">
        <f>A87+1</f>
        <v>46</v>
      </c>
      <c r="B88" s="67"/>
      <c r="C88" s="67" t="s">
        <v>1001</v>
      </c>
      <c r="D88" s="67"/>
      <c r="E88" s="81">
        <v>2276820</v>
      </c>
      <c r="F88" s="363"/>
      <c r="G88" s="77">
        <v>15.178800000000001</v>
      </c>
      <c r="H88" s="67"/>
      <c r="I88" s="81">
        <v>2277675.0000000005</v>
      </c>
      <c r="J88" s="71"/>
      <c r="K88" s="77">
        <v>15.184500000000003</v>
      </c>
      <c r="L88" s="77"/>
      <c r="M88" s="82">
        <f>I88-E88</f>
        <v>855.00000000046566</v>
      </c>
      <c r="N88" s="67"/>
      <c r="O88" s="325">
        <f>M88/E88</f>
        <v>3.7552375681892535E-4</v>
      </c>
      <c r="P88" s="79"/>
      <c r="Q88" s="325">
        <f>O88</f>
        <v>3.7552375681892535E-4</v>
      </c>
    </row>
    <row r="89" spans="1:17">
      <c r="A89" s="71">
        <f>A88+1</f>
        <v>47</v>
      </c>
      <c r="B89" s="67"/>
      <c r="C89" s="67" t="s">
        <v>1002</v>
      </c>
      <c r="D89" s="67"/>
      <c r="E89" s="364">
        <f>SUM(E85:E88)</f>
        <v>4795941.9239999996</v>
      </c>
      <c r="F89" s="71"/>
      <c r="G89" s="369">
        <v>31.972946159999999</v>
      </c>
      <c r="H89" s="71"/>
      <c r="I89" s="364">
        <f>SUM(I85:I88)</f>
        <v>4798063.3596000001</v>
      </c>
      <c r="J89" s="71"/>
      <c r="K89" s="369">
        <v>31.987089064000003</v>
      </c>
      <c r="L89" s="77"/>
      <c r="M89" s="377">
        <f>SUM(M85:M88)</f>
        <v>2121.4356000004918</v>
      </c>
      <c r="N89" s="67"/>
      <c r="O89" s="367">
        <f>M89/E89</f>
        <v>4.4233971837405678E-4</v>
      </c>
      <c r="P89" s="80"/>
      <c r="Q89" s="367">
        <f>(M85+M88+M87)/(E85+E88+E87)</f>
        <v>7.2220512094811791E-4</v>
      </c>
    </row>
    <row r="90" spans="1:17">
      <c r="A90" s="71"/>
      <c r="B90" s="67"/>
      <c r="C90" s="67"/>
      <c r="D90" s="67"/>
      <c r="E90" s="81"/>
      <c r="F90" s="71"/>
      <c r="G90" s="77"/>
      <c r="H90" s="71"/>
      <c r="I90" s="81"/>
      <c r="J90" s="71"/>
      <c r="K90" s="77"/>
      <c r="L90" s="77"/>
      <c r="M90" s="82"/>
      <c r="N90" s="67"/>
      <c r="O90" s="368"/>
      <c r="P90" s="80"/>
      <c r="Q90" s="368"/>
    </row>
    <row r="91" spans="1:17">
      <c r="A91" s="71">
        <f>A89+1</f>
        <v>48</v>
      </c>
      <c r="B91" s="67"/>
      <c r="C91" s="67" t="s">
        <v>1033</v>
      </c>
      <c r="D91" s="67"/>
      <c r="E91" s="364">
        <f>SUM(E85:E87)+I88</f>
        <v>4796796.9240000006</v>
      </c>
      <c r="F91" s="71"/>
      <c r="G91" s="369">
        <v>31.97864616</v>
      </c>
      <c r="H91" s="71"/>
      <c r="I91" s="364">
        <f>SUM(I85:I88)</f>
        <v>4798063.3596000001</v>
      </c>
      <c r="J91" s="363"/>
      <c r="K91" s="369">
        <v>31.987089064000003</v>
      </c>
      <c r="L91" s="77"/>
      <c r="M91" s="377">
        <f>M85+M86+M87</f>
        <v>1266.4356000000262</v>
      </c>
      <c r="N91" s="67"/>
      <c r="O91" s="367">
        <f>M91/E91</f>
        <v>2.6401693047784029E-4</v>
      </c>
      <c r="P91" s="80"/>
      <c r="Q91" s="367">
        <f>(M91-M86)/(E91-E86)</f>
        <v>4.3101008262840418E-4</v>
      </c>
    </row>
    <row r="92" spans="1:17">
      <c r="A92" s="71">
        <f>A91+1</f>
        <v>49</v>
      </c>
      <c r="B92" s="67"/>
      <c r="C92" s="67" t="s">
        <v>1034</v>
      </c>
      <c r="D92" s="67"/>
      <c r="E92" s="80"/>
      <c r="F92" s="80"/>
      <c r="G92" s="80"/>
      <c r="H92" s="80"/>
      <c r="I92" s="80"/>
      <c r="J92" s="80"/>
      <c r="K92" s="80"/>
      <c r="L92" s="80"/>
      <c r="M92" s="82"/>
      <c r="N92" s="67"/>
      <c r="O92" s="327">
        <v>5.027289818466008E-4</v>
      </c>
      <c r="P92" s="80"/>
      <c r="Q92" s="327">
        <v>1.9170353783171897E-3</v>
      </c>
    </row>
    <row r="93" spans="1:17">
      <c r="A93" s="71"/>
      <c r="B93" s="67"/>
      <c r="C93" s="67"/>
      <c r="D93" s="67"/>
      <c r="E93" s="67"/>
      <c r="F93" s="67"/>
      <c r="G93" s="67"/>
      <c r="H93" s="67"/>
      <c r="I93" s="67"/>
      <c r="J93" s="67"/>
      <c r="K93" s="67"/>
      <c r="L93" s="67"/>
      <c r="M93" s="82"/>
      <c r="N93" s="67"/>
      <c r="O93" s="368"/>
      <c r="P93" s="67"/>
      <c r="Q93" s="368"/>
    </row>
    <row r="94" spans="1:17" ht="15.6">
      <c r="A94" s="71"/>
      <c r="B94" s="67"/>
      <c r="C94" s="76" t="s">
        <v>1064</v>
      </c>
      <c r="D94" s="67"/>
      <c r="E94" s="1181" t="s">
        <v>1065</v>
      </c>
      <c r="F94" s="1181"/>
      <c r="G94" s="1181"/>
      <c r="H94" s="67"/>
      <c r="I94" s="67"/>
      <c r="J94" s="67"/>
      <c r="K94" s="67"/>
      <c r="L94" s="67"/>
      <c r="M94" s="82"/>
      <c r="N94" s="67"/>
      <c r="O94" s="368"/>
      <c r="P94" s="67"/>
      <c r="Q94" s="368"/>
    </row>
    <row r="95" spans="1:17">
      <c r="A95" s="71">
        <f>A92+1</f>
        <v>50</v>
      </c>
      <c r="B95" s="67"/>
      <c r="C95" s="67" t="s">
        <v>998</v>
      </c>
      <c r="D95" s="67"/>
      <c r="E95" s="81">
        <v>79013.145000000019</v>
      </c>
      <c r="F95" s="363"/>
      <c r="G95" s="77">
        <v>3.4731052747252757</v>
      </c>
      <c r="H95" s="77"/>
      <c r="I95" s="81">
        <v>80993.742105620302</v>
      </c>
      <c r="J95" s="71"/>
      <c r="K95" s="77">
        <v>3.5601644881591343</v>
      </c>
      <c r="L95" s="77"/>
      <c r="M95" s="82">
        <f>I95-E95</f>
        <v>1980.5971056202834</v>
      </c>
      <c r="N95" s="77"/>
      <c r="O95" s="325">
        <f>M95/E95</f>
        <v>2.5066678533303324E-2</v>
      </c>
      <c r="P95" s="79"/>
      <c r="Q95" s="325">
        <f>O95</f>
        <v>2.5066678533303324E-2</v>
      </c>
    </row>
    <row r="96" spans="1:17">
      <c r="A96" s="71">
        <f>A95+1</f>
        <v>51</v>
      </c>
      <c r="B96" s="67"/>
      <c r="C96" s="67" t="s">
        <v>999</v>
      </c>
      <c r="D96" s="67"/>
      <c r="E96" s="81">
        <v>281872.5</v>
      </c>
      <c r="F96" s="363"/>
      <c r="G96" s="77">
        <v>12.389999999999999</v>
      </c>
      <c r="H96" s="77"/>
      <c r="I96" s="81">
        <v>281872.5</v>
      </c>
      <c r="J96" s="363"/>
      <c r="K96" s="77">
        <v>12.389999999999999</v>
      </c>
      <c r="L96" s="77"/>
      <c r="M96" s="82">
        <f>I96-E96</f>
        <v>0</v>
      </c>
      <c r="N96" s="77"/>
      <c r="O96" s="326">
        <f>IFERROR(M96/E96,"100.0%")</f>
        <v>0</v>
      </c>
      <c r="P96" s="79"/>
      <c r="Q96" s="326">
        <v>0</v>
      </c>
    </row>
    <row r="97" spans="1:17">
      <c r="A97" s="71">
        <f>A96+1</f>
        <v>52</v>
      </c>
      <c r="B97" s="67"/>
      <c r="C97" s="67" t="s">
        <v>1000</v>
      </c>
      <c r="D97" s="67"/>
      <c r="E97" s="81">
        <v>20518.224999999999</v>
      </c>
      <c r="F97" s="363"/>
      <c r="G97" s="77">
        <v>0.90189999999999992</v>
      </c>
      <c r="H97" s="77"/>
      <c r="I97" s="81">
        <v>20579.779674999994</v>
      </c>
      <c r="J97" s="363"/>
      <c r="K97" s="77">
        <v>0.90460569999999985</v>
      </c>
      <c r="L97" s="77"/>
      <c r="M97" s="82">
        <f>I97-E97</f>
        <v>61.554674999995768</v>
      </c>
      <c r="N97" s="67"/>
      <c r="O97" s="325">
        <f>M97/E97</f>
        <v>2.9999999999997941E-3</v>
      </c>
      <c r="P97" s="79"/>
      <c r="Q97" s="325">
        <f>O97</f>
        <v>2.9999999999997941E-3</v>
      </c>
    </row>
    <row r="98" spans="1:17">
      <c r="A98" s="71">
        <f>A97+1</f>
        <v>53</v>
      </c>
      <c r="B98" s="67"/>
      <c r="C98" s="67" t="s">
        <v>1001</v>
      </c>
      <c r="D98" s="67"/>
      <c r="E98" s="81">
        <v>345317.7</v>
      </c>
      <c r="F98" s="363"/>
      <c r="G98" s="77">
        <v>15.178800000000001</v>
      </c>
      <c r="H98" s="67"/>
      <c r="I98" s="81">
        <v>345447.37500000006</v>
      </c>
      <c r="J98" s="71"/>
      <c r="K98" s="77">
        <v>15.184500000000003</v>
      </c>
      <c r="L98" s="77"/>
      <c r="M98" s="82">
        <f>I98-E98</f>
        <v>129.67500000004657</v>
      </c>
      <c r="N98" s="67"/>
      <c r="O98" s="325">
        <f>M98/E98</f>
        <v>3.7552375681885569E-4</v>
      </c>
      <c r="P98" s="79"/>
      <c r="Q98" s="325">
        <f>O98</f>
        <v>3.7552375681885569E-4</v>
      </c>
    </row>
    <row r="99" spans="1:17">
      <c r="A99" s="71">
        <f>A98+1</f>
        <v>54</v>
      </c>
      <c r="B99" s="67"/>
      <c r="C99" s="67" t="s">
        <v>1002</v>
      </c>
      <c r="D99" s="67"/>
      <c r="E99" s="364">
        <f>SUM(E95:E98)</f>
        <v>726721.57000000007</v>
      </c>
      <c r="F99" s="71"/>
      <c r="G99" s="369">
        <v>31.943805274725278</v>
      </c>
      <c r="H99" s="71"/>
      <c r="I99" s="364">
        <f>SUM(I95:I98)</f>
        <v>728893.39678062033</v>
      </c>
      <c r="J99" s="71"/>
      <c r="K99" s="369">
        <v>32.039270188159136</v>
      </c>
      <c r="L99" s="77"/>
      <c r="M99" s="377">
        <f>SUM(M95:M98)</f>
        <v>2171.8267806203257</v>
      </c>
      <c r="N99" s="67"/>
      <c r="O99" s="367">
        <f>M99/E99</f>
        <v>2.9885266521266535E-3</v>
      </c>
      <c r="P99" s="80"/>
      <c r="Q99" s="367">
        <f>(M95+M98+M97)/(E95+E98+E97)</f>
        <v>4.8821654963116497E-3</v>
      </c>
    </row>
    <row r="100" spans="1:17">
      <c r="A100" s="71"/>
      <c r="B100" s="67"/>
      <c r="C100" s="67"/>
      <c r="D100" s="67"/>
      <c r="E100" s="81"/>
      <c r="F100" s="71"/>
      <c r="G100" s="77"/>
      <c r="H100" s="71"/>
      <c r="I100" s="81"/>
      <c r="J100" s="71"/>
      <c r="K100" s="77"/>
      <c r="L100" s="77"/>
      <c r="M100" s="82"/>
      <c r="N100" s="67"/>
      <c r="O100" s="368"/>
      <c r="P100" s="80"/>
      <c r="Q100" s="368"/>
    </row>
    <row r="101" spans="1:17">
      <c r="A101" s="71">
        <f>A99+1</f>
        <v>55</v>
      </c>
      <c r="B101" s="67"/>
      <c r="C101" s="67" t="s">
        <v>1033</v>
      </c>
      <c r="D101" s="67"/>
      <c r="E101" s="364">
        <f>SUM(E95:E97)+I98</f>
        <v>726851.24500000011</v>
      </c>
      <c r="F101" s="71"/>
      <c r="G101" s="369">
        <v>31.949505274725283</v>
      </c>
      <c r="H101" s="71"/>
      <c r="I101" s="364">
        <f>SUM(I95:I98)</f>
        <v>728893.39678062033</v>
      </c>
      <c r="J101" s="363"/>
      <c r="K101" s="369">
        <v>32.039270188159136</v>
      </c>
      <c r="L101" s="77"/>
      <c r="M101" s="377">
        <f>M95+M96+M97</f>
        <v>2042.1517806202792</v>
      </c>
      <c r="N101" s="67"/>
      <c r="O101" s="367">
        <f>M101/E101</f>
        <v>2.8095869611123509E-3</v>
      </c>
      <c r="P101" s="80"/>
      <c r="Q101" s="367">
        <f>(M101-M96)/(E101-E96)</f>
        <v>4.5893243296829351E-3</v>
      </c>
    </row>
    <row r="102" spans="1:17">
      <c r="A102" s="71">
        <f>A101+1</f>
        <v>56</v>
      </c>
      <c r="B102" s="67"/>
      <c r="C102" s="67" t="s">
        <v>1034</v>
      </c>
      <c r="D102" s="67"/>
      <c r="E102" s="80"/>
      <c r="F102" s="80"/>
      <c r="G102" s="80"/>
      <c r="H102" s="80"/>
      <c r="I102" s="80"/>
      <c r="J102" s="80"/>
      <c r="K102" s="80"/>
      <c r="L102" s="80"/>
      <c r="M102" s="82"/>
      <c r="N102" s="67"/>
      <c r="O102" s="327">
        <v>5.3543027254030753E-3</v>
      </c>
      <c r="P102" s="80"/>
      <c r="Q102" s="327">
        <v>2.0517669762008497E-2</v>
      </c>
    </row>
    <row r="103" spans="1:17">
      <c r="A103" s="71"/>
      <c r="B103" s="67"/>
      <c r="C103" s="67"/>
      <c r="D103" s="67"/>
      <c r="E103" s="67"/>
      <c r="F103" s="67"/>
      <c r="G103" s="67"/>
      <c r="H103" s="67"/>
      <c r="I103" s="67"/>
      <c r="J103" s="67"/>
      <c r="K103" s="67"/>
      <c r="L103" s="67"/>
      <c r="M103" s="82"/>
      <c r="N103" s="67"/>
      <c r="O103" s="368"/>
      <c r="P103" s="67"/>
      <c r="Q103" s="368"/>
    </row>
    <row r="104" spans="1:17" ht="15.6">
      <c r="A104" s="71"/>
      <c r="B104" s="67"/>
      <c r="C104" s="76" t="s">
        <v>1014</v>
      </c>
      <c r="D104" s="67"/>
      <c r="E104" s="67" t="s">
        <v>1066</v>
      </c>
      <c r="F104" s="67"/>
      <c r="G104" s="67"/>
      <c r="H104" s="67"/>
      <c r="I104" s="67"/>
      <c r="J104" s="67"/>
      <c r="K104" s="67"/>
      <c r="L104" s="67"/>
      <c r="M104" s="82"/>
      <c r="N104" s="67"/>
      <c r="O104" s="368"/>
      <c r="P104" s="67"/>
      <c r="Q104" s="368"/>
    </row>
    <row r="105" spans="1:17">
      <c r="A105" s="71">
        <f>A102+1</f>
        <v>57</v>
      </c>
      <c r="B105" s="67"/>
      <c r="C105" s="67" t="s">
        <v>998</v>
      </c>
      <c r="D105" s="67"/>
      <c r="E105" s="81">
        <v>340516.31999999995</v>
      </c>
      <c r="F105" s="363"/>
      <c r="G105" s="77">
        <v>1.2611715555555554</v>
      </c>
      <c r="H105" s="77"/>
      <c r="I105" s="81">
        <v>339939.00599999999</v>
      </c>
      <c r="J105" s="71"/>
      <c r="K105" s="77">
        <v>1.2590333555555555</v>
      </c>
      <c r="L105" s="77"/>
      <c r="M105" s="82">
        <f>I105-E105</f>
        <v>-577.31399999995483</v>
      </c>
      <c r="N105" s="77"/>
      <c r="O105" s="325">
        <f>M105/E105</f>
        <v>-1.6954077267132305E-3</v>
      </c>
      <c r="P105" s="79"/>
      <c r="Q105" s="325">
        <f>O105</f>
        <v>-1.6954077267132305E-3</v>
      </c>
    </row>
    <row r="106" spans="1:17">
      <c r="A106" s="71">
        <f>A105+1</f>
        <v>58</v>
      </c>
      <c r="B106" s="67"/>
      <c r="C106" s="67" t="s">
        <v>999</v>
      </c>
      <c r="D106" s="67"/>
      <c r="E106" s="81">
        <v>3345300</v>
      </c>
      <c r="F106" s="363"/>
      <c r="G106" s="77">
        <v>12.389999999999999</v>
      </c>
      <c r="H106" s="77"/>
      <c r="I106" s="81">
        <v>3345300</v>
      </c>
      <c r="J106" s="363"/>
      <c r="K106" s="77">
        <v>12.389999999999999</v>
      </c>
      <c r="L106" s="77"/>
      <c r="M106" s="82">
        <f>I106-E106</f>
        <v>0</v>
      </c>
      <c r="N106" s="77"/>
      <c r="O106" s="326">
        <f>IFERROR(M106/E106,"100.0%")</f>
        <v>0</v>
      </c>
      <c r="P106" s="79"/>
      <c r="Q106" s="326">
        <v>0</v>
      </c>
    </row>
    <row r="107" spans="1:17">
      <c r="A107" s="71">
        <f>A106+1</f>
        <v>59</v>
      </c>
      <c r="B107" s="67"/>
      <c r="C107" s="67" t="s">
        <v>1000</v>
      </c>
      <c r="D107" s="67"/>
      <c r="E107" s="81">
        <v>1091606.52</v>
      </c>
      <c r="F107" s="363"/>
      <c r="G107" s="77">
        <v>4.0429871111111115</v>
      </c>
      <c r="H107" s="77"/>
      <c r="I107" s="81">
        <v>1094460.3353539186</v>
      </c>
      <c r="J107" s="363"/>
      <c r="K107" s="77">
        <v>4.0535567976071061</v>
      </c>
      <c r="L107" s="77"/>
      <c r="M107" s="82">
        <f>I107-E107</f>
        <v>2853.8153539185878</v>
      </c>
      <c r="N107" s="67"/>
      <c r="O107" s="325">
        <f>M107/E107</f>
        <v>2.6143260429761705E-3</v>
      </c>
      <c r="P107" s="79"/>
      <c r="Q107" s="325">
        <f>O107</f>
        <v>2.6143260429761705E-3</v>
      </c>
    </row>
    <row r="108" spans="1:17">
      <c r="A108" s="71">
        <f>A107+1</f>
        <v>60</v>
      </c>
      <c r="B108" s="67"/>
      <c r="C108" s="67" t="s">
        <v>1001</v>
      </c>
      <c r="D108" s="67"/>
      <c r="E108" s="81">
        <v>4098276</v>
      </c>
      <c r="F108" s="363"/>
      <c r="G108" s="77">
        <v>15.178800000000001</v>
      </c>
      <c r="H108" s="67"/>
      <c r="I108" s="81">
        <v>4099815.0000000005</v>
      </c>
      <c r="J108" s="71"/>
      <c r="K108" s="77">
        <v>15.1845</v>
      </c>
      <c r="L108" s="77"/>
      <c r="M108" s="82">
        <f>I108-E108</f>
        <v>1539.0000000004657</v>
      </c>
      <c r="N108" s="67"/>
      <c r="O108" s="325">
        <f>M108/E108</f>
        <v>3.7552375681883449E-4</v>
      </c>
      <c r="P108" s="79"/>
      <c r="Q108" s="325">
        <f>O108</f>
        <v>3.7552375681883449E-4</v>
      </c>
    </row>
    <row r="109" spans="1:17">
      <c r="A109" s="71">
        <f>A108+1</f>
        <v>61</v>
      </c>
      <c r="B109" s="67"/>
      <c r="C109" s="67" t="s">
        <v>1002</v>
      </c>
      <c r="D109" s="67"/>
      <c r="E109" s="364">
        <f>SUM(E105:E108)</f>
        <v>8875698.8399999999</v>
      </c>
      <c r="F109" s="71"/>
      <c r="G109" s="369">
        <v>32.872958666666669</v>
      </c>
      <c r="H109" s="71"/>
      <c r="I109" s="364">
        <f>SUM(I105:I108)</f>
        <v>8879514.3413539194</v>
      </c>
      <c r="J109" s="71"/>
      <c r="K109" s="369">
        <v>32.88709015316266</v>
      </c>
      <c r="L109" s="77"/>
      <c r="M109" s="377">
        <f>SUM(M105:M108)</f>
        <v>3815.5013539190986</v>
      </c>
      <c r="N109" s="67"/>
      <c r="O109" s="367">
        <f>M109/E109</f>
        <v>4.2988179552958997E-4</v>
      </c>
      <c r="P109" s="80"/>
      <c r="Q109" s="367">
        <f>(M105+M108+M107)/(E105+E108+E107)</f>
        <v>6.8991431979960034E-4</v>
      </c>
    </row>
    <row r="110" spans="1:17">
      <c r="A110" s="71"/>
      <c r="B110" s="67"/>
      <c r="C110" s="67"/>
      <c r="D110" s="67"/>
      <c r="E110" s="81"/>
      <c r="F110" s="71"/>
      <c r="G110" s="77"/>
      <c r="H110" s="71"/>
      <c r="I110" s="81"/>
      <c r="J110" s="71"/>
      <c r="K110" s="77"/>
      <c r="L110" s="77"/>
      <c r="M110" s="82"/>
      <c r="N110" s="67"/>
      <c r="O110" s="368"/>
      <c r="P110" s="80"/>
      <c r="Q110" s="368"/>
    </row>
    <row r="111" spans="1:17">
      <c r="A111" s="71">
        <f>A109+1</f>
        <v>62</v>
      </c>
      <c r="B111" s="67"/>
      <c r="C111" s="67" t="s">
        <v>1033</v>
      </c>
      <c r="D111" s="67"/>
      <c r="E111" s="364">
        <f>SUM(E105:E107)+I108</f>
        <v>8877237.8399999999</v>
      </c>
      <c r="F111" s="71"/>
      <c r="G111" s="369">
        <f>SUM(G105:G107)+K108</f>
        <v>32.878658666666666</v>
      </c>
      <c r="H111" s="71"/>
      <c r="I111" s="364">
        <f>SUM(I105:I108)</f>
        <v>8879514.3413539194</v>
      </c>
      <c r="J111" s="363"/>
      <c r="K111" s="369">
        <f>K109</f>
        <v>32.88709015316266</v>
      </c>
      <c r="L111" s="77"/>
      <c r="M111" s="377">
        <f>M105+M106+M107</f>
        <v>2276.501353918633</v>
      </c>
      <c r="N111" s="67"/>
      <c r="O111" s="367">
        <f>M111/E111</f>
        <v>2.5644253257031501E-4</v>
      </c>
      <c r="P111" s="80"/>
      <c r="Q111" s="367">
        <f>(M111-M106)/(E111-E106)</f>
        <v>4.1151969160930287E-4</v>
      </c>
    </row>
    <row r="112" spans="1:17">
      <c r="A112" s="71">
        <f>A111+1</f>
        <v>63</v>
      </c>
      <c r="B112" s="67"/>
      <c r="C112" s="67" t="s">
        <v>1034</v>
      </c>
      <c r="D112" s="67"/>
      <c r="E112" s="80"/>
      <c r="F112" s="80"/>
      <c r="G112" s="80"/>
      <c r="H112" s="80"/>
      <c r="I112" s="80"/>
      <c r="J112" s="80"/>
      <c r="K112" s="80"/>
      <c r="L112" s="80"/>
      <c r="M112" s="82"/>
      <c r="N112" s="67"/>
      <c r="O112" s="327">
        <v>4.7651242734012716E-4</v>
      </c>
      <c r="P112" s="80"/>
      <c r="Q112" s="327">
        <v>1.5895992231494361E-3</v>
      </c>
    </row>
    <row r="113" spans="1:17">
      <c r="A113" s="71">
        <f>A112+1</f>
        <v>64</v>
      </c>
      <c r="B113" s="67"/>
      <c r="C113" s="67" t="s">
        <v>1067</v>
      </c>
      <c r="D113" s="67"/>
      <c r="E113" s="364">
        <f>SUM(E105:E106)+I108+I107</f>
        <v>8880091.6553539187</v>
      </c>
      <c r="F113" s="80"/>
      <c r="G113" s="365">
        <f>SUM(G105:G106)+K108+K107</f>
        <v>32.889228353162657</v>
      </c>
      <c r="H113" s="80"/>
      <c r="I113" s="364">
        <f>SUM(I105:I108)</f>
        <v>8879514.3413539194</v>
      </c>
      <c r="J113" s="80"/>
      <c r="K113" s="369">
        <f>K109</f>
        <v>32.88709015316266</v>
      </c>
      <c r="L113" s="80"/>
      <c r="M113" s="377">
        <f>I113-E113</f>
        <v>-577.31399999931455</v>
      </c>
      <c r="N113" s="67"/>
      <c r="O113" s="367">
        <f>M113/E113</f>
        <v>-6.5012166811504097E-5</v>
      </c>
      <c r="P113" s="80"/>
      <c r="Q113" s="367">
        <f>(M113-M106)/(E113-E106)</f>
        <v>-1.0430636525240598E-4</v>
      </c>
    </row>
    <row r="114" spans="1:17">
      <c r="A114" s="71">
        <f>A113+1</f>
        <v>65</v>
      </c>
      <c r="B114" s="67"/>
      <c r="C114" s="67" t="s">
        <v>1068</v>
      </c>
      <c r="D114" s="67"/>
      <c r="E114" s="80"/>
      <c r="F114" s="80"/>
      <c r="G114" s="80"/>
      <c r="H114" s="80"/>
      <c r="I114" s="80"/>
      <c r="J114" s="80"/>
      <c r="K114" s="80"/>
      <c r="L114" s="80"/>
      <c r="M114" s="82"/>
      <c r="N114" s="67"/>
      <c r="O114" s="327">
        <v>-1.5663124525965881E-4</v>
      </c>
      <c r="P114" s="80"/>
      <c r="Q114" s="327">
        <v>-1.6954077267132839E-3</v>
      </c>
    </row>
    <row r="115" spans="1:17">
      <c r="A115" s="71"/>
      <c r="B115" s="67"/>
      <c r="C115" s="67"/>
      <c r="D115" s="67"/>
      <c r="E115" s="67"/>
      <c r="F115" s="67"/>
      <c r="G115" s="67"/>
      <c r="H115" s="67"/>
      <c r="I115" s="67"/>
      <c r="J115" s="67"/>
      <c r="K115" s="67"/>
      <c r="L115" s="67"/>
      <c r="M115" s="82"/>
      <c r="N115" s="67"/>
      <c r="O115" s="368"/>
      <c r="P115" s="67"/>
      <c r="Q115" s="368"/>
    </row>
    <row r="116" spans="1:17" ht="15.6">
      <c r="A116" s="71"/>
      <c r="B116" s="67"/>
      <c r="C116" s="76" t="s">
        <v>1019</v>
      </c>
      <c r="D116" s="67"/>
      <c r="E116" s="67" t="s">
        <v>1069</v>
      </c>
      <c r="F116" s="67"/>
      <c r="G116" s="67"/>
      <c r="H116" s="67"/>
      <c r="I116" s="67"/>
      <c r="J116" s="67"/>
      <c r="K116" s="67"/>
      <c r="L116" s="67"/>
      <c r="M116" s="82"/>
      <c r="N116" s="67"/>
      <c r="O116" s="368"/>
      <c r="P116" s="67"/>
      <c r="Q116" s="368"/>
    </row>
    <row r="117" spans="1:17">
      <c r="A117" s="71">
        <f>A114+1</f>
        <v>66</v>
      </c>
      <c r="B117" s="67"/>
      <c r="C117" s="67" t="s">
        <v>998</v>
      </c>
      <c r="D117" s="67"/>
      <c r="E117" s="81">
        <v>2780194.3200000003</v>
      </c>
      <c r="F117" s="363"/>
      <c r="G117" s="77">
        <v>1.1584143000000002</v>
      </c>
      <c r="H117" s="77"/>
      <c r="I117" s="81">
        <v>2771154.0060000001</v>
      </c>
      <c r="J117" s="71"/>
      <c r="K117" s="77">
        <v>1.1546475025</v>
      </c>
      <c r="L117" s="77"/>
      <c r="M117" s="82">
        <f>I117-E117</f>
        <v>-9040.3140000002459</v>
      </c>
      <c r="N117" s="77"/>
      <c r="O117" s="325">
        <f>M117/E117</f>
        <v>-3.2516842204037897E-3</v>
      </c>
      <c r="P117" s="79"/>
      <c r="Q117" s="325">
        <f>O117</f>
        <v>-3.2516842204037897E-3</v>
      </c>
    </row>
    <row r="118" spans="1:17">
      <c r="A118" s="71">
        <f>A117+1</f>
        <v>67</v>
      </c>
      <c r="B118" s="67"/>
      <c r="C118" s="67" t="s">
        <v>999</v>
      </c>
      <c r="D118" s="67"/>
      <c r="E118" s="81">
        <v>29736000</v>
      </c>
      <c r="F118" s="363"/>
      <c r="G118" s="77">
        <v>12.389999999999999</v>
      </c>
      <c r="H118" s="77"/>
      <c r="I118" s="81">
        <v>29736000</v>
      </c>
      <c r="J118" s="363"/>
      <c r="K118" s="77">
        <v>12.389999999999999</v>
      </c>
      <c r="L118" s="77"/>
      <c r="M118" s="82">
        <f>I118-E118</f>
        <v>0</v>
      </c>
      <c r="N118" s="77"/>
      <c r="O118" s="326">
        <f>IFERROR(M118/E118,"100.0%")</f>
        <v>0</v>
      </c>
      <c r="P118" s="79"/>
      <c r="Q118" s="326">
        <v>0</v>
      </c>
    </row>
    <row r="119" spans="1:17">
      <c r="A119" s="71">
        <f>A118+1</f>
        <v>68</v>
      </c>
      <c r="B119" s="67"/>
      <c r="C119" s="67" t="s">
        <v>1000</v>
      </c>
      <c r="D119" s="67"/>
      <c r="E119" s="81">
        <v>9278655.4200000018</v>
      </c>
      <c r="F119" s="363"/>
      <c r="G119" s="77">
        <v>3.8661064250000008</v>
      </c>
      <c r="H119" s="77"/>
      <c r="I119" s="81">
        <v>9302912.850508308</v>
      </c>
      <c r="J119" s="363"/>
      <c r="K119" s="77">
        <v>3.876213687711795</v>
      </c>
      <c r="L119" s="77"/>
      <c r="M119" s="82">
        <f>I119-E119</f>
        <v>24257.43050830625</v>
      </c>
      <c r="N119" s="67"/>
      <c r="O119" s="325">
        <f>M119/E119</f>
        <v>2.6143260429759819E-3</v>
      </c>
      <c r="P119" s="79"/>
      <c r="Q119" s="325">
        <f>O119</f>
        <v>2.6143260429759819E-3</v>
      </c>
    </row>
    <row r="120" spans="1:17">
      <c r="A120" s="71">
        <f>A119+1</f>
        <v>69</v>
      </c>
      <c r="B120" s="67"/>
      <c r="C120" s="67" t="s">
        <v>1001</v>
      </c>
      <c r="D120" s="67"/>
      <c r="E120" s="81">
        <v>36429120</v>
      </c>
      <c r="F120" s="363"/>
      <c r="G120" s="77">
        <v>15.178800000000001</v>
      </c>
      <c r="H120" s="67"/>
      <c r="I120" s="81">
        <v>36442800.000000007</v>
      </c>
      <c r="J120" s="71"/>
      <c r="K120" s="77">
        <v>15.184500000000003</v>
      </c>
      <c r="L120" s="77"/>
      <c r="M120" s="82">
        <f>I120-E120</f>
        <v>13680.000000007451</v>
      </c>
      <c r="N120" s="67"/>
      <c r="O120" s="325">
        <f>M120/E120</f>
        <v>3.7552375681892535E-4</v>
      </c>
      <c r="P120" s="79"/>
      <c r="Q120" s="325">
        <f>O120</f>
        <v>3.7552375681892535E-4</v>
      </c>
    </row>
    <row r="121" spans="1:17">
      <c r="A121" s="71">
        <f>A120+1</f>
        <v>70</v>
      </c>
      <c r="B121" s="67"/>
      <c r="C121" s="67" t="s">
        <v>1002</v>
      </c>
      <c r="D121" s="67"/>
      <c r="E121" s="364">
        <f>SUM(E117:E120)</f>
        <v>78223969.74000001</v>
      </c>
      <c r="F121" s="71"/>
      <c r="G121" s="369">
        <v>32.593320725000005</v>
      </c>
      <c r="H121" s="71"/>
      <c r="I121" s="364">
        <f>SUM(I117:I120)</f>
        <v>78252866.856508315</v>
      </c>
      <c r="J121" s="71"/>
      <c r="K121" s="369">
        <v>32.605361190211795</v>
      </c>
      <c r="L121" s="77"/>
      <c r="M121" s="377">
        <f>SUM(M117:M120)</f>
        <v>28897.116508313455</v>
      </c>
      <c r="N121" s="67"/>
      <c r="O121" s="367">
        <f>M121/E121</f>
        <v>3.694151115618573E-4</v>
      </c>
      <c r="P121" s="80"/>
      <c r="Q121" s="367">
        <f>(M117+M120+M119)/(E117+E120+E119)</f>
        <v>5.9596466222991526E-4</v>
      </c>
    </row>
    <row r="122" spans="1:17">
      <c r="A122" s="71"/>
      <c r="B122" s="67"/>
      <c r="C122" s="67"/>
      <c r="D122" s="67"/>
      <c r="E122" s="81"/>
      <c r="F122" s="71"/>
      <c r="G122" s="77"/>
      <c r="H122" s="71"/>
      <c r="I122" s="81"/>
      <c r="J122" s="71"/>
      <c r="K122" s="77"/>
      <c r="L122" s="77"/>
      <c r="M122" s="82"/>
      <c r="N122" s="67"/>
      <c r="O122" s="368"/>
      <c r="P122" s="80"/>
      <c r="Q122" s="368"/>
    </row>
    <row r="123" spans="1:17">
      <c r="A123" s="71">
        <f>A121+1</f>
        <v>71</v>
      </c>
      <c r="B123" s="67"/>
      <c r="C123" s="67" t="s">
        <v>1033</v>
      </c>
      <c r="D123" s="67"/>
      <c r="E123" s="364">
        <f>SUM(E117:E119)+I120</f>
        <v>78237649.74000001</v>
      </c>
      <c r="F123" s="71"/>
      <c r="G123" s="369">
        <f>SUM(G117:G119)+K120</f>
        <v>32.599020725000003</v>
      </c>
      <c r="H123" s="71"/>
      <c r="I123" s="364">
        <f>SUM(I117:I120)</f>
        <v>78252866.856508315</v>
      </c>
      <c r="J123" s="363"/>
      <c r="K123" s="369">
        <v>32.605361190211795</v>
      </c>
      <c r="L123" s="77"/>
      <c r="M123" s="377">
        <f>M117+M118+M119</f>
        <v>15217.116508306004</v>
      </c>
      <c r="N123" s="67"/>
      <c r="O123" s="367">
        <f>M123/E123</f>
        <v>1.9449864047393613E-4</v>
      </c>
      <c r="P123" s="80"/>
      <c r="Q123" s="367">
        <f>(M123-M118)/(E123-E118)</f>
        <v>3.1374430745922087E-4</v>
      </c>
    </row>
    <row r="124" spans="1:17">
      <c r="A124" s="71">
        <f>A123+1</f>
        <v>72</v>
      </c>
      <c r="B124" s="67"/>
      <c r="C124" s="67" t="s">
        <v>1034</v>
      </c>
      <c r="D124" s="67"/>
      <c r="E124" s="80"/>
      <c r="F124" s="80"/>
      <c r="G124" s="80"/>
      <c r="H124" s="80"/>
      <c r="I124" s="80"/>
      <c r="J124" s="80"/>
      <c r="K124" s="80"/>
      <c r="L124" s="80"/>
      <c r="M124" s="82"/>
      <c r="N124" s="67"/>
      <c r="O124" s="327">
        <v>3.6409070981161185E-4</v>
      </c>
      <c r="P124" s="80"/>
      <c r="Q124" s="327">
        <v>1.2619044798136991E-3</v>
      </c>
    </row>
    <row r="125" spans="1:17">
      <c r="A125" s="71">
        <f>A124+1</f>
        <v>73</v>
      </c>
      <c r="B125" s="67"/>
      <c r="C125" s="67" t="s">
        <v>1067</v>
      </c>
      <c r="D125" s="67"/>
      <c r="E125" s="364">
        <f>SUM(E117:E118)+I120+I119</f>
        <v>78261907.17050831</v>
      </c>
      <c r="F125" s="80"/>
      <c r="G125" s="365">
        <f>SUM(G117:G118)+K120+K119</f>
        <v>32.609127987711801</v>
      </c>
      <c r="H125" s="80"/>
      <c r="I125" s="364">
        <f>SUM(I117:I120)</f>
        <v>78252866.856508315</v>
      </c>
      <c r="J125" s="80"/>
      <c r="K125" s="369">
        <f>K121</f>
        <v>32.605361190211795</v>
      </c>
      <c r="L125" s="80"/>
      <c r="M125" s="377">
        <f>I125-E125</f>
        <v>-9040.3139999955893</v>
      </c>
      <c r="N125" s="67"/>
      <c r="O125" s="367">
        <f>M125/E125</f>
        <v>-1.155135918205975E-4</v>
      </c>
      <c r="P125" s="80"/>
      <c r="Q125" s="367">
        <f>(M125-M118)/(E125-E118)</f>
        <v>-1.8629871190723154E-4</v>
      </c>
    </row>
    <row r="126" spans="1:17">
      <c r="A126" s="71">
        <f>A125+1</f>
        <v>74</v>
      </c>
      <c r="B126" s="67"/>
      <c r="C126" s="67" t="s">
        <v>1068</v>
      </c>
      <c r="D126" s="67"/>
      <c r="E126" s="80"/>
      <c r="F126" s="80"/>
      <c r="G126" s="80"/>
      <c r="H126" s="80"/>
      <c r="I126" s="80"/>
      <c r="J126" s="80"/>
      <c r="K126" s="80"/>
      <c r="L126" s="80"/>
      <c r="M126" s="78"/>
      <c r="N126" s="67"/>
      <c r="O126" s="327">
        <v>3.6409070981161185E-4</v>
      </c>
      <c r="P126" s="80"/>
      <c r="Q126" s="327">
        <v>-3.2516842204038019E-3</v>
      </c>
    </row>
    <row r="127" spans="1:17">
      <c r="A127" s="71"/>
      <c r="B127" s="67"/>
      <c r="C127" s="67"/>
      <c r="D127" s="67"/>
      <c r="E127" s="67"/>
      <c r="F127" s="67"/>
      <c r="G127" s="67"/>
      <c r="H127" s="67"/>
      <c r="I127" s="67"/>
      <c r="J127" s="67"/>
      <c r="K127" s="67"/>
      <c r="L127" s="67"/>
      <c r="M127" s="67"/>
      <c r="N127" s="67"/>
      <c r="O127" s="67"/>
      <c r="P127" s="67"/>
      <c r="Q127" s="67"/>
    </row>
    <row r="128" spans="1:17">
      <c r="A128" s="76" t="s">
        <v>80</v>
      </c>
      <c r="B128" s="76"/>
      <c r="C128" s="67"/>
      <c r="D128" s="67"/>
      <c r="E128" s="67"/>
      <c r="F128" s="67"/>
      <c r="G128" s="67"/>
      <c r="H128" s="67"/>
      <c r="I128" s="67"/>
      <c r="J128" s="67"/>
      <c r="K128" s="67"/>
      <c r="L128" s="67"/>
      <c r="M128" s="67"/>
      <c r="N128" s="67"/>
      <c r="O128" s="67"/>
      <c r="P128" s="67"/>
      <c r="Q128" s="67"/>
    </row>
    <row r="129" spans="1:17">
      <c r="A129" s="190" t="s">
        <v>40</v>
      </c>
      <c r="B129" s="91"/>
      <c r="C129" s="83" t="s">
        <v>1070</v>
      </c>
      <c r="D129" s="67"/>
      <c r="E129" s="67"/>
      <c r="F129" s="67"/>
      <c r="G129" s="67"/>
      <c r="H129" s="67"/>
      <c r="I129" s="67"/>
      <c r="J129" s="67"/>
      <c r="K129" s="67"/>
      <c r="L129" s="67"/>
      <c r="M129" s="67"/>
      <c r="N129" s="67"/>
      <c r="O129" s="67"/>
      <c r="P129" s="67"/>
      <c r="Q129" s="67"/>
    </row>
    <row r="130" spans="1:17">
      <c r="A130" s="190" t="s">
        <v>20</v>
      </c>
      <c r="B130" s="91"/>
      <c r="C130" s="1182" t="s">
        <v>1071</v>
      </c>
      <c r="D130" s="1183"/>
      <c r="E130" s="1183"/>
      <c r="F130" s="1183"/>
      <c r="G130" s="1183"/>
      <c r="H130" s="1183"/>
      <c r="I130" s="1183"/>
      <c r="J130" s="1183"/>
      <c r="K130" s="1183"/>
      <c r="L130" s="1183"/>
      <c r="M130" s="1183"/>
      <c r="N130" s="1183"/>
      <c r="O130" s="1183"/>
      <c r="P130" s="1183"/>
      <c r="Q130" s="1183"/>
    </row>
    <row r="131" spans="1:17">
      <c r="A131" s="71"/>
      <c r="B131" s="67"/>
      <c r="C131" s="67"/>
      <c r="D131" s="67"/>
      <c r="E131" s="67"/>
      <c r="F131" s="67"/>
      <c r="G131" s="67"/>
      <c r="H131" s="67"/>
      <c r="I131" s="67"/>
      <c r="J131" s="67"/>
      <c r="K131" s="67"/>
      <c r="L131" s="67"/>
      <c r="M131" s="67"/>
      <c r="N131" s="67"/>
      <c r="O131" s="67"/>
      <c r="P131" s="67"/>
      <c r="Q131" s="67"/>
    </row>
    <row r="132" spans="1:17">
      <c r="A132" s="71"/>
      <c r="B132" s="67"/>
      <c r="C132" s="67"/>
      <c r="D132" s="67"/>
      <c r="E132" s="67"/>
      <c r="F132" s="67"/>
      <c r="G132" s="67"/>
      <c r="H132" s="67"/>
      <c r="I132" s="67"/>
      <c r="J132" s="67"/>
      <c r="K132" s="67"/>
      <c r="L132" s="67"/>
      <c r="M132" s="67"/>
      <c r="N132" s="67"/>
      <c r="O132" s="92"/>
      <c r="P132" s="92"/>
      <c r="Q132" s="92"/>
    </row>
    <row r="133" spans="1:17">
      <c r="A133" s="71"/>
      <c r="B133" s="67"/>
      <c r="C133" s="67"/>
      <c r="D133" s="67"/>
      <c r="E133" s="67"/>
      <c r="F133" s="67"/>
      <c r="G133" s="67"/>
      <c r="H133" s="67"/>
      <c r="I133" s="67"/>
      <c r="J133" s="67"/>
      <c r="K133" s="67"/>
      <c r="L133" s="67"/>
      <c r="M133" s="67"/>
      <c r="N133" s="67"/>
      <c r="O133" s="92"/>
      <c r="P133" s="92"/>
      <c r="Q133" s="92"/>
    </row>
    <row r="134" spans="1:17">
      <c r="A134" s="71"/>
      <c r="B134" s="67"/>
      <c r="C134" s="67"/>
      <c r="D134" s="67"/>
      <c r="E134" s="67"/>
      <c r="F134" s="67"/>
      <c r="G134" s="67"/>
      <c r="H134" s="67"/>
      <c r="I134" s="67"/>
      <c r="J134" s="67"/>
      <c r="K134" s="67"/>
      <c r="L134" s="67"/>
      <c r="M134" s="67"/>
      <c r="N134" s="67"/>
      <c r="O134" s="92"/>
      <c r="P134" s="92"/>
      <c r="Q134" s="92"/>
    </row>
    <row r="135" spans="1:17">
      <c r="A135" s="71"/>
      <c r="B135" s="67"/>
      <c r="C135" s="67"/>
      <c r="D135" s="67"/>
      <c r="E135" s="67"/>
      <c r="F135" s="67"/>
      <c r="G135" s="67"/>
      <c r="H135" s="67"/>
      <c r="I135" s="67"/>
      <c r="J135" s="67"/>
      <c r="K135" s="67"/>
      <c r="L135" s="67"/>
      <c r="M135" s="67"/>
      <c r="N135" s="67"/>
      <c r="O135" s="92"/>
      <c r="P135" s="92"/>
      <c r="Q135" s="92"/>
    </row>
    <row r="136" spans="1:17">
      <c r="A136" s="71"/>
      <c r="B136" s="67"/>
      <c r="C136" s="67"/>
      <c r="D136" s="67"/>
      <c r="E136" s="67"/>
      <c r="F136" s="67"/>
      <c r="G136" s="67"/>
      <c r="H136" s="67"/>
      <c r="I136" s="67"/>
      <c r="J136" s="67"/>
      <c r="K136" s="67"/>
      <c r="L136" s="67"/>
      <c r="M136" s="67"/>
      <c r="N136" s="67"/>
      <c r="O136" s="92"/>
      <c r="P136" s="92"/>
      <c r="Q136" s="92"/>
    </row>
    <row r="137" spans="1:17">
      <c r="A137" s="71"/>
      <c r="B137" s="67"/>
      <c r="C137" s="67"/>
      <c r="D137" s="67"/>
      <c r="E137" s="67"/>
      <c r="F137" s="67"/>
      <c r="G137" s="67"/>
      <c r="H137" s="67"/>
      <c r="I137" s="67"/>
      <c r="J137" s="67"/>
      <c r="K137" s="67"/>
      <c r="L137" s="67"/>
      <c r="M137" s="67"/>
      <c r="N137" s="67"/>
      <c r="O137" s="92"/>
      <c r="P137" s="92"/>
      <c r="Q137" s="92"/>
    </row>
    <row r="138" spans="1:17">
      <c r="A138" s="71"/>
      <c r="B138" s="67"/>
      <c r="C138" s="67"/>
      <c r="D138" s="67"/>
      <c r="E138" s="67"/>
      <c r="F138" s="67"/>
      <c r="G138" s="67"/>
      <c r="H138" s="67"/>
      <c r="I138" s="67"/>
      <c r="J138" s="67"/>
      <c r="K138" s="67"/>
      <c r="L138" s="67"/>
      <c r="M138" s="67"/>
      <c r="N138" s="67"/>
      <c r="O138" s="70"/>
      <c r="P138" s="70"/>
      <c r="Q138" s="92"/>
    </row>
    <row r="139" spans="1:17">
      <c r="A139" s="71"/>
      <c r="B139" s="67"/>
      <c r="C139" s="67"/>
      <c r="D139" s="67"/>
      <c r="E139" s="67"/>
      <c r="F139" s="67"/>
      <c r="G139" s="67"/>
      <c r="H139" s="67"/>
      <c r="I139" s="67"/>
      <c r="J139" s="67"/>
      <c r="K139" s="67"/>
      <c r="L139" s="67"/>
      <c r="M139" s="67"/>
      <c r="N139" s="67"/>
      <c r="O139" s="87"/>
      <c r="P139" s="87"/>
      <c r="Q139" s="70"/>
    </row>
    <row r="140" spans="1:17">
      <c r="A140" s="88"/>
      <c r="B140" s="69"/>
      <c r="C140" s="67"/>
      <c r="D140" s="69"/>
      <c r="E140" s="69"/>
      <c r="F140" s="69"/>
      <c r="G140" s="67"/>
      <c r="H140" s="69"/>
      <c r="I140" s="69"/>
      <c r="J140" s="69"/>
      <c r="K140" s="69"/>
      <c r="L140" s="69"/>
      <c r="M140" s="69"/>
      <c r="N140" s="69"/>
      <c r="O140" s="69"/>
      <c r="P140" s="69"/>
      <c r="Q140" s="69"/>
    </row>
    <row r="141" spans="1:17">
      <c r="C141" s="67"/>
      <c r="G141" s="67"/>
    </row>
    <row r="142" spans="1:17">
      <c r="C142" s="67"/>
      <c r="G142" s="67"/>
    </row>
  </sheetData>
  <mergeCells count="17">
    <mergeCell ref="A75:Q75"/>
    <mergeCell ref="E13:G13"/>
    <mergeCell ref="E23:G23"/>
    <mergeCell ref="E33:G33"/>
    <mergeCell ref="E43:G43"/>
    <mergeCell ref="E53:G53"/>
    <mergeCell ref="A3:Q3"/>
    <mergeCell ref="A4:Q4"/>
    <mergeCell ref="E7:G7"/>
    <mergeCell ref="I7:M7"/>
    <mergeCell ref="O7:Q7"/>
    <mergeCell ref="A76:Q76"/>
    <mergeCell ref="E78:G78"/>
    <mergeCell ref="I78:M78"/>
    <mergeCell ref="O78:Q78"/>
    <mergeCell ref="C130:Q130"/>
    <mergeCell ref="E94:G94"/>
  </mergeCells>
  <pageMargins left="0.7" right="0.7" top="0.75" bottom="0.75" header="0.3" footer="0.3"/>
  <pageSetup scale="58" firstPageNumber="4" fitToHeight="0" orientation="portrait" useFirstPageNumber="1" r:id="rId1"/>
  <headerFooter>
    <oddHeader>&amp;R&amp;10Filed: 2024-02-16
EB-2022-0200
Rate Order
Working Papers
Schedule 24
Page &amp;P of 8</oddHeader>
  </headerFooter>
  <rowBreaks count="1" manualBreakCount="1">
    <brk id="72"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1D8B-FD6F-4181-A1CC-95B476CB5575}">
  <sheetPr>
    <pageSetUpPr fitToPage="1"/>
  </sheetPr>
  <dimension ref="A3:Q212"/>
  <sheetViews>
    <sheetView zoomScale="90" zoomScaleNormal="90" zoomScaleSheetLayoutView="100" workbookViewId="0"/>
  </sheetViews>
  <sheetFormatPr defaultColWidth="8.625" defaultRowHeight="14.45"/>
  <cols>
    <col min="1" max="1" width="4.125" style="66" customWidth="1"/>
    <col min="2" max="2" width="1.125" style="66" customWidth="1"/>
    <col min="3" max="3" width="32.125" style="66" customWidth="1"/>
    <col min="4" max="4" width="1.125" style="66" customWidth="1"/>
    <col min="5" max="5" width="14.125" style="66" customWidth="1"/>
    <col min="6" max="6" width="1.125" style="66" customWidth="1"/>
    <col min="7" max="7" width="14.125" style="66" customWidth="1"/>
    <col min="8" max="8" width="1.125" style="66" customWidth="1"/>
    <col min="9" max="9" width="14.125" style="66" customWidth="1"/>
    <col min="10" max="10" width="1.125" style="66" customWidth="1"/>
    <col min="11" max="11" width="14.125" style="66" customWidth="1"/>
    <col min="12" max="12" width="1.125" style="66" customWidth="1"/>
    <col min="13" max="13" width="14.125" style="66" customWidth="1"/>
    <col min="14" max="14" width="1.125" style="66" customWidth="1"/>
    <col min="15" max="15" width="14.125" style="66" customWidth="1"/>
    <col min="16" max="16" width="1.125" style="66" customWidth="1"/>
    <col min="17" max="17" width="14.125" style="66" customWidth="1"/>
    <col min="18" max="16384" width="8.625" style="68"/>
  </cols>
  <sheetData>
    <row r="3" spans="1:17">
      <c r="A3" s="1184" t="s">
        <v>1048</v>
      </c>
      <c r="B3" s="1184"/>
      <c r="C3" s="1184"/>
      <c r="D3" s="1184"/>
      <c r="E3" s="1184"/>
      <c r="F3" s="1184"/>
      <c r="G3" s="1184"/>
      <c r="H3" s="1184"/>
      <c r="I3" s="1184"/>
      <c r="J3" s="1184"/>
      <c r="K3" s="1184"/>
      <c r="L3" s="1184"/>
      <c r="M3" s="1184"/>
      <c r="N3" s="1184"/>
      <c r="O3" s="1184"/>
      <c r="P3" s="1184"/>
      <c r="Q3" s="1184"/>
    </row>
    <row r="4" spans="1:17">
      <c r="A4" s="1184" t="s">
        <v>145</v>
      </c>
      <c r="B4" s="1184"/>
      <c r="C4" s="1184"/>
      <c r="D4" s="1184"/>
      <c r="E4" s="1184"/>
      <c r="F4" s="1184"/>
      <c r="G4" s="1184"/>
      <c r="H4" s="1184"/>
      <c r="I4" s="1184"/>
      <c r="J4" s="1184"/>
      <c r="K4" s="1184"/>
      <c r="L4" s="1184"/>
      <c r="M4" s="1184"/>
      <c r="N4" s="1184"/>
      <c r="O4" s="1184"/>
      <c r="P4" s="1184"/>
      <c r="Q4" s="1184"/>
    </row>
    <row r="5" spans="1:17">
      <c r="A5" s="86"/>
      <c r="B5" s="86"/>
      <c r="C5" s="86"/>
      <c r="D5" s="86"/>
      <c r="E5" s="86"/>
      <c r="F5" s="86"/>
      <c r="G5" s="86"/>
      <c r="H5" s="86"/>
      <c r="I5" s="86"/>
      <c r="J5" s="86"/>
      <c r="K5" s="86"/>
      <c r="L5" s="86"/>
      <c r="M5" s="86"/>
      <c r="N5" s="86"/>
      <c r="O5" s="86"/>
      <c r="P5" s="86"/>
      <c r="Q5" s="86"/>
    </row>
    <row r="6" spans="1:17">
      <c r="A6" s="71"/>
      <c r="B6" s="67"/>
      <c r="C6" s="67"/>
      <c r="D6" s="67"/>
      <c r="E6" s="1186"/>
      <c r="F6" s="1186"/>
      <c r="G6" s="1186"/>
      <c r="H6" s="67"/>
      <c r="I6" s="1186"/>
      <c r="J6" s="1186"/>
      <c r="K6" s="1186"/>
      <c r="L6" s="67"/>
      <c r="M6" s="67"/>
      <c r="N6" s="67"/>
      <c r="O6" s="67"/>
      <c r="P6" s="67"/>
      <c r="Q6" s="67"/>
    </row>
    <row r="7" spans="1:17">
      <c r="A7" s="71"/>
      <c r="B7" s="67"/>
      <c r="C7" s="67"/>
      <c r="D7" s="67"/>
      <c r="E7" s="1185" t="s">
        <v>985</v>
      </c>
      <c r="F7" s="1185"/>
      <c r="G7" s="1185"/>
      <c r="H7" s="67"/>
      <c r="I7" s="1185" t="s">
        <v>986</v>
      </c>
      <c r="J7" s="1185"/>
      <c r="K7" s="1185"/>
      <c r="L7" s="1185"/>
      <c r="M7" s="1185"/>
      <c r="N7" s="67"/>
      <c r="O7" s="1185" t="s">
        <v>987</v>
      </c>
      <c r="P7" s="1185"/>
      <c r="Q7" s="1185"/>
    </row>
    <row r="8" spans="1:17">
      <c r="A8" s="71"/>
      <c r="B8" s="67"/>
      <c r="C8" s="67"/>
      <c r="D8" s="67"/>
      <c r="E8" s="71"/>
      <c r="F8" s="71"/>
      <c r="G8" s="71"/>
      <c r="H8" s="67"/>
      <c r="I8" s="71"/>
      <c r="J8" s="71"/>
      <c r="K8" s="71"/>
      <c r="L8" s="71"/>
      <c r="M8" s="71" t="s">
        <v>988</v>
      </c>
      <c r="N8" s="67"/>
      <c r="O8" s="71" t="s">
        <v>989</v>
      </c>
      <c r="P8" s="71"/>
      <c r="Q8" s="71" t="s">
        <v>990</v>
      </c>
    </row>
    <row r="9" spans="1:17">
      <c r="A9" s="71" t="s">
        <v>56</v>
      </c>
      <c r="B9" s="67"/>
      <c r="C9" s="67"/>
      <c r="D9" s="67"/>
      <c r="E9" s="71" t="s">
        <v>988</v>
      </c>
      <c r="F9" s="71"/>
      <c r="G9" s="71" t="s">
        <v>991</v>
      </c>
      <c r="H9" s="67"/>
      <c r="I9" s="71" t="s">
        <v>988</v>
      </c>
      <c r="J9" s="71"/>
      <c r="K9" s="71" t="s">
        <v>991</v>
      </c>
      <c r="L9" s="71"/>
      <c r="M9" s="71" t="s">
        <v>845</v>
      </c>
      <c r="N9" s="67"/>
      <c r="O9" s="71" t="s">
        <v>992</v>
      </c>
      <c r="P9" s="67"/>
      <c r="Q9" s="71" t="s">
        <v>992</v>
      </c>
    </row>
    <row r="10" spans="1:17" ht="15.6">
      <c r="A10" s="74" t="s">
        <v>57</v>
      </c>
      <c r="B10" s="67"/>
      <c r="C10" s="360" t="s">
        <v>194</v>
      </c>
      <c r="D10" s="67"/>
      <c r="E10" s="74" t="s">
        <v>993</v>
      </c>
      <c r="F10" s="71"/>
      <c r="G10" s="74" t="s">
        <v>247</v>
      </c>
      <c r="H10" s="67"/>
      <c r="I10" s="74" t="s">
        <v>993</v>
      </c>
      <c r="J10" s="71"/>
      <c r="K10" s="74" t="s">
        <v>247</v>
      </c>
      <c r="L10" s="71"/>
      <c r="M10" s="74" t="s">
        <v>993</v>
      </c>
      <c r="N10" s="67"/>
      <c r="O10" s="74" t="s">
        <v>249</v>
      </c>
      <c r="P10" s="71"/>
      <c r="Q10" s="74" t="s">
        <v>249</v>
      </c>
    </row>
    <row r="11" spans="1:17">
      <c r="D11" s="67"/>
      <c r="E11" s="71" t="s">
        <v>9</v>
      </c>
      <c r="F11" s="71"/>
      <c r="G11" s="71" t="s">
        <v>10</v>
      </c>
      <c r="H11" s="71"/>
      <c r="I11" s="71" t="s">
        <v>58</v>
      </c>
      <c r="J11" s="71"/>
      <c r="K11" s="71" t="s">
        <v>12</v>
      </c>
      <c r="L11" s="71"/>
      <c r="M11" s="71" t="s">
        <v>994</v>
      </c>
      <c r="N11" s="71"/>
      <c r="O11" s="71" t="s">
        <v>995</v>
      </c>
      <c r="P11" s="71"/>
      <c r="Q11" s="71" t="s">
        <v>209</v>
      </c>
    </row>
    <row r="12" spans="1:17">
      <c r="A12" s="71"/>
      <c r="B12" s="67"/>
      <c r="C12" s="67"/>
      <c r="D12" s="67"/>
      <c r="E12" s="71"/>
      <c r="F12" s="71"/>
      <c r="G12" s="71"/>
      <c r="H12" s="71"/>
      <c r="I12" s="71"/>
      <c r="J12" s="71"/>
      <c r="K12" s="71"/>
      <c r="L12" s="71"/>
      <c r="M12" s="71"/>
      <c r="N12" s="71"/>
      <c r="O12" s="71"/>
      <c r="P12" s="71"/>
      <c r="Q12" s="71"/>
    </row>
    <row r="13" spans="1:17" ht="15.6">
      <c r="A13" s="71"/>
      <c r="B13" s="67"/>
      <c r="C13" s="76" t="s">
        <v>1072</v>
      </c>
      <c r="D13" s="67"/>
      <c r="E13" s="1181" t="s">
        <v>1051</v>
      </c>
      <c r="F13" s="1181"/>
      <c r="G13" s="1181"/>
      <c r="H13" s="67"/>
      <c r="I13" s="363"/>
      <c r="J13" s="67"/>
      <c r="K13" s="67"/>
      <c r="L13" s="67"/>
      <c r="M13" s="82"/>
      <c r="N13" s="67"/>
      <c r="O13" s="67"/>
      <c r="P13" s="67"/>
      <c r="Q13" s="67"/>
    </row>
    <row r="14" spans="1:17">
      <c r="A14" s="71">
        <f>1</f>
        <v>1</v>
      </c>
      <c r="B14" s="67"/>
      <c r="C14" s="67" t="s">
        <v>998</v>
      </c>
      <c r="D14" s="67"/>
      <c r="E14" s="81">
        <v>443.48649419999998</v>
      </c>
      <c r="F14" s="363"/>
      <c r="G14" s="77">
        <v>20.158477009090909</v>
      </c>
      <c r="H14" s="77"/>
      <c r="I14" s="81">
        <v>465.64470159999991</v>
      </c>
      <c r="J14" s="71"/>
      <c r="K14" s="77">
        <v>21.165668254545452</v>
      </c>
      <c r="L14" s="77"/>
      <c r="M14" s="82">
        <f>I14-E14</f>
        <v>22.158207399999924</v>
      </c>
      <c r="N14" s="77"/>
      <c r="O14" s="325">
        <f>M14/E14</f>
        <v>4.9963657720785502E-2</v>
      </c>
      <c r="P14" s="327"/>
      <c r="Q14" s="325">
        <f>O14</f>
        <v>4.9963657720785502E-2</v>
      </c>
    </row>
    <row r="15" spans="1:17">
      <c r="A15" s="71">
        <f>A14+1</f>
        <v>2</v>
      </c>
      <c r="B15" s="67"/>
      <c r="C15" s="67" t="s">
        <v>999</v>
      </c>
      <c r="D15" s="67"/>
      <c r="E15" s="81">
        <v>272.58</v>
      </c>
      <c r="F15" s="363"/>
      <c r="G15" s="77">
        <v>12.39</v>
      </c>
      <c r="H15" s="77"/>
      <c r="I15" s="81">
        <v>272.58</v>
      </c>
      <c r="J15" s="363"/>
      <c r="K15" s="77">
        <v>12.39</v>
      </c>
      <c r="L15" s="77"/>
      <c r="M15" s="82">
        <f>I15-E15</f>
        <v>0</v>
      </c>
      <c r="N15" s="77"/>
      <c r="O15" s="326">
        <f>IFERROR(M15/E15,"100.0%")</f>
        <v>0</v>
      </c>
      <c r="P15" s="327"/>
      <c r="Q15" s="326">
        <f>O15</f>
        <v>0</v>
      </c>
    </row>
    <row r="16" spans="1:17">
      <c r="A16" s="71">
        <f>A15+1</f>
        <v>3</v>
      </c>
      <c r="B16" s="67"/>
      <c r="C16" s="67" t="s">
        <v>1001</v>
      </c>
      <c r="D16" s="67"/>
      <c r="E16" s="81">
        <v>338.84840000000003</v>
      </c>
      <c r="F16" s="363"/>
      <c r="G16" s="77">
        <v>15.402200000000002</v>
      </c>
      <c r="H16" s="67"/>
      <c r="I16" s="81">
        <v>338.80440000000004</v>
      </c>
      <c r="J16" s="71"/>
      <c r="K16" s="77">
        <v>15.400200000000003</v>
      </c>
      <c r="L16" s="77"/>
      <c r="M16" s="82">
        <f>I16-E16</f>
        <v>-4.399999999998272E-2</v>
      </c>
      <c r="N16" s="67"/>
      <c r="O16" s="325">
        <f>M16/E16</f>
        <v>-1.2985157964441537E-4</v>
      </c>
      <c r="P16" s="327"/>
      <c r="Q16" s="325">
        <f>O16</f>
        <v>-1.2985157964441537E-4</v>
      </c>
    </row>
    <row r="17" spans="1:17">
      <c r="A17" s="71">
        <f>A16+1</f>
        <v>4</v>
      </c>
      <c r="B17" s="67"/>
      <c r="C17" s="67" t="s">
        <v>1002</v>
      </c>
      <c r="D17" s="67"/>
      <c r="E17" s="364">
        <f>SUM(E14:E16)</f>
        <v>1054.9148941999999</v>
      </c>
      <c r="F17" s="71"/>
      <c r="G17" s="369">
        <v>47.95067700909091</v>
      </c>
      <c r="H17" s="71"/>
      <c r="I17" s="364">
        <v>1077.0291015999999</v>
      </c>
      <c r="J17" s="363"/>
      <c r="K17" s="369">
        <v>48.95586825454545</v>
      </c>
      <c r="L17" s="77"/>
      <c r="M17" s="377">
        <f>SUM(M14:M16)</f>
        <v>22.114207399999941</v>
      </c>
      <c r="N17" s="67"/>
      <c r="O17" s="367">
        <f>M17/E17</f>
        <v>2.0963025094806687E-2</v>
      </c>
      <c r="P17" s="368"/>
      <c r="Q17" s="367">
        <f>(M17-M15)/(E17-E15)</f>
        <v>2.8266932184602973E-2</v>
      </c>
    </row>
    <row r="18" spans="1:17">
      <c r="A18" s="71"/>
      <c r="B18" s="67"/>
      <c r="C18" s="67"/>
      <c r="D18" s="67"/>
      <c r="E18" s="81"/>
      <c r="F18" s="71"/>
      <c r="G18" s="77"/>
      <c r="H18" s="71"/>
      <c r="I18" s="81"/>
      <c r="J18" s="71"/>
      <c r="K18" s="77"/>
      <c r="L18" s="77"/>
      <c r="M18" s="82"/>
      <c r="N18" s="67"/>
      <c r="O18" s="368"/>
      <c r="P18" s="368"/>
      <c r="Q18" s="368"/>
    </row>
    <row r="19" spans="1:17">
      <c r="A19" s="71">
        <f>A17+1</f>
        <v>5</v>
      </c>
      <c r="B19" s="67"/>
      <c r="C19" s="67" t="s">
        <v>1033</v>
      </c>
      <c r="D19" s="67"/>
      <c r="E19" s="364">
        <f>SUM(E14:E15)+I16</f>
        <v>1054.8708942000001</v>
      </c>
      <c r="F19" s="71"/>
      <c r="G19" s="369">
        <v>47.948677009090915</v>
      </c>
      <c r="H19" s="71"/>
      <c r="I19" s="364">
        <f>SUM(I14:I16)</f>
        <v>1077.0291015999999</v>
      </c>
      <c r="J19" s="363"/>
      <c r="K19" s="369">
        <v>48.95586825454545</v>
      </c>
      <c r="L19" s="77"/>
      <c r="M19" s="377">
        <f>M14+M15</f>
        <v>22.158207399999924</v>
      </c>
      <c r="N19" s="67"/>
      <c r="O19" s="367">
        <f>M19/E19</f>
        <v>2.1005610754673831E-2</v>
      </c>
      <c r="P19" s="368"/>
      <c r="Q19" s="367">
        <f>(M19-M15)/(E19-E15)</f>
        <v>2.8324767122158225E-2</v>
      </c>
    </row>
    <row r="20" spans="1:17">
      <c r="A20" s="71">
        <f>A19+1</f>
        <v>6</v>
      </c>
      <c r="B20" s="67"/>
      <c r="C20" s="67" t="s">
        <v>1034</v>
      </c>
      <c r="D20" s="67"/>
      <c r="E20" s="81"/>
      <c r="F20" s="71"/>
      <c r="G20" s="77"/>
      <c r="H20" s="71"/>
      <c r="I20" s="81"/>
      <c r="J20" s="71"/>
      <c r="K20" s="77"/>
      <c r="L20" s="77"/>
      <c r="M20" s="82"/>
      <c r="N20" s="67"/>
      <c r="O20" s="327">
        <v>3.0944343269063968E-2</v>
      </c>
      <c r="P20" s="368"/>
      <c r="Q20" s="327">
        <v>4.9963657720785502E-2</v>
      </c>
    </row>
    <row r="21" spans="1:17">
      <c r="A21" s="71"/>
      <c r="B21" s="67"/>
      <c r="C21" s="67"/>
      <c r="D21" s="67"/>
      <c r="E21" s="67"/>
      <c r="F21" s="67"/>
      <c r="G21" s="67"/>
      <c r="H21" s="67"/>
      <c r="I21" s="67"/>
      <c r="J21" s="67"/>
      <c r="K21" s="67"/>
      <c r="L21" s="67"/>
      <c r="M21" s="82"/>
      <c r="N21" s="67"/>
      <c r="O21" s="368"/>
      <c r="P21" s="368"/>
      <c r="Q21" s="368"/>
    </row>
    <row r="22" spans="1:17" ht="15.6">
      <c r="A22" s="71"/>
      <c r="B22" s="67"/>
      <c r="C22" s="76" t="s">
        <v>1073</v>
      </c>
      <c r="D22" s="67"/>
      <c r="E22" s="1181" t="s">
        <v>1053</v>
      </c>
      <c r="F22" s="1181"/>
      <c r="G22" s="1181"/>
      <c r="H22" s="67"/>
      <c r="I22" s="363"/>
      <c r="J22" s="67"/>
      <c r="K22" s="67"/>
      <c r="L22" s="67"/>
      <c r="M22" s="82"/>
      <c r="N22" s="67"/>
      <c r="O22" s="368"/>
      <c r="P22" s="368"/>
      <c r="Q22" s="368"/>
    </row>
    <row r="23" spans="1:17">
      <c r="A23" s="71">
        <f>A20+1</f>
        <v>7</v>
      </c>
      <c r="B23" s="67"/>
      <c r="C23" s="67" t="s">
        <v>998</v>
      </c>
      <c r="D23" s="67"/>
      <c r="E23" s="81">
        <v>2828.1038000000003</v>
      </c>
      <c r="F23" s="363"/>
      <c r="G23" s="77">
        <v>7.0702595000000006</v>
      </c>
      <c r="H23" s="77"/>
      <c r="I23" s="81">
        <v>2676.3411999999998</v>
      </c>
      <c r="J23" s="71"/>
      <c r="K23" s="77">
        <v>6.6908529999999997</v>
      </c>
      <c r="L23" s="77"/>
      <c r="M23" s="82">
        <f>I23-E23</f>
        <v>-151.76260000000048</v>
      </c>
      <c r="N23" s="77"/>
      <c r="O23" s="325">
        <f>M23/E23</f>
        <v>-5.3662316071991581E-2</v>
      </c>
      <c r="P23" s="327"/>
      <c r="Q23" s="325">
        <f>O23</f>
        <v>-5.3662316071991581E-2</v>
      </c>
    </row>
    <row r="24" spans="1:17">
      <c r="A24" s="71">
        <f>A23+1</f>
        <v>8</v>
      </c>
      <c r="B24" s="67"/>
      <c r="C24" s="67" t="s">
        <v>999</v>
      </c>
      <c r="D24" s="67"/>
      <c r="E24" s="81">
        <v>4956</v>
      </c>
      <c r="F24" s="363"/>
      <c r="G24" s="77">
        <v>12.39</v>
      </c>
      <c r="H24" s="77"/>
      <c r="I24" s="81">
        <v>4956</v>
      </c>
      <c r="J24" s="363"/>
      <c r="K24" s="77">
        <v>12.39</v>
      </c>
      <c r="L24" s="77"/>
      <c r="M24" s="82">
        <f>I24-E24</f>
        <v>0</v>
      </c>
      <c r="N24" s="77"/>
      <c r="O24" s="326">
        <f>IFERROR(M24/E24,"100.0%")</f>
        <v>0</v>
      </c>
      <c r="P24" s="327"/>
      <c r="Q24" s="326">
        <f>O24</f>
        <v>0</v>
      </c>
    </row>
    <row r="25" spans="1:17">
      <c r="A25" s="71">
        <f>A24+1</f>
        <v>9</v>
      </c>
      <c r="B25" s="67"/>
      <c r="C25" s="67" t="s">
        <v>1001</v>
      </c>
      <c r="D25" s="67"/>
      <c r="E25" s="81">
        <v>6160.88</v>
      </c>
      <c r="F25" s="363"/>
      <c r="G25" s="77">
        <v>15.402199999999999</v>
      </c>
      <c r="H25" s="67"/>
      <c r="I25" s="81">
        <v>6160.0800000000008</v>
      </c>
      <c r="J25" s="71"/>
      <c r="K25" s="77">
        <v>15.400200000000003</v>
      </c>
      <c r="L25" s="77"/>
      <c r="M25" s="82">
        <f>I25-E25</f>
        <v>-0.7999999999992724</v>
      </c>
      <c r="N25" s="67"/>
      <c r="O25" s="325">
        <f>M25/E25</f>
        <v>-1.2985157964434828E-4</v>
      </c>
      <c r="P25" s="327"/>
      <c r="Q25" s="325">
        <f>O25</f>
        <v>-1.2985157964434828E-4</v>
      </c>
    </row>
    <row r="26" spans="1:17">
      <c r="A26" s="71">
        <f>A25+1</f>
        <v>10</v>
      </c>
      <c r="B26" s="67"/>
      <c r="C26" s="67" t="s">
        <v>1002</v>
      </c>
      <c r="D26" s="67"/>
      <c r="E26" s="364">
        <f>SUM(E23:E25)</f>
        <v>13944.983800000002</v>
      </c>
      <c r="F26" s="71"/>
      <c r="G26" s="369">
        <v>34.862459500000007</v>
      </c>
      <c r="H26" s="71"/>
      <c r="I26" s="364">
        <v>13792.421200000001</v>
      </c>
      <c r="J26" s="363"/>
      <c r="K26" s="369">
        <v>34.481053000000003</v>
      </c>
      <c r="L26" s="77"/>
      <c r="M26" s="377">
        <f>SUM(M23:M25)</f>
        <v>-152.56259999999975</v>
      </c>
      <c r="N26" s="67"/>
      <c r="O26" s="367">
        <f>M26/E26</f>
        <v>-1.0940321063693149E-2</v>
      </c>
      <c r="P26" s="368"/>
      <c r="Q26" s="367">
        <f>(M26-M24)/(E26-E24)</f>
        <v>-1.6972174318525272E-2</v>
      </c>
    </row>
    <row r="27" spans="1:17">
      <c r="A27" s="71"/>
      <c r="B27" s="67"/>
      <c r="C27" s="67"/>
      <c r="D27" s="67"/>
      <c r="E27" s="81"/>
      <c r="F27" s="71"/>
      <c r="G27" s="77"/>
      <c r="H27" s="71"/>
      <c r="I27" s="81"/>
      <c r="J27" s="71"/>
      <c r="K27" s="77"/>
      <c r="L27" s="77"/>
      <c r="M27" s="82"/>
      <c r="N27" s="67"/>
      <c r="O27" s="368"/>
      <c r="P27" s="368"/>
      <c r="Q27" s="368"/>
    </row>
    <row r="28" spans="1:17">
      <c r="A28" s="71">
        <f>A26+1</f>
        <v>11</v>
      </c>
      <c r="B28" s="67"/>
      <c r="C28" s="67" t="s">
        <v>1033</v>
      </c>
      <c r="D28" s="67"/>
      <c r="E28" s="364">
        <f>SUM(E23:E24)+I25</f>
        <v>13944.183800000003</v>
      </c>
      <c r="F28" s="71"/>
      <c r="G28" s="369">
        <v>34.860459500000005</v>
      </c>
      <c r="H28" s="71"/>
      <c r="I28" s="364">
        <f>SUM(I23:I25)</f>
        <v>13792.421200000001</v>
      </c>
      <c r="J28" s="363"/>
      <c r="K28" s="369">
        <v>34.481053000000003</v>
      </c>
      <c r="L28" s="77"/>
      <c r="M28" s="377">
        <f>M23+M24</f>
        <v>-151.76260000000048</v>
      </c>
      <c r="N28" s="67"/>
      <c r="O28" s="367">
        <f>M28/E28</f>
        <v>-1.0883577137013961E-2</v>
      </c>
      <c r="P28" s="368"/>
      <c r="Q28" s="367">
        <f>(M28-M24)/(E28-E24)</f>
        <v>-1.688467919403255E-2</v>
      </c>
    </row>
    <row r="29" spans="1:17">
      <c r="A29" s="71">
        <f>A28+1</f>
        <v>12</v>
      </c>
      <c r="B29" s="67"/>
      <c r="C29" s="67" t="s">
        <v>1034</v>
      </c>
      <c r="D29" s="67"/>
      <c r="E29" s="81"/>
      <c r="F29" s="71"/>
      <c r="G29" s="77"/>
      <c r="H29" s="71"/>
      <c r="I29" s="81"/>
      <c r="J29" s="71"/>
      <c r="K29" s="77"/>
      <c r="L29" s="77"/>
      <c r="M29" s="82"/>
      <c r="N29" s="67"/>
      <c r="O29" s="327">
        <v>-1.9496476909776076E-2</v>
      </c>
      <c r="P29" s="368"/>
      <c r="Q29" s="327">
        <v>-5.3662316071991581E-2</v>
      </c>
    </row>
    <row r="30" spans="1:17">
      <c r="A30" s="71"/>
      <c r="B30" s="67"/>
      <c r="C30" s="67"/>
      <c r="D30" s="67"/>
      <c r="E30" s="67"/>
      <c r="F30" s="67"/>
      <c r="G30" s="67"/>
      <c r="H30" s="67"/>
      <c r="I30" s="67"/>
      <c r="J30" s="67"/>
      <c r="K30" s="67"/>
      <c r="L30" s="67"/>
      <c r="M30" s="82"/>
      <c r="N30" s="67"/>
      <c r="O30" s="368"/>
      <c r="P30" s="368"/>
      <c r="Q30" s="368"/>
    </row>
    <row r="31" spans="1:17" ht="15.6">
      <c r="A31" s="71"/>
      <c r="B31" s="67"/>
      <c r="C31" s="76" t="s">
        <v>1074</v>
      </c>
      <c r="D31" s="67"/>
      <c r="E31" s="1181" t="s">
        <v>1055</v>
      </c>
      <c r="F31" s="1181"/>
      <c r="G31" s="1181"/>
      <c r="H31" s="67"/>
      <c r="I31" s="67"/>
      <c r="J31" s="67"/>
      <c r="K31" s="67"/>
      <c r="L31" s="67"/>
      <c r="M31" s="82"/>
      <c r="N31" s="67"/>
      <c r="O31" s="368"/>
      <c r="P31" s="368"/>
      <c r="Q31" s="368"/>
    </row>
    <row r="32" spans="1:17">
      <c r="A32" s="71">
        <f>A29+1</f>
        <v>13</v>
      </c>
      <c r="B32" s="67"/>
      <c r="C32" s="67" t="s">
        <v>998</v>
      </c>
      <c r="D32" s="67"/>
      <c r="E32" s="81">
        <v>5078.2849400000005</v>
      </c>
      <c r="F32" s="363"/>
      <c r="G32" s="77">
        <v>8.4638082333333333</v>
      </c>
      <c r="H32" s="77"/>
      <c r="I32" s="81">
        <v>4957.2277599999998</v>
      </c>
      <c r="J32" s="71"/>
      <c r="K32" s="77">
        <v>8.2620462666666654</v>
      </c>
      <c r="L32" s="77"/>
      <c r="M32" s="82">
        <f>I32-E32</f>
        <v>-121.0571800000007</v>
      </c>
      <c r="N32" s="77"/>
      <c r="O32" s="325">
        <f>M32/E32</f>
        <v>-2.3838201564168372E-2</v>
      </c>
      <c r="P32" s="327"/>
      <c r="Q32" s="325">
        <f>O32</f>
        <v>-2.3838201564168372E-2</v>
      </c>
    </row>
    <row r="33" spans="1:17">
      <c r="A33" s="71">
        <f>A32+1</f>
        <v>14</v>
      </c>
      <c r="B33" s="67"/>
      <c r="C33" s="67" t="s">
        <v>999</v>
      </c>
      <c r="D33" s="67"/>
      <c r="E33" s="81">
        <v>7434</v>
      </c>
      <c r="F33" s="363"/>
      <c r="G33" s="77">
        <v>12.389999999999999</v>
      </c>
      <c r="H33" s="77"/>
      <c r="I33" s="81">
        <v>7434</v>
      </c>
      <c r="J33" s="363"/>
      <c r="K33" s="77">
        <v>12.389999999999999</v>
      </c>
      <c r="L33" s="77"/>
      <c r="M33" s="82">
        <f>I33-E33</f>
        <v>0</v>
      </c>
      <c r="N33" s="77"/>
      <c r="O33" s="326">
        <f>IFERROR(M33/E33,"100.0%")</f>
        <v>0</v>
      </c>
      <c r="P33" s="327"/>
      <c r="Q33" s="326">
        <f>O33</f>
        <v>0</v>
      </c>
    </row>
    <row r="34" spans="1:17">
      <c r="A34" s="71">
        <f>A33+1</f>
        <v>15</v>
      </c>
      <c r="B34" s="67"/>
      <c r="C34" s="67" t="s">
        <v>1001</v>
      </c>
      <c r="D34" s="67"/>
      <c r="E34" s="81">
        <v>9241.32</v>
      </c>
      <c r="F34" s="363"/>
      <c r="G34" s="77">
        <v>15.402199999999999</v>
      </c>
      <c r="H34" s="67"/>
      <c r="I34" s="81">
        <v>9240.1200000000008</v>
      </c>
      <c r="J34" s="71"/>
      <c r="K34" s="77">
        <v>15.4002</v>
      </c>
      <c r="L34" s="77"/>
      <c r="M34" s="82">
        <f>I34-E34</f>
        <v>-1.1999999999989086</v>
      </c>
      <c r="N34" s="67"/>
      <c r="O34" s="325">
        <f>M34/E34</f>
        <v>-1.2985157964434828E-4</v>
      </c>
      <c r="P34" s="327"/>
      <c r="Q34" s="325">
        <f>O34</f>
        <v>-1.2985157964434828E-4</v>
      </c>
    </row>
    <row r="35" spans="1:17">
      <c r="A35" s="71">
        <f>A34+1</f>
        <v>16</v>
      </c>
      <c r="B35" s="67"/>
      <c r="C35" s="67" t="s">
        <v>1002</v>
      </c>
      <c r="D35" s="67"/>
      <c r="E35" s="364">
        <f>SUM(E32:E34)</f>
        <v>21753.604940000001</v>
      </c>
      <c r="F35" s="71"/>
      <c r="G35" s="369">
        <v>36.25600823333334</v>
      </c>
      <c r="H35" s="71"/>
      <c r="I35" s="364">
        <v>21631.347760000001</v>
      </c>
      <c r="J35" s="363"/>
      <c r="K35" s="369">
        <v>36.052246266666664</v>
      </c>
      <c r="L35" s="77"/>
      <c r="M35" s="377">
        <f>SUM(M32:M34)</f>
        <v>-122.25717999999961</v>
      </c>
      <c r="N35" s="67"/>
      <c r="O35" s="367">
        <f>M35/E35</f>
        <v>-5.6200882721371883E-3</v>
      </c>
      <c r="P35" s="368"/>
      <c r="Q35" s="367">
        <f>(M35-M33)/(E35-E33)</f>
        <v>-8.5377481091318142E-3</v>
      </c>
    </row>
    <row r="36" spans="1:17">
      <c r="A36" s="71"/>
      <c r="B36" s="67"/>
      <c r="C36" s="67"/>
      <c r="D36" s="67"/>
      <c r="E36" s="81"/>
      <c r="F36" s="71"/>
      <c r="G36" s="77"/>
      <c r="H36" s="71"/>
      <c r="I36" s="81"/>
      <c r="J36" s="71"/>
      <c r="K36" s="77"/>
      <c r="L36" s="77"/>
      <c r="M36" s="82"/>
      <c r="N36" s="67"/>
      <c r="O36" s="368"/>
      <c r="P36" s="368"/>
      <c r="Q36" s="368"/>
    </row>
    <row r="37" spans="1:17">
      <c r="A37" s="71">
        <f>A35+1</f>
        <v>17</v>
      </c>
      <c r="B37" s="67"/>
      <c r="C37" s="67" t="s">
        <v>1033</v>
      </c>
      <c r="D37" s="67"/>
      <c r="E37" s="364">
        <f>SUM(E32:E33)+I34</f>
        <v>21752.40494</v>
      </c>
      <c r="F37" s="71"/>
      <c r="G37" s="369">
        <v>36.254008233333337</v>
      </c>
      <c r="H37" s="71"/>
      <c r="I37" s="364">
        <f>SUM(I32:I34)</f>
        <v>21631.347760000001</v>
      </c>
      <c r="J37" s="363"/>
      <c r="K37" s="369">
        <v>36.052246266666664</v>
      </c>
      <c r="L37" s="77"/>
      <c r="M37" s="377">
        <f>M32+M33</f>
        <v>-121.0571800000007</v>
      </c>
      <c r="N37" s="67"/>
      <c r="O37" s="367">
        <f>M37/E37</f>
        <v>-5.5652319977452895E-3</v>
      </c>
      <c r="P37" s="368"/>
      <c r="Q37" s="367">
        <f>(M37-M33)/(E37-E33)</f>
        <v>-8.4546554247683335E-3</v>
      </c>
    </row>
    <row r="38" spans="1:17">
      <c r="A38" s="71">
        <f>A37+1</f>
        <v>18</v>
      </c>
      <c r="B38" s="67"/>
      <c r="C38" s="67" t="s">
        <v>1034</v>
      </c>
      <c r="D38" s="67"/>
      <c r="E38" s="81"/>
      <c r="F38" s="71"/>
      <c r="G38" s="77"/>
      <c r="H38" s="71"/>
      <c r="I38" s="81"/>
      <c r="J38" s="71"/>
      <c r="K38" s="77"/>
      <c r="L38" s="77"/>
      <c r="M38" s="82"/>
      <c r="N38" s="67"/>
      <c r="O38" s="327">
        <v>-9.6750657917801866E-3</v>
      </c>
      <c r="P38" s="368"/>
      <c r="Q38" s="327">
        <v>-2.3838201564168316E-2</v>
      </c>
    </row>
    <row r="39" spans="1:17">
      <c r="A39" s="71"/>
      <c r="B39" s="67"/>
      <c r="C39" s="67"/>
      <c r="D39" s="67"/>
      <c r="E39" s="67"/>
      <c r="F39" s="67"/>
      <c r="G39" s="67"/>
      <c r="H39" s="67"/>
      <c r="I39" s="67"/>
      <c r="J39" s="67"/>
      <c r="K39" s="67"/>
      <c r="L39" s="67"/>
      <c r="M39" s="82"/>
      <c r="N39" s="67"/>
      <c r="O39" s="368"/>
      <c r="P39" s="368"/>
      <c r="Q39" s="368"/>
    </row>
    <row r="40" spans="1:17" ht="15.6">
      <c r="A40" s="71"/>
      <c r="B40" s="67"/>
      <c r="C40" s="76" t="s">
        <v>1075</v>
      </c>
      <c r="D40" s="67"/>
      <c r="E40" s="1181" t="s">
        <v>1076</v>
      </c>
      <c r="F40" s="1181"/>
      <c r="G40" s="1181"/>
      <c r="H40" s="67"/>
      <c r="I40" s="67"/>
      <c r="J40" s="67"/>
      <c r="K40" s="67"/>
      <c r="L40" s="67"/>
      <c r="M40" s="82"/>
      <c r="N40" s="67"/>
      <c r="O40" s="368"/>
      <c r="P40" s="368"/>
      <c r="Q40" s="368"/>
    </row>
    <row r="41" spans="1:17">
      <c r="A41" s="71">
        <v>19</v>
      </c>
      <c r="B41" s="67"/>
      <c r="C41" s="67" t="s">
        <v>998</v>
      </c>
      <c r="D41" s="67"/>
      <c r="E41" s="81">
        <v>5951.4786770000001</v>
      </c>
      <c r="F41" s="363"/>
      <c r="G41" s="77">
        <v>8.152710516438356</v>
      </c>
      <c r="H41" s="77"/>
      <c r="I41" s="81">
        <v>5799.8783480000011</v>
      </c>
      <c r="J41" s="71"/>
      <c r="K41" s="77">
        <v>7.9450388328767136</v>
      </c>
      <c r="L41" s="77"/>
      <c r="M41" s="82">
        <f>I41-E41</f>
        <v>-151.60032899999896</v>
      </c>
      <c r="N41" s="77"/>
      <c r="O41" s="325">
        <f>M41/E41</f>
        <v>-2.5472716484034708E-2</v>
      </c>
      <c r="P41" s="327"/>
      <c r="Q41" s="325">
        <f>O41</f>
        <v>-2.5472716484034708E-2</v>
      </c>
    </row>
    <row r="42" spans="1:17">
      <c r="A42" s="71">
        <f>A41+1</f>
        <v>20</v>
      </c>
      <c r="B42" s="67"/>
      <c r="C42" s="67" t="s">
        <v>999</v>
      </c>
      <c r="D42" s="67"/>
      <c r="E42" s="81">
        <v>9044.7000000000007</v>
      </c>
      <c r="F42" s="363"/>
      <c r="G42" s="77">
        <v>12.39</v>
      </c>
      <c r="H42" s="77"/>
      <c r="I42" s="81">
        <v>9044.7000000000007</v>
      </c>
      <c r="J42" s="363"/>
      <c r="K42" s="77">
        <v>12.39</v>
      </c>
      <c r="L42" s="77"/>
      <c r="M42" s="82">
        <f>I42-E42</f>
        <v>0</v>
      </c>
      <c r="N42" s="77"/>
      <c r="O42" s="326">
        <f>IFERROR(M42/E42,"100.0%")</f>
        <v>0</v>
      </c>
      <c r="P42" s="327"/>
      <c r="Q42" s="326">
        <f>O42</f>
        <v>0</v>
      </c>
    </row>
    <row r="43" spans="1:17">
      <c r="A43" s="71">
        <f>A42+1</f>
        <v>21</v>
      </c>
      <c r="B43" s="67"/>
      <c r="C43" s="67" t="s">
        <v>1001</v>
      </c>
      <c r="D43" s="67"/>
      <c r="E43" s="81">
        <v>11243.606000000002</v>
      </c>
      <c r="F43" s="363"/>
      <c r="G43" s="77">
        <v>15.402200000000002</v>
      </c>
      <c r="H43" s="67"/>
      <c r="I43" s="81">
        <v>11242.146000000001</v>
      </c>
      <c r="J43" s="71"/>
      <c r="K43" s="77">
        <v>15.4002</v>
      </c>
      <c r="L43" s="77"/>
      <c r="M43" s="82">
        <f>I43-E43</f>
        <v>-1.4600000000009459</v>
      </c>
      <c r="N43" s="67"/>
      <c r="O43" s="325">
        <f>M43/E43</f>
        <v>-1.2985157964455048E-4</v>
      </c>
      <c r="P43" s="327"/>
      <c r="Q43" s="325">
        <f>O43</f>
        <v>-1.2985157964455048E-4</v>
      </c>
    </row>
    <row r="44" spans="1:17">
      <c r="A44" s="71">
        <f>A43+1</f>
        <v>22</v>
      </c>
      <c r="B44" s="67"/>
      <c r="C44" s="67" t="s">
        <v>1002</v>
      </c>
      <c r="D44" s="67"/>
      <c r="E44" s="364">
        <f>SUM(E41:E43)</f>
        <v>26239.784677000003</v>
      </c>
      <c r="F44" s="71"/>
      <c r="G44" s="369">
        <v>35.944910516438362</v>
      </c>
      <c r="H44" s="71"/>
      <c r="I44" s="364">
        <v>26086.724348000003</v>
      </c>
      <c r="J44" s="363"/>
      <c r="K44" s="369">
        <v>35.735238832876718</v>
      </c>
      <c r="L44" s="77"/>
      <c r="M44" s="377">
        <f>SUM(M41:M43)</f>
        <v>-153.06032899999991</v>
      </c>
      <c r="N44" s="67"/>
      <c r="O44" s="367">
        <f>M44/E44</f>
        <v>-5.8331396726041774E-3</v>
      </c>
      <c r="P44" s="368"/>
      <c r="Q44" s="367">
        <f>(M44-M42)/(E44-E42)</f>
        <v>-8.9014001312091289E-3</v>
      </c>
    </row>
    <row r="45" spans="1:17">
      <c r="A45" s="71"/>
      <c r="B45" s="67"/>
      <c r="C45" s="67"/>
      <c r="D45" s="67"/>
      <c r="E45" s="81"/>
      <c r="F45" s="71"/>
      <c r="G45" s="77"/>
      <c r="H45" s="71"/>
      <c r="I45" s="81"/>
      <c r="J45" s="71"/>
      <c r="K45" s="77"/>
      <c r="L45" s="77"/>
      <c r="M45" s="82"/>
      <c r="N45" s="67"/>
      <c r="O45" s="368"/>
      <c r="P45" s="368"/>
      <c r="Q45" s="368"/>
    </row>
    <row r="46" spans="1:17">
      <c r="A46" s="71">
        <f>A44+1</f>
        <v>23</v>
      </c>
      <c r="B46" s="67"/>
      <c r="C46" s="67" t="s">
        <v>1033</v>
      </c>
      <c r="D46" s="67"/>
      <c r="E46" s="364">
        <f>SUM(E41:E42)+I43</f>
        <v>26238.324677000001</v>
      </c>
      <c r="F46" s="71"/>
      <c r="G46" s="369">
        <v>35.94291051643836</v>
      </c>
      <c r="H46" s="71"/>
      <c r="I46" s="364">
        <f>SUM(I41:I43)</f>
        <v>26086.724348000003</v>
      </c>
      <c r="J46" s="363"/>
      <c r="K46" s="369">
        <v>35.735238832876718</v>
      </c>
      <c r="L46" s="77"/>
      <c r="M46" s="377">
        <f>M41+M42</f>
        <v>-151.60032899999896</v>
      </c>
      <c r="N46" s="67"/>
      <c r="O46" s="367">
        <f>M46/E46</f>
        <v>-5.7778204540966304E-3</v>
      </c>
      <c r="P46" s="368"/>
      <c r="Q46" s="367">
        <f>(M46-M42)/(E46-E42)</f>
        <v>-8.8172407998876184E-3</v>
      </c>
    </row>
    <row r="47" spans="1:17">
      <c r="A47" s="71">
        <f>A46+1</f>
        <v>24</v>
      </c>
      <c r="B47" s="67"/>
      <c r="C47" s="67" t="s">
        <v>1034</v>
      </c>
      <c r="D47" s="67"/>
      <c r="E47" s="81"/>
      <c r="F47" s="71"/>
      <c r="G47" s="77"/>
      <c r="H47" s="71"/>
      <c r="I47" s="81"/>
      <c r="J47" s="71"/>
      <c r="K47" s="77"/>
      <c r="L47" s="77"/>
      <c r="M47" s="82"/>
      <c r="N47" s="67"/>
      <c r="O47" s="327">
        <v>-1.0109263984198385E-2</v>
      </c>
      <c r="P47" s="368"/>
      <c r="Q47" s="327">
        <v>-2.547271648403486E-2</v>
      </c>
    </row>
    <row r="48" spans="1:17">
      <c r="A48" s="71"/>
      <c r="B48" s="67"/>
      <c r="C48" s="67"/>
      <c r="D48" s="67"/>
      <c r="E48" s="67"/>
      <c r="F48" s="67"/>
      <c r="G48" s="67"/>
      <c r="H48" s="67"/>
      <c r="I48" s="67"/>
      <c r="J48" s="67"/>
      <c r="K48" s="67"/>
      <c r="L48" s="67"/>
      <c r="M48" s="82"/>
      <c r="N48" s="67"/>
      <c r="O48" s="368"/>
      <c r="P48" s="368"/>
      <c r="Q48" s="368"/>
    </row>
    <row r="49" spans="1:17" ht="15.6">
      <c r="A49" s="71"/>
      <c r="B49" s="67"/>
      <c r="C49" s="76" t="s">
        <v>1077</v>
      </c>
      <c r="D49" s="67"/>
      <c r="E49" s="1181" t="s">
        <v>1059</v>
      </c>
      <c r="F49" s="1181"/>
      <c r="G49" s="1181"/>
      <c r="H49" s="67"/>
      <c r="I49" s="67"/>
      <c r="J49" s="67"/>
      <c r="K49" s="67"/>
      <c r="L49" s="67"/>
      <c r="M49" s="82"/>
      <c r="N49" s="67"/>
      <c r="O49" s="368"/>
      <c r="P49" s="368"/>
      <c r="Q49" s="368"/>
    </row>
    <row r="50" spans="1:17">
      <c r="A50" s="71">
        <v>25</v>
      </c>
      <c r="B50" s="67"/>
      <c r="C50" s="67" t="s">
        <v>998</v>
      </c>
      <c r="D50" s="67"/>
      <c r="E50" s="81">
        <v>17369.1005</v>
      </c>
      <c r="F50" s="363"/>
      <c r="G50" s="77">
        <v>6.9476402000000004</v>
      </c>
      <c r="H50" s="77"/>
      <c r="I50" s="81">
        <v>16823.9067</v>
      </c>
      <c r="J50" s="71"/>
      <c r="K50" s="77">
        <v>6.729562679999999</v>
      </c>
      <c r="L50" s="77"/>
      <c r="M50" s="82">
        <f>I50-E50</f>
        <v>-545.19380000000092</v>
      </c>
      <c r="N50" s="77"/>
      <c r="O50" s="325">
        <f>M50/E50</f>
        <v>-3.138871814346407E-2</v>
      </c>
      <c r="P50" s="327"/>
      <c r="Q50" s="325">
        <f>O50</f>
        <v>-3.138871814346407E-2</v>
      </c>
    </row>
    <row r="51" spans="1:17">
      <c r="A51" s="71">
        <f>A50+1</f>
        <v>26</v>
      </c>
      <c r="B51" s="67"/>
      <c r="C51" s="67" t="s">
        <v>999</v>
      </c>
      <c r="D51" s="67"/>
      <c r="E51" s="81">
        <v>30975</v>
      </c>
      <c r="F51" s="363"/>
      <c r="G51" s="77">
        <v>12.389999999999999</v>
      </c>
      <c r="H51" s="77"/>
      <c r="I51" s="81">
        <v>30975</v>
      </c>
      <c r="J51" s="363"/>
      <c r="K51" s="77">
        <v>12.389999999999999</v>
      </c>
      <c r="L51" s="77"/>
      <c r="M51" s="82">
        <f>I51-E51</f>
        <v>0</v>
      </c>
      <c r="N51" s="77"/>
      <c r="O51" s="326">
        <f>IFERROR(M51/E51,"100.0%")</f>
        <v>0</v>
      </c>
      <c r="P51" s="327"/>
      <c r="Q51" s="326">
        <f>O51</f>
        <v>0</v>
      </c>
    </row>
    <row r="52" spans="1:17">
      <c r="A52" s="71">
        <f>A51+1</f>
        <v>27</v>
      </c>
      <c r="B52" s="67"/>
      <c r="C52" s="67" t="s">
        <v>1001</v>
      </c>
      <c r="D52" s="67"/>
      <c r="E52" s="81">
        <v>38505.5</v>
      </c>
      <c r="F52" s="363"/>
      <c r="G52" s="77">
        <v>15.402199999999999</v>
      </c>
      <c r="H52" s="67"/>
      <c r="I52" s="81">
        <v>38500.500000000007</v>
      </c>
      <c r="J52" s="71"/>
      <c r="K52" s="77">
        <v>15.400200000000003</v>
      </c>
      <c r="L52" s="77"/>
      <c r="M52" s="82">
        <f>I52-E52</f>
        <v>-4.999999999992724</v>
      </c>
      <c r="N52" s="67"/>
      <c r="O52" s="325">
        <f>M52/E52</f>
        <v>-1.2985157964427743E-4</v>
      </c>
      <c r="P52" s="327"/>
      <c r="Q52" s="325">
        <f>O52</f>
        <v>-1.2985157964427743E-4</v>
      </c>
    </row>
    <row r="53" spans="1:17">
      <c r="A53" s="71">
        <f>A52+1</f>
        <v>28</v>
      </c>
      <c r="B53" s="67"/>
      <c r="C53" s="67" t="s">
        <v>1002</v>
      </c>
      <c r="D53" s="67"/>
      <c r="E53" s="364">
        <f>SUM(E50:E52)</f>
        <v>86849.6005</v>
      </c>
      <c r="F53" s="71"/>
      <c r="G53" s="369">
        <v>34.739840199999996</v>
      </c>
      <c r="H53" s="71"/>
      <c r="I53" s="364">
        <v>86299.406700000007</v>
      </c>
      <c r="J53" s="363"/>
      <c r="K53" s="369">
        <v>34.519762680000007</v>
      </c>
      <c r="L53" s="77"/>
      <c r="M53" s="377">
        <f>SUM(M50:M52)</f>
        <v>-550.19379999999364</v>
      </c>
      <c r="N53" s="67"/>
      <c r="O53" s="367">
        <f>M53/E53</f>
        <v>-6.3350182019546956E-3</v>
      </c>
      <c r="P53" s="368"/>
      <c r="Q53" s="367">
        <f>(M53-M51)/(E53-E51)</f>
        <v>-9.8469393083176256E-3</v>
      </c>
    </row>
    <row r="54" spans="1:17">
      <c r="A54" s="71"/>
      <c r="B54" s="67"/>
      <c r="C54" s="67"/>
      <c r="D54" s="67"/>
      <c r="E54" s="81"/>
      <c r="F54" s="71"/>
      <c r="G54" s="77"/>
      <c r="H54" s="71"/>
      <c r="I54" s="81"/>
      <c r="J54" s="71"/>
      <c r="K54" s="77"/>
      <c r="L54" s="77"/>
      <c r="M54" s="82"/>
      <c r="N54" s="67"/>
      <c r="O54" s="368"/>
      <c r="P54" s="368"/>
      <c r="Q54" s="368"/>
    </row>
    <row r="55" spans="1:17">
      <c r="A55" s="71">
        <f>A53+1</f>
        <v>29</v>
      </c>
      <c r="B55" s="67"/>
      <c r="C55" s="67" t="s">
        <v>1033</v>
      </c>
      <c r="D55" s="67"/>
      <c r="E55" s="364">
        <f>SUM(E50:E51)+I52</f>
        <v>86844.6005</v>
      </c>
      <c r="F55" s="71"/>
      <c r="G55" s="369">
        <v>34.737840200000001</v>
      </c>
      <c r="H55" s="71"/>
      <c r="I55" s="364">
        <f>SUM(I50:I52)</f>
        <v>86299.406700000007</v>
      </c>
      <c r="J55" s="363"/>
      <c r="K55" s="369">
        <v>34.519762680000007</v>
      </c>
      <c r="L55" s="77"/>
      <c r="M55" s="377">
        <f>M50+M51</f>
        <v>-545.19380000000092</v>
      </c>
      <c r="N55" s="67"/>
      <c r="O55" s="367">
        <f>M55/E55</f>
        <v>-6.2778088316498264E-3</v>
      </c>
      <c r="P55" s="368"/>
      <c r="Q55" s="367">
        <f>(M55-M51)/(E55-E51)</f>
        <v>-9.7583264444498913E-3</v>
      </c>
    </row>
    <row r="56" spans="1:17">
      <c r="A56" s="71">
        <f>A55+1</f>
        <v>30</v>
      </c>
      <c r="B56" s="67"/>
      <c r="C56" s="67" t="s">
        <v>1034</v>
      </c>
      <c r="D56" s="67"/>
      <c r="E56" s="81"/>
      <c r="F56" s="71"/>
      <c r="G56" s="77"/>
      <c r="H56" s="71"/>
      <c r="I56" s="81"/>
      <c r="J56" s="71"/>
      <c r="K56" s="77"/>
      <c r="L56" s="77"/>
      <c r="M56" s="82"/>
      <c r="N56" s="67"/>
      <c r="O56" s="327">
        <v>-1.1277359478433143E-2</v>
      </c>
      <c r="P56" s="368"/>
      <c r="Q56" s="327">
        <v>-3.1388718143463987E-2</v>
      </c>
    </row>
    <row r="57" spans="1:17">
      <c r="A57" s="71"/>
      <c r="B57" s="67"/>
      <c r="C57" s="67"/>
      <c r="D57" s="67"/>
      <c r="E57" s="67"/>
      <c r="F57" s="67"/>
      <c r="G57" s="67"/>
      <c r="H57" s="67"/>
      <c r="I57" s="67"/>
      <c r="J57" s="67"/>
      <c r="K57" s="67"/>
      <c r="L57" s="67"/>
      <c r="M57" s="82"/>
      <c r="N57" s="67"/>
      <c r="O57" s="368"/>
      <c r="P57" s="368"/>
      <c r="Q57" s="368"/>
    </row>
    <row r="58" spans="1:17" ht="15.6">
      <c r="A58" s="71"/>
      <c r="B58" s="67"/>
      <c r="C58" s="76" t="s">
        <v>1078</v>
      </c>
      <c r="D58" s="67"/>
      <c r="E58" s="67" t="s">
        <v>1079</v>
      </c>
      <c r="F58" s="67"/>
      <c r="G58" s="67"/>
      <c r="H58" s="67"/>
      <c r="I58" s="67"/>
      <c r="J58" s="67"/>
      <c r="K58" s="67"/>
      <c r="L58" s="67"/>
      <c r="M58" s="82"/>
      <c r="N58" s="67"/>
      <c r="O58" s="368"/>
      <c r="P58" s="368"/>
      <c r="Q58" s="368"/>
    </row>
    <row r="59" spans="1:17">
      <c r="A59" s="71">
        <v>31</v>
      </c>
      <c r="B59" s="67"/>
      <c r="C59" s="67" t="s">
        <v>998</v>
      </c>
      <c r="D59" s="67"/>
      <c r="E59" s="81">
        <v>57396.433600000004</v>
      </c>
      <c r="F59" s="363"/>
      <c r="G59" s="77">
        <v>6.5595924114285715</v>
      </c>
      <c r="H59" s="77"/>
      <c r="I59" s="81">
        <v>59192.869400000011</v>
      </c>
      <c r="J59" s="71"/>
      <c r="K59" s="77">
        <v>6.7648993600000011</v>
      </c>
      <c r="L59" s="77"/>
      <c r="M59" s="82">
        <f>I59-E59</f>
        <v>1796.4358000000066</v>
      </c>
      <c r="N59" s="77"/>
      <c r="O59" s="325">
        <f>M59/E59</f>
        <v>3.1298735606457725E-2</v>
      </c>
      <c r="P59" s="327"/>
      <c r="Q59" s="325">
        <f>O59</f>
        <v>3.1298735606457725E-2</v>
      </c>
    </row>
    <row r="60" spans="1:17">
      <c r="A60" s="71">
        <f>A59+1</f>
        <v>32</v>
      </c>
      <c r="B60" s="67"/>
      <c r="C60" s="67" t="s">
        <v>999</v>
      </c>
      <c r="D60" s="67"/>
      <c r="E60" s="81">
        <v>108412.5</v>
      </c>
      <c r="F60" s="363"/>
      <c r="G60" s="77">
        <v>12.389999999999999</v>
      </c>
      <c r="H60" s="77"/>
      <c r="I60" s="81">
        <v>108412.5</v>
      </c>
      <c r="J60" s="363"/>
      <c r="K60" s="77">
        <v>12.389999999999999</v>
      </c>
      <c r="L60" s="77"/>
      <c r="M60" s="82">
        <f>I60-E60</f>
        <v>0</v>
      </c>
      <c r="N60" s="77"/>
      <c r="O60" s="326">
        <f>IFERROR(M60/E60,"100.0%")</f>
        <v>0</v>
      </c>
      <c r="P60" s="327"/>
      <c r="Q60" s="326">
        <f>O60</f>
        <v>0</v>
      </c>
    </row>
    <row r="61" spans="1:17">
      <c r="A61" s="71">
        <f>A60+1</f>
        <v>33</v>
      </c>
      <c r="B61" s="67"/>
      <c r="C61" s="67" t="s">
        <v>1001</v>
      </c>
      <c r="D61" s="67"/>
      <c r="E61" s="81">
        <v>134769.25</v>
      </c>
      <c r="F61" s="363"/>
      <c r="G61" s="77">
        <v>15.402199999999999</v>
      </c>
      <c r="H61" s="67"/>
      <c r="I61" s="81">
        <v>134751.75000000003</v>
      </c>
      <c r="J61" s="71"/>
      <c r="K61" s="77">
        <v>15.400200000000003</v>
      </c>
      <c r="L61" s="77"/>
      <c r="M61" s="82">
        <f>I61-E61</f>
        <v>-17.499999999970896</v>
      </c>
      <c r="N61" s="67"/>
      <c r="O61" s="325">
        <f>M61/E61</f>
        <v>-1.2985157964425043E-4</v>
      </c>
      <c r="P61" s="327"/>
      <c r="Q61" s="325">
        <f>O61</f>
        <v>-1.2985157964425043E-4</v>
      </c>
    </row>
    <row r="62" spans="1:17">
      <c r="A62" s="71">
        <f>A61+1</f>
        <v>34</v>
      </c>
      <c r="B62" s="67"/>
      <c r="C62" s="67" t="s">
        <v>1002</v>
      </c>
      <c r="D62" s="67"/>
      <c r="E62" s="364">
        <f>SUM(E59:E61)</f>
        <v>300578.18359999999</v>
      </c>
      <c r="F62" s="71"/>
      <c r="G62" s="369">
        <v>34.351792411428569</v>
      </c>
      <c r="H62" s="71"/>
      <c r="I62" s="364">
        <v>302357.11940000008</v>
      </c>
      <c r="J62" s="363"/>
      <c r="K62" s="369">
        <v>34.555099360000007</v>
      </c>
      <c r="L62" s="77"/>
      <c r="M62" s="377">
        <f>SUM(M59:M61)</f>
        <v>1778.9358000000357</v>
      </c>
      <c r="N62" s="67"/>
      <c r="O62" s="367">
        <f>M62/E62</f>
        <v>5.9183796331918337E-3</v>
      </c>
      <c r="P62" s="368"/>
      <c r="Q62" s="367">
        <f>(M62-M60)/(E62-E60)</f>
        <v>9.2573021710939639E-3</v>
      </c>
    </row>
    <row r="63" spans="1:17">
      <c r="A63" s="71"/>
      <c r="B63" s="67"/>
      <c r="C63" s="67"/>
      <c r="D63" s="67"/>
      <c r="E63" s="81"/>
      <c r="F63" s="71"/>
      <c r="G63" s="77"/>
      <c r="H63" s="71"/>
      <c r="I63" s="81"/>
      <c r="J63" s="71"/>
      <c r="K63" s="77"/>
      <c r="L63" s="77"/>
      <c r="M63" s="82"/>
      <c r="N63" s="67"/>
      <c r="O63" s="368"/>
      <c r="P63" s="368"/>
      <c r="Q63" s="368"/>
    </row>
    <row r="64" spans="1:17">
      <c r="A64" s="71">
        <f>A62+1</f>
        <v>35</v>
      </c>
      <c r="B64" s="67"/>
      <c r="C64" s="67" t="s">
        <v>1033</v>
      </c>
      <c r="D64" s="67"/>
      <c r="E64" s="364">
        <f>SUM(E59:E60)+I61</f>
        <v>300560.68359999999</v>
      </c>
      <c r="F64" s="71"/>
      <c r="G64" s="369">
        <v>34.349792411428567</v>
      </c>
      <c r="H64" s="71"/>
      <c r="I64" s="364">
        <f>SUM(I59:I61)</f>
        <v>302357.11940000008</v>
      </c>
      <c r="J64" s="363"/>
      <c r="K64" s="369">
        <v>34.555099360000007</v>
      </c>
      <c r="L64" s="77"/>
      <c r="M64" s="377">
        <f>M59+M60</f>
        <v>1796.4358000000066</v>
      </c>
      <c r="N64" s="67"/>
      <c r="O64" s="367">
        <f>M64/E64</f>
        <v>5.9769487428727912E-3</v>
      </c>
      <c r="P64" s="368"/>
      <c r="Q64" s="367">
        <f>(M64-M60)/(E64-E60)</f>
        <v>9.3492208270867395E-3</v>
      </c>
    </row>
    <row r="65" spans="1:17">
      <c r="A65" s="71">
        <f>A64+1</f>
        <v>36</v>
      </c>
      <c r="B65" s="67"/>
      <c r="C65" s="67" t="s">
        <v>1034</v>
      </c>
      <c r="D65" s="67"/>
      <c r="E65" s="81"/>
      <c r="F65" s="71"/>
      <c r="G65" s="77"/>
      <c r="H65" s="71"/>
      <c r="I65" s="81"/>
      <c r="J65" s="71"/>
      <c r="K65" s="77"/>
      <c r="L65" s="77"/>
      <c r="M65" s="82"/>
      <c r="N65" s="67"/>
      <c r="O65" s="327">
        <v>1.0834372798836978E-2</v>
      </c>
      <c r="P65" s="368"/>
      <c r="Q65" s="327">
        <v>3.1298735606457725E-2</v>
      </c>
    </row>
    <row r="66" spans="1:17">
      <c r="A66" s="71"/>
      <c r="B66" s="67"/>
      <c r="C66" s="67"/>
      <c r="D66" s="67"/>
      <c r="E66" s="67"/>
      <c r="F66" s="67"/>
      <c r="G66" s="67"/>
      <c r="H66" s="67"/>
      <c r="I66" s="67"/>
      <c r="J66" s="67"/>
      <c r="K66" s="67"/>
      <c r="L66" s="67"/>
      <c r="M66" s="82"/>
      <c r="N66" s="67"/>
      <c r="O66" s="368"/>
      <c r="P66" s="368"/>
      <c r="Q66" s="368"/>
    </row>
    <row r="67" spans="1:17" ht="15.6">
      <c r="A67" s="71"/>
      <c r="B67" s="67"/>
      <c r="C67" s="76" t="s">
        <v>1080</v>
      </c>
      <c r="D67" s="67"/>
      <c r="E67" s="67" t="s">
        <v>1081</v>
      </c>
      <c r="F67" s="67"/>
      <c r="G67" s="67"/>
      <c r="H67" s="67"/>
      <c r="I67" s="67"/>
      <c r="J67" s="67"/>
      <c r="K67" s="67"/>
      <c r="L67" s="67"/>
      <c r="M67" s="82"/>
      <c r="N67" s="67"/>
      <c r="O67" s="368"/>
      <c r="P67" s="368"/>
      <c r="Q67" s="368"/>
    </row>
    <row r="68" spans="1:17">
      <c r="A68" s="71">
        <f>A65+1</f>
        <v>37</v>
      </c>
      <c r="B68" s="67"/>
      <c r="C68" s="67" t="s">
        <v>998</v>
      </c>
      <c r="D68" s="67"/>
      <c r="E68" s="81">
        <v>460120.67520000006</v>
      </c>
      <c r="F68" s="363"/>
      <c r="G68" s="77">
        <v>3.8343389600000006</v>
      </c>
      <c r="H68" s="77"/>
      <c r="I68" s="81">
        <v>476078.89500000002</v>
      </c>
      <c r="J68" s="71"/>
      <c r="K68" s="77">
        <v>3.9673241250000006</v>
      </c>
      <c r="L68" s="77"/>
      <c r="M68" s="82">
        <f>I68-E68</f>
        <v>15958.219799999963</v>
      </c>
      <c r="N68" s="77"/>
      <c r="O68" s="325">
        <f>M68/E68</f>
        <v>3.4682683609171497E-2</v>
      </c>
      <c r="P68" s="327"/>
      <c r="Q68" s="325">
        <f>O68</f>
        <v>3.4682683609171497E-2</v>
      </c>
    </row>
    <row r="69" spans="1:17">
      <c r="A69" s="71">
        <f>A68+1</f>
        <v>38</v>
      </c>
      <c r="B69" s="67"/>
      <c r="C69" s="67" t="s">
        <v>999</v>
      </c>
      <c r="D69" s="67"/>
      <c r="E69" s="81">
        <v>1486800</v>
      </c>
      <c r="F69" s="363"/>
      <c r="G69" s="77">
        <v>12.389999999999999</v>
      </c>
      <c r="H69" s="77"/>
      <c r="I69" s="81">
        <v>1486800</v>
      </c>
      <c r="J69" s="363"/>
      <c r="K69" s="77">
        <v>12.389999999999999</v>
      </c>
      <c r="L69" s="77"/>
      <c r="M69" s="82">
        <f>I69-E69</f>
        <v>0</v>
      </c>
      <c r="N69" s="77"/>
      <c r="O69" s="326">
        <f>IFERROR(M69/E69,"100.0%")</f>
        <v>0</v>
      </c>
      <c r="P69" s="327"/>
      <c r="Q69" s="326">
        <f>O69</f>
        <v>0</v>
      </c>
    </row>
    <row r="70" spans="1:17">
      <c r="A70" s="71">
        <f>A69+1</f>
        <v>39</v>
      </c>
      <c r="B70" s="67"/>
      <c r="C70" s="67" t="s">
        <v>1001</v>
      </c>
      <c r="D70" s="67"/>
      <c r="E70" s="81">
        <v>1848264</v>
      </c>
      <c r="F70" s="363"/>
      <c r="G70" s="77">
        <v>15.402199999999999</v>
      </c>
      <c r="H70" s="67"/>
      <c r="I70" s="81">
        <v>1848024.0000000002</v>
      </c>
      <c r="J70" s="71"/>
      <c r="K70" s="77">
        <v>15.400200000000003</v>
      </c>
      <c r="L70" s="77"/>
      <c r="M70" s="82">
        <f>I70-E70</f>
        <v>-239.99999999976717</v>
      </c>
      <c r="N70" s="67"/>
      <c r="O70" s="325">
        <f>M70/E70</f>
        <v>-1.2985157964434039E-4</v>
      </c>
      <c r="P70" s="327"/>
      <c r="Q70" s="325">
        <f>O70</f>
        <v>-1.2985157964434039E-4</v>
      </c>
    </row>
    <row r="71" spans="1:17">
      <c r="A71" s="71">
        <f>A70+1</f>
        <v>40</v>
      </c>
      <c r="B71" s="67"/>
      <c r="C71" s="67" t="s">
        <v>1002</v>
      </c>
      <c r="D71" s="67"/>
      <c r="E71" s="364">
        <f>SUM(E68:E70)</f>
        <v>3795184.6751999999</v>
      </c>
      <c r="F71" s="71"/>
      <c r="G71" s="369">
        <v>31.626538960000001</v>
      </c>
      <c r="H71" s="71"/>
      <c r="I71" s="364">
        <v>3810902.8950000005</v>
      </c>
      <c r="J71" s="363"/>
      <c r="K71" s="369">
        <v>31.757524125000003</v>
      </c>
      <c r="L71" s="77"/>
      <c r="M71" s="377">
        <f>SUM(M68:M70)</f>
        <v>15718.219800000195</v>
      </c>
      <c r="N71" s="67"/>
      <c r="O71" s="367">
        <f>M71/E71</f>
        <v>4.1416218564309711E-3</v>
      </c>
      <c r="P71" s="368"/>
      <c r="Q71" s="367">
        <f>(M71-M69)/(E71-E69)</f>
        <v>6.8091856478116495E-3</v>
      </c>
    </row>
    <row r="72" spans="1:17">
      <c r="A72" s="71"/>
      <c r="B72" s="67"/>
      <c r="C72" s="67"/>
      <c r="D72" s="67"/>
      <c r="E72" s="81"/>
      <c r="F72" s="71"/>
      <c r="G72" s="77"/>
      <c r="H72" s="71"/>
      <c r="I72" s="81"/>
      <c r="J72" s="71"/>
      <c r="K72" s="77"/>
      <c r="L72" s="77"/>
      <c r="M72" s="82"/>
      <c r="N72" s="67"/>
      <c r="O72" s="368"/>
      <c r="P72" s="368"/>
      <c r="Q72" s="368"/>
    </row>
    <row r="73" spans="1:17">
      <c r="A73" s="71">
        <f>A71+1</f>
        <v>41</v>
      </c>
      <c r="B73" s="67"/>
      <c r="C73" s="67" t="s">
        <v>1033</v>
      </c>
      <c r="D73" s="67"/>
      <c r="E73" s="364">
        <f>SUM(E68:E69)+I70</f>
        <v>3794944.6752000004</v>
      </c>
      <c r="F73" s="71"/>
      <c r="G73" s="369">
        <v>31.624538960000002</v>
      </c>
      <c r="H73" s="71"/>
      <c r="I73" s="364">
        <f>SUM(I68:I70)</f>
        <v>3810902.8950000005</v>
      </c>
      <c r="J73" s="363"/>
      <c r="K73" s="369">
        <v>31.757524125000003</v>
      </c>
      <c r="L73" s="77"/>
      <c r="M73" s="377">
        <f>M68+M69</f>
        <v>15958.219799999963</v>
      </c>
      <c r="N73" s="67"/>
      <c r="O73" s="367">
        <f>M73/E73</f>
        <v>4.205125809682307E-3</v>
      </c>
      <c r="P73" s="368"/>
      <c r="Q73" s="367">
        <f>(M73-M69)/(E73-E69)</f>
        <v>6.9138732816291879E-3</v>
      </c>
    </row>
    <row r="74" spans="1:17">
      <c r="A74" s="71">
        <f>A73+1</f>
        <v>42</v>
      </c>
      <c r="B74" s="67"/>
      <c r="C74" s="67" t="s">
        <v>1034</v>
      </c>
      <c r="D74" s="67"/>
      <c r="E74" s="81"/>
      <c r="F74" s="71"/>
      <c r="G74" s="77"/>
      <c r="H74" s="71"/>
      <c r="I74" s="81"/>
      <c r="J74" s="71"/>
      <c r="K74" s="77"/>
      <c r="L74" s="77"/>
      <c r="M74" s="82"/>
      <c r="N74" s="67"/>
      <c r="O74" s="327">
        <v>8.1966461208599021E-3</v>
      </c>
      <c r="P74" s="368"/>
      <c r="Q74" s="327">
        <v>3.4682683609171622E-2</v>
      </c>
    </row>
    <row r="75" spans="1:17">
      <c r="A75" s="71"/>
      <c r="B75" s="67"/>
      <c r="C75" s="67"/>
      <c r="D75" s="67"/>
      <c r="E75" s="81"/>
      <c r="F75" s="71"/>
      <c r="G75" s="77"/>
      <c r="H75" s="71"/>
      <c r="I75" s="81"/>
      <c r="J75" s="71"/>
      <c r="K75" s="77"/>
      <c r="L75" s="77"/>
      <c r="M75" s="82"/>
      <c r="N75" s="67"/>
      <c r="O75" s="327"/>
      <c r="P75" s="368"/>
      <c r="Q75" s="327"/>
    </row>
    <row r="76" spans="1:17">
      <c r="A76" s="71"/>
      <c r="B76" s="67"/>
      <c r="C76" s="67"/>
      <c r="D76" s="67"/>
      <c r="E76" s="67"/>
      <c r="F76" s="67"/>
      <c r="G76" s="67"/>
      <c r="H76" s="67"/>
      <c r="I76" s="67"/>
      <c r="J76" s="67"/>
      <c r="K76" s="67"/>
      <c r="L76" s="67"/>
      <c r="M76" s="82"/>
      <c r="N76" s="67"/>
      <c r="O76" s="368"/>
      <c r="P76" s="368"/>
      <c r="Q76" s="368"/>
    </row>
    <row r="77" spans="1:17">
      <c r="A77" s="1184" t="s">
        <v>1018</v>
      </c>
      <c r="B77" s="1184"/>
      <c r="C77" s="1184"/>
      <c r="D77" s="1184"/>
      <c r="E77" s="1184"/>
      <c r="F77" s="1184"/>
      <c r="G77" s="1184"/>
      <c r="H77" s="1184"/>
      <c r="I77" s="1184"/>
      <c r="J77" s="1184"/>
      <c r="K77" s="1184"/>
      <c r="L77" s="1184"/>
      <c r="M77" s="1184"/>
      <c r="N77" s="1184"/>
      <c r="O77" s="1184"/>
      <c r="P77" s="1184"/>
      <c r="Q77" s="1184"/>
    </row>
    <row r="78" spans="1:17">
      <c r="A78" s="1184" t="s">
        <v>145</v>
      </c>
      <c r="B78" s="1184"/>
      <c r="C78" s="1184"/>
      <c r="D78" s="1184"/>
      <c r="E78" s="1184"/>
      <c r="F78" s="1184"/>
      <c r="G78" s="1184"/>
      <c r="H78" s="1184"/>
      <c r="I78" s="1184"/>
      <c r="J78" s="1184"/>
      <c r="K78" s="1184"/>
      <c r="L78" s="1184"/>
      <c r="M78" s="1184"/>
      <c r="N78" s="1184"/>
      <c r="O78" s="1184"/>
      <c r="P78" s="1184"/>
      <c r="Q78" s="1184"/>
    </row>
    <row r="79" spans="1:17">
      <c r="A79" s="86"/>
      <c r="B79" s="86"/>
      <c r="C79" s="86"/>
      <c r="D79" s="86"/>
      <c r="E79" s="86"/>
      <c r="F79" s="86"/>
      <c r="G79" s="86"/>
      <c r="H79" s="86"/>
      <c r="I79" s="86"/>
      <c r="J79" s="86"/>
      <c r="K79" s="86"/>
      <c r="L79" s="86"/>
      <c r="M79" s="86"/>
      <c r="N79" s="86"/>
      <c r="O79" s="86"/>
      <c r="P79" s="86"/>
      <c r="Q79" s="86"/>
    </row>
    <row r="80" spans="1:17">
      <c r="A80" s="71"/>
      <c r="B80" s="67"/>
      <c r="C80" s="67"/>
      <c r="D80" s="67"/>
      <c r="E80" s="1185" t="s">
        <v>985</v>
      </c>
      <c r="F80" s="1185"/>
      <c r="G80" s="1185"/>
      <c r="H80" s="67"/>
      <c r="I80" s="1185" t="s">
        <v>986</v>
      </c>
      <c r="J80" s="1185"/>
      <c r="K80" s="1185"/>
      <c r="L80" s="1185"/>
      <c r="M80" s="1185"/>
      <c r="N80" s="67"/>
      <c r="O80" s="1185" t="s">
        <v>987</v>
      </c>
      <c r="P80" s="1185"/>
      <c r="Q80" s="1185"/>
    </row>
    <row r="81" spans="1:17">
      <c r="A81" s="71"/>
      <c r="B81" s="67"/>
      <c r="C81" s="67"/>
      <c r="D81" s="67"/>
      <c r="E81" s="71"/>
      <c r="F81" s="71"/>
      <c r="G81" s="71"/>
      <c r="H81" s="67"/>
      <c r="I81" s="71"/>
      <c r="J81" s="71"/>
      <c r="K81" s="71"/>
      <c r="L81" s="71"/>
      <c r="M81" s="71" t="s">
        <v>988</v>
      </c>
      <c r="N81" s="67"/>
      <c r="O81" s="71" t="s">
        <v>989</v>
      </c>
      <c r="P81" s="71"/>
      <c r="Q81" s="71" t="s">
        <v>990</v>
      </c>
    </row>
    <row r="82" spans="1:17">
      <c r="A82" s="71" t="s">
        <v>56</v>
      </c>
      <c r="B82" s="67"/>
      <c r="C82" s="67"/>
      <c r="D82" s="67"/>
      <c r="E82" s="71" t="s">
        <v>988</v>
      </c>
      <c r="F82" s="71"/>
      <c r="G82" s="71" t="s">
        <v>991</v>
      </c>
      <c r="H82" s="67"/>
      <c r="I82" s="71" t="s">
        <v>988</v>
      </c>
      <c r="J82" s="71"/>
      <c r="K82" s="71" t="s">
        <v>991</v>
      </c>
      <c r="L82" s="71"/>
      <c r="M82" s="71" t="s">
        <v>845</v>
      </c>
      <c r="N82" s="67"/>
      <c r="O82" s="71" t="s">
        <v>992</v>
      </c>
      <c r="P82" s="67"/>
      <c r="Q82" s="71" t="s">
        <v>992</v>
      </c>
    </row>
    <row r="83" spans="1:17" ht="15.6">
      <c r="A83" s="74" t="s">
        <v>57</v>
      </c>
      <c r="B83" s="67"/>
      <c r="C83" s="360" t="s">
        <v>194</v>
      </c>
      <c r="D83" s="67"/>
      <c r="E83" s="74" t="s">
        <v>993</v>
      </c>
      <c r="F83" s="71"/>
      <c r="G83" s="74" t="s">
        <v>247</v>
      </c>
      <c r="H83" s="67"/>
      <c r="I83" s="74" t="s">
        <v>993</v>
      </c>
      <c r="J83" s="71"/>
      <c r="K83" s="74" t="s">
        <v>247</v>
      </c>
      <c r="L83" s="71"/>
      <c r="M83" s="74" t="s">
        <v>993</v>
      </c>
      <c r="N83" s="67"/>
      <c r="O83" s="74" t="s">
        <v>249</v>
      </c>
      <c r="P83" s="71"/>
      <c r="Q83" s="74" t="s">
        <v>249</v>
      </c>
    </row>
    <row r="84" spans="1:17">
      <c r="D84" s="67"/>
      <c r="E84" s="71" t="s">
        <v>9</v>
      </c>
      <c r="F84" s="71"/>
      <c r="G84" s="71" t="s">
        <v>10</v>
      </c>
      <c r="H84" s="71"/>
      <c r="I84" s="71" t="s">
        <v>58</v>
      </c>
      <c r="J84" s="71"/>
      <c r="K84" s="71" t="s">
        <v>12</v>
      </c>
      <c r="L84" s="71"/>
      <c r="M84" s="71" t="s">
        <v>994</v>
      </c>
      <c r="N84" s="71"/>
      <c r="O84" s="71" t="s">
        <v>995</v>
      </c>
      <c r="P84" s="71"/>
      <c r="Q84" s="71" t="s">
        <v>209</v>
      </c>
    </row>
    <row r="85" spans="1:17">
      <c r="A85" s="71"/>
      <c r="B85" s="67"/>
      <c r="C85" s="67"/>
      <c r="D85" s="67"/>
      <c r="E85" s="71"/>
      <c r="F85" s="71"/>
      <c r="G85" s="71"/>
      <c r="H85" s="71"/>
      <c r="I85" s="71"/>
      <c r="J85" s="71"/>
      <c r="K85" s="71"/>
      <c r="L85" s="71"/>
      <c r="M85" s="376"/>
      <c r="N85" s="71"/>
      <c r="O85" s="372"/>
      <c r="P85" s="372"/>
      <c r="Q85" s="372"/>
    </row>
    <row r="86" spans="1:17" ht="15.6">
      <c r="A86" s="71"/>
      <c r="B86" s="67"/>
      <c r="C86" s="76" t="s">
        <v>1082</v>
      </c>
      <c r="D86" s="67"/>
      <c r="E86" s="67" t="s">
        <v>1083</v>
      </c>
      <c r="F86" s="67"/>
      <c r="G86" s="67"/>
      <c r="H86" s="67"/>
      <c r="I86" s="67"/>
      <c r="J86" s="67"/>
      <c r="K86" s="67"/>
      <c r="L86" s="67"/>
      <c r="M86" s="82"/>
      <c r="N86" s="67"/>
      <c r="O86" s="368"/>
      <c r="P86" s="368"/>
      <c r="Q86" s="368"/>
    </row>
    <row r="87" spans="1:17">
      <c r="A87" s="71">
        <f>A74+1</f>
        <v>43</v>
      </c>
      <c r="B87" s="67"/>
      <c r="C87" s="67" t="s">
        <v>998</v>
      </c>
      <c r="D87" s="67"/>
      <c r="E87" s="81">
        <v>38469.06</v>
      </c>
      <c r="F87" s="363"/>
      <c r="G87" s="77">
        <v>4.6629163636363637</v>
      </c>
      <c r="H87" s="77"/>
      <c r="I87" s="81">
        <v>38552.7402</v>
      </c>
      <c r="J87" s="71"/>
      <c r="K87" s="77">
        <v>4.6730594181818175</v>
      </c>
      <c r="L87" s="77"/>
      <c r="M87" s="82">
        <f>I87-E87</f>
        <v>83.680200000002515</v>
      </c>
      <c r="N87" s="77"/>
      <c r="O87" s="325">
        <f>M87/E87</f>
        <v>2.1752598061923665E-3</v>
      </c>
      <c r="P87" s="327"/>
      <c r="Q87" s="325">
        <f>O87</f>
        <v>2.1752598061923665E-3</v>
      </c>
    </row>
    <row r="88" spans="1:17">
      <c r="A88" s="71">
        <f>A87+1</f>
        <v>44</v>
      </c>
      <c r="B88" s="67"/>
      <c r="C88" s="67" t="s">
        <v>999</v>
      </c>
      <c r="D88" s="67"/>
      <c r="E88" s="81">
        <v>102217.5</v>
      </c>
      <c r="F88" s="363"/>
      <c r="G88" s="77">
        <v>12.389999999999999</v>
      </c>
      <c r="H88" s="77"/>
      <c r="I88" s="81">
        <v>102217.5</v>
      </c>
      <c r="J88" s="363"/>
      <c r="K88" s="77">
        <v>12.389999999999999</v>
      </c>
      <c r="L88" s="77"/>
      <c r="M88" s="82">
        <f>I88-E88</f>
        <v>0</v>
      </c>
      <c r="N88" s="77"/>
      <c r="O88" s="326">
        <f>IFERROR(M88/E88,"100.0%")</f>
        <v>0</v>
      </c>
      <c r="P88" s="327"/>
      <c r="Q88" s="326">
        <f>O88</f>
        <v>0</v>
      </c>
    </row>
    <row r="89" spans="1:17">
      <c r="A89" s="71">
        <f>A88+1</f>
        <v>45</v>
      </c>
      <c r="B89" s="67"/>
      <c r="C89" s="67" t="s">
        <v>1001</v>
      </c>
      <c r="D89" s="67"/>
      <c r="E89" s="81">
        <v>127068.15</v>
      </c>
      <c r="F89" s="363"/>
      <c r="G89" s="77">
        <v>15.402199999999999</v>
      </c>
      <c r="H89" s="67"/>
      <c r="I89" s="81">
        <v>127051.65000000002</v>
      </c>
      <c r="J89" s="71"/>
      <c r="K89" s="77">
        <v>15.400200000000003</v>
      </c>
      <c r="L89" s="77"/>
      <c r="M89" s="82">
        <f>I89-E89</f>
        <v>-16.499999999970896</v>
      </c>
      <c r="N89" s="67"/>
      <c r="O89" s="325">
        <f>M89/E89</f>
        <v>-1.2985157964423734E-4</v>
      </c>
      <c r="P89" s="327"/>
      <c r="Q89" s="325">
        <f>O89</f>
        <v>-1.2985157964423734E-4</v>
      </c>
    </row>
    <row r="90" spans="1:17">
      <c r="A90" s="71">
        <f>A89+1</f>
        <v>46</v>
      </c>
      <c r="B90" s="67"/>
      <c r="C90" s="67" t="s">
        <v>1002</v>
      </c>
      <c r="D90" s="67"/>
      <c r="E90" s="364">
        <f>SUM(E87:E89)</f>
        <v>267754.70999999996</v>
      </c>
      <c r="F90" s="71"/>
      <c r="G90" s="369">
        <v>32.455116363636364</v>
      </c>
      <c r="H90" s="71"/>
      <c r="I90" s="364">
        <f>SUM(I87:I89)</f>
        <v>267821.89020000002</v>
      </c>
      <c r="J90" s="363"/>
      <c r="K90" s="369">
        <v>32.463259418181821</v>
      </c>
      <c r="L90" s="77"/>
      <c r="M90" s="377">
        <f>SUM(M87:M89)</f>
        <v>67.180200000031618</v>
      </c>
      <c r="N90" s="67"/>
      <c r="O90" s="367">
        <f>M90/E90</f>
        <v>2.5090202895042117E-4</v>
      </c>
      <c r="P90" s="368"/>
      <c r="Q90" s="367">
        <f>(M90-M88)/(E90-E88)</f>
        <v>4.058314139765412E-4</v>
      </c>
    </row>
    <row r="91" spans="1:17">
      <c r="A91" s="71"/>
      <c r="B91" s="67"/>
      <c r="C91" s="67"/>
      <c r="D91" s="67"/>
      <c r="E91" s="81"/>
      <c r="F91" s="71"/>
      <c r="G91" s="77"/>
      <c r="H91" s="71"/>
      <c r="I91" s="81"/>
      <c r="J91" s="71"/>
      <c r="K91" s="77"/>
      <c r="L91" s="77"/>
      <c r="M91" s="82"/>
      <c r="N91" s="67"/>
      <c r="O91" s="368"/>
      <c r="P91" s="368"/>
      <c r="Q91" s="368"/>
    </row>
    <row r="92" spans="1:17">
      <c r="A92" s="71">
        <f>A90+1</f>
        <v>47</v>
      </c>
      <c r="B92" s="67"/>
      <c r="C92" s="67" t="s">
        <v>1033</v>
      </c>
      <c r="D92" s="67"/>
      <c r="E92" s="364">
        <f>SUM(E87:E88)+I89</f>
        <v>267738.21000000002</v>
      </c>
      <c r="F92" s="71"/>
      <c r="G92" s="369">
        <v>32.453116363636362</v>
      </c>
      <c r="H92" s="71"/>
      <c r="I92" s="364">
        <f>SUM(I87:I89)</f>
        <v>267821.89020000002</v>
      </c>
      <c r="J92" s="363"/>
      <c r="K92" s="369">
        <v>32.463259418181821</v>
      </c>
      <c r="L92" s="77"/>
      <c r="M92" s="377">
        <f>M87+M88</f>
        <v>83.680200000002515</v>
      </c>
      <c r="N92" s="67"/>
      <c r="O92" s="367">
        <f>M92/E92</f>
        <v>3.1254485491630989E-4</v>
      </c>
      <c r="P92" s="368"/>
      <c r="Q92" s="367">
        <f>(M92-M88)/(E92-E88)</f>
        <v>5.0555728041525743E-4</v>
      </c>
    </row>
    <row r="93" spans="1:17">
      <c r="A93" s="71">
        <f>A92+1</f>
        <v>48</v>
      </c>
      <c r="B93" s="67"/>
      <c r="C93" s="67" t="s">
        <v>1034</v>
      </c>
      <c r="D93" s="67"/>
      <c r="E93" s="81"/>
      <c r="F93" s="71"/>
      <c r="G93" s="77"/>
      <c r="H93" s="71"/>
      <c r="I93" s="81"/>
      <c r="J93" s="71"/>
      <c r="K93" s="77"/>
      <c r="L93" s="77"/>
      <c r="M93" s="82"/>
      <c r="N93" s="67"/>
      <c r="O93" s="327">
        <v>5.947988208681817E-4</v>
      </c>
      <c r="P93" s="368"/>
      <c r="Q93" s="327">
        <v>2.1752598061923192E-3</v>
      </c>
    </row>
    <row r="94" spans="1:17">
      <c r="A94" s="71"/>
      <c r="B94" s="67"/>
      <c r="C94" s="67"/>
      <c r="D94" s="67"/>
      <c r="E94" s="67"/>
      <c r="F94" s="67"/>
      <c r="G94" s="67"/>
      <c r="H94" s="67"/>
      <c r="I94" s="67"/>
      <c r="J94" s="67"/>
      <c r="K94" s="67"/>
      <c r="L94" s="67"/>
      <c r="M94" s="82"/>
      <c r="N94" s="67"/>
      <c r="O94" s="368"/>
      <c r="P94" s="368"/>
      <c r="Q94" s="368"/>
    </row>
    <row r="95" spans="1:17" ht="15.6">
      <c r="A95" s="71"/>
      <c r="B95" s="67"/>
      <c r="C95" s="76" t="s">
        <v>1084</v>
      </c>
      <c r="D95" s="67"/>
      <c r="E95" s="67" t="s">
        <v>1085</v>
      </c>
      <c r="F95" s="67"/>
      <c r="G95" s="67"/>
      <c r="H95" s="67"/>
      <c r="I95" s="67"/>
      <c r="J95" s="67"/>
      <c r="K95" s="67"/>
      <c r="L95" s="67"/>
      <c r="M95" s="82"/>
      <c r="N95" s="67"/>
      <c r="O95" s="368"/>
      <c r="P95" s="368"/>
      <c r="Q95" s="368"/>
    </row>
    <row r="96" spans="1:17">
      <c r="A96" s="71">
        <f>A93+1</f>
        <v>49</v>
      </c>
      <c r="B96" s="67"/>
      <c r="C96" s="67" t="s">
        <v>998</v>
      </c>
      <c r="D96" s="67"/>
      <c r="E96" s="81">
        <v>224616.06</v>
      </c>
      <c r="F96" s="363"/>
      <c r="G96" s="77">
        <v>3.4556316923076924</v>
      </c>
      <c r="H96" s="77"/>
      <c r="I96" s="81">
        <v>223570.41519999999</v>
      </c>
      <c r="J96" s="71"/>
      <c r="K96" s="77">
        <v>3.439544849230769</v>
      </c>
      <c r="L96" s="77"/>
      <c r="M96" s="82">
        <f>I96-E96</f>
        <v>-1045.6448000000091</v>
      </c>
      <c r="N96" s="77"/>
      <c r="O96" s="325">
        <f>M96/E96</f>
        <v>-4.6552539475583762E-3</v>
      </c>
      <c r="P96" s="327"/>
      <c r="Q96" s="325">
        <f>O96</f>
        <v>-4.6552539475583762E-3</v>
      </c>
    </row>
    <row r="97" spans="1:17">
      <c r="A97" s="71">
        <f>A96+1</f>
        <v>50</v>
      </c>
      <c r="B97" s="67"/>
      <c r="C97" s="67" t="s">
        <v>999</v>
      </c>
      <c r="D97" s="67"/>
      <c r="E97" s="81">
        <v>805350</v>
      </c>
      <c r="F97" s="363"/>
      <c r="G97" s="77">
        <v>12.389999999999999</v>
      </c>
      <c r="H97" s="77"/>
      <c r="I97" s="81">
        <v>805350</v>
      </c>
      <c r="J97" s="363"/>
      <c r="K97" s="77">
        <v>12.389999999999999</v>
      </c>
      <c r="L97" s="77"/>
      <c r="M97" s="82">
        <f>I97-E97</f>
        <v>0</v>
      </c>
      <c r="N97" s="77"/>
      <c r="O97" s="326">
        <f>IFERROR(M97/E97,"100.0%")</f>
        <v>0</v>
      </c>
      <c r="P97" s="327"/>
      <c r="Q97" s="326">
        <f>O97</f>
        <v>0</v>
      </c>
    </row>
    <row r="98" spans="1:17">
      <c r="A98" s="71">
        <f>A97+1</f>
        <v>51</v>
      </c>
      <c r="B98" s="67"/>
      <c r="C98" s="67" t="s">
        <v>1001</v>
      </c>
      <c r="D98" s="67"/>
      <c r="E98" s="81">
        <v>1001143</v>
      </c>
      <c r="F98" s="363"/>
      <c r="G98" s="77">
        <v>15.402199999999999</v>
      </c>
      <c r="H98" s="67"/>
      <c r="I98" s="81">
        <v>1001013.0000000001</v>
      </c>
      <c r="J98" s="71"/>
      <c r="K98" s="77">
        <v>15.400200000000003</v>
      </c>
      <c r="L98" s="77"/>
      <c r="M98" s="82">
        <f>I98-E98</f>
        <v>-129.99999999988358</v>
      </c>
      <c r="N98" s="67"/>
      <c r="O98" s="325">
        <f>M98/E98</f>
        <v>-1.298515796443501E-4</v>
      </c>
      <c r="P98" s="327"/>
      <c r="Q98" s="325">
        <f>O98</f>
        <v>-1.298515796443501E-4</v>
      </c>
    </row>
    <row r="99" spans="1:17">
      <c r="A99" s="71">
        <f>A98+1</f>
        <v>52</v>
      </c>
      <c r="B99" s="67"/>
      <c r="C99" s="67" t="s">
        <v>1002</v>
      </c>
      <c r="D99" s="67"/>
      <c r="E99" s="364">
        <f>SUM(E96:E98)</f>
        <v>2031109.06</v>
      </c>
      <c r="F99" s="71"/>
      <c r="G99" s="369">
        <v>31.247831692307692</v>
      </c>
      <c r="H99" s="71"/>
      <c r="I99" s="364">
        <f>SUM(I96:I98)</f>
        <v>2029933.4152000002</v>
      </c>
      <c r="J99" s="363"/>
      <c r="K99" s="369">
        <v>31.229744849230773</v>
      </c>
      <c r="L99" s="77"/>
      <c r="M99" s="377">
        <f>SUM(M96:M98)</f>
        <v>-1175.6447999998927</v>
      </c>
      <c r="N99" s="67"/>
      <c r="O99" s="367">
        <f>M99/E99</f>
        <v>-5.7881914031730655E-4</v>
      </c>
      <c r="P99" s="368"/>
      <c r="Q99" s="367">
        <f>(M99-M97)/(E99-E97)</f>
        <v>-9.5911573356014413E-4</v>
      </c>
    </row>
    <row r="100" spans="1:17">
      <c r="A100" s="71"/>
      <c r="B100" s="67"/>
      <c r="C100" s="67"/>
      <c r="D100" s="67"/>
      <c r="E100" s="81"/>
      <c r="F100" s="71"/>
      <c r="G100" s="77"/>
      <c r="H100" s="71"/>
      <c r="I100" s="81"/>
      <c r="J100" s="71"/>
      <c r="K100" s="77"/>
      <c r="L100" s="77"/>
      <c r="M100" s="82"/>
      <c r="N100" s="67"/>
      <c r="O100" s="368"/>
      <c r="P100" s="368"/>
      <c r="Q100" s="368"/>
    </row>
    <row r="101" spans="1:17">
      <c r="A101" s="71">
        <f>A99+1</f>
        <v>53</v>
      </c>
      <c r="B101" s="67"/>
      <c r="C101" s="67" t="s">
        <v>1033</v>
      </c>
      <c r="D101" s="67"/>
      <c r="E101" s="364">
        <f>SUM(E96:E97)+I98</f>
        <v>2030979.06</v>
      </c>
      <c r="F101" s="71"/>
      <c r="G101" s="369">
        <v>31.245831692307689</v>
      </c>
      <c r="H101" s="71"/>
      <c r="I101" s="364">
        <f>SUM(I96:I98)</f>
        <v>2029933.4152000002</v>
      </c>
      <c r="J101" s="363"/>
      <c r="K101" s="369">
        <v>31.229744849230773</v>
      </c>
      <c r="L101" s="77"/>
      <c r="M101" s="377">
        <f>M96+M97</f>
        <v>-1045.6448000000091</v>
      </c>
      <c r="N101" s="67"/>
      <c r="O101" s="367">
        <f>M101/E101</f>
        <v>-5.1484765185122548E-4</v>
      </c>
      <c r="P101" s="368"/>
      <c r="Q101" s="367">
        <f>(M101-M97)/(E101-E97)</f>
        <v>-8.5314948390666342E-4</v>
      </c>
    </row>
    <row r="102" spans="1:17">
      <c r="A102" s="71">
        <f>A101+1</f>
        <v>54</v>
      </c>
      <c r="B102" s="67"/>
      <c r="C102" s="67" t="s">
        <v>1034</v>
      </c>
      <c r="D102" s="67"/>
      <c r="E102" s="81"/>
      <c r="F102" s="71"/>
      <c r="G102" s="77"/>
      <c r="H102" s="71"/>
      <c r="I102" s="81"/>
      <c r="J102" s="71"/>
      <c r="K102" s="77"/>
      <c r="L102" s="77"/>
      <c r="M102" s="82"/>
      <c r="N102" s="67"/>
      <c r="O102" s="327">
        <v>-1.0152225792760588E-3</v>
      </c>
      <c r="P102" s="368"/>
      <c r="Q102" s="327">
        <v>-4.6552539475583363E-3</v>
      </c>
    </row>
    <row r="103" spans="1:17">
      <c r="A103" s="71"/>
      <c r="B103" s="67"/>
      <c r="C103" s="67"/>
      <c r="D103" s="67"/>
      <c r="E103" s="67"/>
      <c r="F103" s="67"/>
      <c r="G103" s="67"/>
      <c r="H103" s="67"/>
      <c r="I103" s="67"/>
      <c r="J103" s="67"/>
      <c r="K103" s="67"/>
      <c r="L103" s="67"/>
      <c r="M103" s="82"/>
      <c r="N103" s="67"/>
      <c r="O103" s="368"/>
      <c r="P103" s="368"/>
      <c r="Q103" s="368"/>
    </row>
    <row r="104" spans="1:17" ht="15.6">
      <c r="A104" s="71"/>
      <c r="B104" s="67"/>
      <c r="C104" s="76" t="s">
        <v>1086</v>
      </c>
      <c r="D104" s="67"/>
      <c r="E104" s="67" t="s">
        <v>1087</v>
      </c>
      <c r="F104" s="67"/>
      <c r="G104" s="67"/>
      <c r="H104" s="67"/>
      <c r="I104" s="67"/>
      <c r="J104" s="67"/>
      <c r="K104" s="67"/>
      <c r="L104" s="67"/>
      <c r="M104" s="82"/>
      <c r="N104" s="67"/>
      <c r="O104" s="368"/>
      <c r="P104" s="368"/>
      <c r="Q104" s="368"/>
    </row>
    <row r="105" spans="1:17">
      <c r="A105" s="71">
        <f>A102+1</f>
        <v>55</v>
      </c>
      <c r="B105" s="67"/>
      <c r="C105" s="67" t="s">
        <v>998</v>
      </c>
      <c r="D105" s="67"/>
      <c r="E105" s="81">
        <v>818976.24</v>
      </c>
      <c r="F105" s="363"/>
      <c r="G105" s="77">
        <v>2.274934</v>
      </c>
      <c r="H105" s="77"/>
      <c r="I105" s="81">
        <v>881950.32000000007</v>
      </c>
      <c r="J105" s="71"/>
      <c r="K105" s="77">
        <v>2.4498620000000004</v>
      </c>
      <c r="L105" s="77"/>
      <c r="M105" s="82">
        <f>I105-E105</f>
        <v>62974.080000000075</v>
      </c>
      <c r="N105" s="77"/>
      <c r="O105" s="325">
        <f>M105/E105</f>
        <v>7.6893659332534572E-2</v>
      </c>
      <c r="P105" s="327"/>
      <c r="Q105" s="325">
        <f>O105</f>
        <v>7.6893659332534572E-2</v>
      </c>
    </row>
    <row r="106" spans="1:17">
      <c r="A106" s="71">
        <f>A105+1</f>
        <v>56</v>
      </c>
      <c r="B106" s="67"/>
      <c r="C106" s="67" t="s">
        <v>999</v>
      </c>
      <c r="D106" s="67"/>
      <c r="E106" s="81">
        <v>4460400</v>
      </c>
      <c r="F106" s="363"/>
      <c r="G106" s="77">
        <v>12.389999999999999</v>
      </c>
      <c r="H106" s="77"/>
      <c r="I106" s="81">
        <v>4460400</v>
      </c>
      <c r="J106" s="363"/>
      <c r="K106" s="77">
        <v>12.389999999999999</v>
      </c>
      <c r="L106" s="77"/>
      <c r="M106" s="82">
        <f>I106-E106</f>
        <v>0</v>
      </c>
      <c r="N106" s="77"/>
      <c r="O106" s="326">
        <f>IFERROR(M106/E106,"100.0%")</f>
        <v>0</v>
      </c>
      <c r="P106" s="327"/>
      <c r="Q106" s="326">
        <f>O106</f>
        <v>0</v>
      </c>
    </row>
    <row r="107" spans="1:17">
      <c r="A107" s="71">
        <f>A106+1</f>
        <v>57</v>
      </c>
      <c r="B107" s="67"/>
      <c r="C107" s="67" t="s">
        <v>1001</v>
      </c>
      <c r="D107" s="67"/>
      <c r="E107" s="81">
        <v>5544792</v>
      </c>
      <c r="F107" s="363"/>
      <c r="G107" s="77">
        <v>15.402199999999999</v>
      </c>
      <c r="H107" s="67"/>
      <c r="I107" s="81">
        <v>5544072.0000000009</v>
      </c>
      <c r="J107" s="71"/>
      <c r="K107" s="77">
        <v>15.400200000000003</v>
      </c>
      <c r="L107" s="77"/>
      <c r="M107" s="82">
        <f>I107-E107</f>
        <v>-719.99999999906868</v>
      </c>
      <c r="N107" s="67"/>
      <c r="O107" s="325">
        <f>M107/E107</f>
        <v>-1.2985157964429841E-4</v>
      </c>
      <c r="P107" s="327"/>
      <c r="Q107" s="325">
        <f>O107</f>
        <v>-1.2985157964429841E-4</v>
      </c>
    </row>
    <row r="108" spans="1:17">
      <c r="A108" s="71">
        <f>A107+1</f>
        <v>58</v>
      </c>
      <c r="B108" s="67"/>
      <c r="C108" s="67" t="s">
        <v>1002</v>
      </c>
      <c r="D108" s="67"/>
      <c r="E108" s="364">
        <f>SUM(E105:E107)</f>
        <v>10824168.24</v>
      </c>
      <c r="F108" s="71"/>
      <c r="G108" s="369">
        <v>30.067133999999999</v>
      </c>
      <c r="H108" s="71"/>
      <c r="I108" s="364">
        <f>SUM(I105:I107)</f>
        <v>10886422.32</v>
      </c>
      <c r="J108" s="363"/>
      <c r="K108" s="369">
        <v>30.240062000000002</v>
      </c>
      <c r="L108" s="77"/>
      <c r="M108" s="377">
        <f>SUM(M105:M107)</f>
        <v>62254.080000001006</v>
      </c>
      <c r="N108" s="67"/>
      <c r="O108" s="367">
        <f>M108/E108</f>
        <v>5.7513961922677033E-3</v>
      </c>
      <c r="P108" s="368"/>
      <c r="Q108" s="367">
        <f>(M108-M106)/(E108-E106)</f>
        <v>9.7825812713759359E-3</v>
      </c>
    </row>
    <row r="109" spans="1:17">
      <c r="A109" s="71"/>
      <c r="B109" s="67"/>
      <c r="C109" s="67"/>
      <c r="D109" s="67"/>
      <c r="E109" s="81"/>
      <c r="F109" s="71"/>
      <c r="G109" s="77"/>
      <c r="H109" s="71"/>
      <c r="I109" s="81"/>
      <c r="J109" s="71"/>
      <c r="K109" s="77"/>
      <c r="L109" s="77"/>
      <c r="M109" s="82"/>
      <c r="N109" s="67"/>
      <c r="O109" s="368"/>
      <c r="P109" s="368"/>
      <c r="Q109" s="368"/>
    </row>
    <row r="110" spans="1:17">
      <c r="A110" s="71">
        <f>A108+1</f>
        <v>59</v>
      </c>
      <c r="B110" s="67"/>
      <c r="C110" s="67" t="s">
        <v>1033</v>
      </c>
      <c r="D110" s="67"/>
      <c r="E110" s="364">
        <f>SUM(E105:E106)+I107</f>
        <v>10823448.240000002</v>
      </c>
      <c r="F110" s="71"/>
      <c r="G110" s="369">
        <v>30.065134000000004</v>
      </c>
      <c r="H110" s="71"/>
      <c r="I110" s="364">
        <f>SUM(I105:I107)</f>
        <v>10886422.32</v>
      </c>
      <c r="J110" s="363"/>
      <c r="K110" s="369">
        <v>30.240062000000002</v>
      </c>
      <c r="L110" s="77"/>
      <c r="M110" s="377">
        <f>M105+M106</f>
        <v>62974.080000000075</v>
      </c>
      <c r="N110" s="67"/>
      <c r="O110" s="367">
        <f>M110/E110</f>
        <v>5.818301026032353E-3</v>
      </c>
      <c r="P110" s="368"/>
      <c r="Q110" s="367">
        <f>(M110-M106)/(E110-E106)</f>
        <v>9.8968415175805825E-3</v>
      </c>
    </row>
    <row r="111" spans="1:17">
      <c r="A111" s="71">
        <f>A110+1</f>
        <v>60</v>
      </c>
      <c r="B111" s="67"/>
      <c r="C111" s="67" t="s">
        <v>1034</v>
      </c>
      <c r="D111" s="67"/>
      <c r="E111" s="81"/>
      <c r="F111" s="71"/>
      <c r="G111" s="77"/>
      <c r="H111" s="71"/>
      <c r="I111" s="81"/>
      <c r="J111" s="71"/>
      <c r="K111" s="77"/>
      <c r="L111" s="77"/>
      <c r="M111" s="82"/>
      <c r="N111" s="67"/>
      <c r="O111" s="327">
        <v>1.1928318259052531E-2</v>
      </c>
      <c r="P111" s="368"/>
      <c r="Q111" s="327">
        <v>7.6893659332534614E-2</v>
      </c>
    </row>
    <row r="112" spans="1:17">
      <c r="A112" s="71"/>
      <c r="B112" s="67"/>
      <c r="C112" s="67"/>
      <c r="D112" s="67"/>
      <c r="E112" s="67"/>
      <c r="F112" s="67"/>
      <c r="G112" s="67"/>
      <c r="H112" s="67"/>
      <c r="I112" s="67"/>
      <c r="J112" s="67"/>
      <c r="K112" s="67"/>
      <c r="L112" s="67"/>
      <c r="M112" s="82"/>
      <c r="N112" s="67"/>
      <c r="O112" s="368"/>
      <c r="P112" s="368"/>
      <c r="Q112" s="368"/>
    </row>
    <row r="113" spans="1:17" ht="15.6">
      <c r="A113" s="71"/>
      <c r="B113" s="67"/>
      <c r="C113" s="76" t="s">
        <v>1088</v>
      </c>
      <c r="D113" s="67"/>
      <c r="E113" s="67" t="s">
        <v>1089</v>
      </c>
      <c r="F113" s="67"/>
      <c r="G113" s="67"/>
      <c r="H113" s="67"/>
      <c r="I113" s="67"/>
      <c r="J113" s="67"/>
      <c r="K113" s="67"/>
      <c r="L113" s="67"/>
      <c r="M113" s="82"/>
      <c r="N113" s="67"/>
      <c r="O113" s="368"/>
      <c r="P113" s="368"/>
      <c r="Q113" s="368"/>
    </row>
    <row r="114" spans="1:17">
      <c r="A114" s="71">
        <f>A111+1</f>
        <v>61</v>
      </c>
      <c r="B114" s="67"/>
      <c r="C114" s="67" t="s">
        <v>998</v>
      </c>
      <c r="D114" s="67"/>
      <c r="E114" s="81">
        <v>3138848.32</v>
      </c>
      <c r="F114" s="363"/>
      <c r="G114" s="77">
        <v>6.0362467692307682</v>
      </c>
      <c r="H114" s="77"/>
      <c r="I114" s="81">
        <v>3411857.76</v>
      </c>
      <c r="J114" s="71"/>
      <c r="K114" s="77">
        <v>6.5612649230769229</v>
      </c>
      <c r="L114" s="77"/>
      <c r="M114" s="82">
        <f>I114-E114</f>
        <v>273009.43999999994</v>
      </c>
      <c r="N114" s="77"/>
      <c r="O114" s="325">
        <f>M114/E114</f>
        <v>8.6977582911683976E-2</v>
      </c>
      <c r="P114" s="327"/>
      <c r="Q114" s="325">
        <f>O114</f>
        <v>8.6977582911683976E-2</v>
      </c>
    </row>
    <row r="115" spans="1:17">
      <c r="A115" s="71">
        <f>A114+1</f>
        <v>62</v>
      </c>
      <c r="B115" s="67"/>
      <c r="C115" s="67" t="s">
        <v>999</v>
      </c>
      <c r="D115" s="67"/>
      <c r="E115" s="81">
        <v>6442800</v>
      </c>
      <c r="F115" s="363"/>
      <c r="G115" s="77">
        <v>12.389999999999999</v>
      </c>
      <c r="H115" s="77"/>
      <c r="I115" s="81">
        <v>6442800</v>
      </c>
      <c r="J115" s="363"/>
      <c r="K115" s="77">
        <v>12.389999999999999</v>
      </c>
      <c r="L115" s="77"/>
      <c r="M115" s="82">
        <f>I115-E115</f>
        <v>0</v>
      </c>
      <c r="N115" s="77"/>
      <c r="O115" s="326">
        <f>IFERROR(M115/E115,"100.0%")</f>
        <v>0</v>
      </c>
      <c r="P115" s="327"/>
      <c r="Q115" s="326">
        <f>O115</f>
        <v>0</v>
      </c>
    </row>
    <row r="116" spans="1:17">
      <c r="A116" s="71">
        <f>A115+1</f>
        <v>63</v>
      </c>
      <c r="B116" s="67"/>
      <c r="C116" s="67" t="s">
        <v>1001</v>
      </c>
      <c r="D116" s="67"/>
      <c r="E116" s="81">
        <v>8009144</v>
      </c>
      <c r="F116" s="363"/>
      <c r="G116" s="77">
        <v>15.402199999999999</v>
      </c>
      <c r="H116" s="67"/>
      <c r="I116" s="81">
        <v>8008104.0000000009</v>
      </c>
      <c r="J116" s="71"/>
      <c r="K116" s="77">
        <v>15.400200000000003</v>
      </c>
      <c r="L116" s="77"/>
      <c r="M116" s="82">
        <f>I116-E116</f>
        <v>-1039.9999999990687</v>
      </c>
      <c r="N116" s="67"/>
      <c r="O116" s="325">
        <f>M116/E116</f>
        <v>-1.298515796443501E-4</v>
      </c>
      <c r="P116" s="327"/>
      <c r="Q116" s="325">
        <f>O116</f>
        <v>-1.298515796443501E-4</v>
      </c>
    </row>
    <row r="117" spans="1:17">
      <c r="A117" s="71">
        <f>A116+1</f>
        <v>64</v>
      </c>
      <c r="B117" s="67"/>
      <c r="C117" s="67" t="s">
        <v>1002</v>
      </c>
      <c r="D117" s="67"/>
      <c r="E117" s="364">
        <f>SUM(E114:E116)</f>
        <v>17590792.32</v>
      </c>
      <c r="F117" s="71"/>
      <c r="G117" s="369">
        <v>33.828446769230766</v>
      </c>
      <c r="H117" s="71"/>
      <c r="I117" s="364">
        <f>SUM(I114:I116)</f>
        <v>17862761.760000002</v>
      </c>
      <c r="J117" s="363"/>
      <c r="K117" s="369">
        <v>34.351464923076925</v>
      </c>
      <c r="L117" s="77"/>
      <c r="M117" s="377">
        <f>SUM(M114:M116)</f>
        <v>271969.44000000088</v>
      </c>
      <c r="N117" s="67"/>
      <c r="O117" s="367">
        <f>M117/E117</f>
        <v>1.546089767035581E-2</v>
      </c>
      <c r="P117" s="368"/>
      <c r="Q117" s="367">
        <f>(M117-M115)/(E117-E115)</f>
        <v>2.4396270843502058E-2</v>
      </c>
    </row>
    <row r="118" spans="1:17">
      <c r="A118" s="71"/>
      <c r="B118" s="67"/>
      <c r="C118" s="67"/>
      <c r="D118" s="67"/>
      <c r="E118" s="81"/>
      <c r="F118" s="71"/>
      <c r="G118" s="77"/>
      <c r="H118" s="71"/>
      <c r="I118" s="81"/>
      <c r="J118" s="71"/>
      <c r="K118" s="77"/>
      <c r="L118" s="77"/>
      <c r="M118" s="82"/>
      <c r="N118" s="67"/>
      <c r="O118" s="368"/>
      <c r="P118" s="368"/>
      <c r="Q118" s="368"/>
    </row>
    <row r="119" spans="1:17">
      <c r="A119" s="71">
        <f>A117+1</f>
        <v>65</v>
      </c>
      <c r="B119" s="67"/>
      <c r="C119" s="67" t="s">
        <v>1033</v>
      </c>
      <c r="D119" s="67"/>
      <c r="E119" s="364">
        <f>SUM(E114:E115)+I116</f>
        <v>17589752.32</v>
      </c>
      <c r="F119" s="71"/>
      <c r="G119" s="369">
        <v>33.82644676923077</v>
      </c>
      <c r="H119" s="71"/>
      <c r="I119" s="364">
        <f>SUM(I114:I116)</f>
        <v>17862761.760000002</v>
      </c>
      <c r="J119" s="363"/>
      <c r="K119" s="369">
        <v>34.351464923076925</v>
      </c>
      <c r="L119" s="77"/>
      <c r="M119" s="377">
        <f>M114+M115</f>
        <v>273009.43999999994</v>
      </c>
      <c r="N119" s="67"/>
      <c r="O119" s="367">
        <f>M119/E119</f>
        <v>1.5520937136197262E-2</v>
      </c>
      <c r="P119" s="368"/>
      <c r="Q119" s="367">
        <f>(M119-M115)/(E119-E115)</f>
        <v>2.4491846036711132E-2</v>
      </c>
    </row>
    <row r="120" spans="1:17">
      <c r="A120" s="71">
        <f>A119+1</f>
        <v>66</v>
      </c>
      <c r="B120" s="67"/>
      <c r="C120" s="67" t="s">
        <v>1034</v>
      </c>
      <c r="D120" s="67"/>
      <c r="E120" s="81"/>
      <c r="F120" s="71"/>
      <c r="G120" s="77"/>
      <c r="H120" s="71"/>
      <c r="I120" s="81"/>
      <c r="J120" s="71"/>
      <c r="K120" s="77"/>
      <c r="L120" s="77"/>
      <c r="M120" s="82"/>
      <c r="N120" s="67"/>
      <c r="O120" s="327">
        <v>2.8492951409011841E-2</v>
      </c>
      <c r="P120" s="368"/>
      <c r="Q120" s="327">
        <v>8.6977582911683976E-2</v>
      </c>
    </row>
    <row r="121" spans="1:17">
      <c r="A121" s="71"/>
      <c r="B121" s="67"/>
      <c r="C121" s="67"/>
      <c r="D121" s="67"/>
      <c r="E121" s="67"/>
      <c r="F121" s="67"/>
      <c r="G121" s="67"/>
      <c r="H121" s="67"/>
      <c r="I121" s="67"/>
      <c r="J121" s="67"/>
      <c r="K121" s="67"/>
      <c r="L121" s="67"/>
      <c r="M121" s="82"/>
      <c r="N121" s="67"/>
      <c r="O121" s="368"/>
      <c r="P121" s="368"/>
      <c r="Q121" s="368"/>
    </row>
    <row r="122" spans="1:17" ht="15.6">
      <c r="A122" s="71"/>
      <c r="B122" s="67"/>
      <c r="C122" s="76" t="s">
        <v>1090</v>
      </c>
      <c r="D122" s="67"/>
      <c r="E122" s="67" t="s">
        <v>1091</v>
      </c>
      <c r="F122" s="67"/>
      <c r="G122" s="67"/>
      <c r="H122" s="67"/>
      <c r="I122" s="67"/>
      <c r="J122" s="67"/>
      <c r="K122" s="67"/>
      <c r="L122" s="67"/>
      <c r="M122" s="82"/>
      <c r="N122" s="67"/>
      <c r="O122" s="368"/>
      <c r="P122" s="368"/>
      <c r="Q122" s="368"/>
    </row>
    <row r="123" spans="1:17">
      <c r="A123" s="71">
        <f>A120+1</f>
        <v>67</v>
      </c>
      <c r="B123" s="67"/>
      <c r="C123" s="67" t="s">
        <v>998</v>
      </c>
      <c r="D123" s="67"/>
      <c r="E123" s="81">
        <v>205335.69011200001</v>
      </c>
      <c r="F123" s="363"/>
      <c r="G123" s="77">
        <v>2.9544703613237413</v>
      </c>
      <c r="H123" s="77"/>
      <c r="I123" s="81">
        <v>210716.08191599997</v>
      </c>
      <c r="J123" s="71"/>
      <c r="K123" s="77">
        <v>3.0318860707338127</v>
      </c>
      <c r="L123" s="77"/>
      <c r="M123" s="82">
        <f>I123-E123</f>
        <v>5380.3918039999553</v>
      </c>
      <c r="N123" s="77"/>
      <c r="O123" s="327"/>
      <c r="P123" s="327"/>
      <c r="Q123" s="325">
        <f>M123/E123</f>
        <v>2.6202906085470233E-2</v>
      </c>
    </row>
    <row r="124" spans="1:17">
      <c r="A124" s="71">
        <f>A123+1</f>
        <v>68</v>
      </c>
      <c r="B124" s="67"/>
      <c r="C124" s="67" t="s">
        <v>1001</v>
      </c>
      <c r="D124" s="67"/>
      <c r="E124" s="81">
        <v>1070452.8999999999</v>
      </c>
      <c r="F124" s="363"/>
      <c r="G124" s="77">
        <v>15.402199999999999</v>
      </c>
      <c r="H124" s="67"/>
      <c r="I124" s="81">
        <v>1070313.9000000001</v>
      </c>
      <c r="J124" s="71"/>
      <c r="K124" s="77">
        <v>15.400200000000003</v>
      </c>
      <c r="L124" s="378"/>
      <c r="M124" s="82">
        <f>I124-E124</f>
        <v>-138.99999999976717</v>
      </c>
      <c r="N124" s="67"/>
      <c r="O124" s="327"/>
      <c r="P124" s="327"/>
      <c r="Q124" s="325">
        <f>M124/E124</f>
        <v>-1.2985157964424889E-4</v>
      </c>
    </row>
    <row r="125" spans="1:17">
      <c r="A125" s="71">
        <f>A124+1</f>
        <v>69</v>
      </c>
      <c r="B125" s="67"/>
      <c r="C125" s="67" t="s">
        <v>1002</v>
      </c>
      <c r="D125" s="67"/>
      <c r="E125" s="364">
        <f>SUM(E123:E124)</f>
        <v>1275788.590112</v>
      </c>
      <c r="F125" s="71"/>
      <c r="G125" s="369">
        <v>18.35667036132374</v>
      </c>
      <c r="H125" s="71"/>
      <c r="I125" s="364">
        <f>SUM(I123:I124)</f>
        <v>1281029.9819160001</v>
      </c>
      <c r="J125" s="363"/>
      <c r="K125" s="369">
        <v>18.432086070733813</v>
      </c>
      <c r="L125" s="77"/>
      <c r="M125" s="377">
        <f>SUM(M123:M124)</f>
        <v>5241.3918040001881</v>
      </c>
      <c r="N125" s="67"/>
      <c r="O125" s="368"/>
      <c r="P125" s="368"/>
      <c r="Q125" s="367">
        <f>M125/E125</f>
        <v>4.1083545068701802E-3</v>
      </c>
    </row>
    <row r="126" spans="1:17">
      <c r="A126" s="71"/>
      <c r="B126" s="67"/>
      <c r="C126" s="67"/>
      <c r="D126" s="67"/>
      <c r="E126" s="81"/>
      <c r="F126" s="71"/>
      <c r="G126" s="77"/>
      <c r="H126" s="71"/>
      <c r="I126" s="81"/>
      <c r="J126" s="71"/>
      <c r="K126" s="77"/>
      <c r="L126" s="77"/>
      <c r="M126" s="82"/>
      <c r="N126" s="67"/>
      <c r="O126" s="368"/>
      <c r="P126" s="368"/>
      <c r="Q126" s="368"/>
    </row>
    <row r="127" spans="1:17">
      <c r="A127" s="71">
        <f>A125+1</f>
        <v>70</v>
      </c>
      <c r="B127" s="67"/>
      <c r="C127" s="67" t="s">
        <v>1033</v>
      </c>
      <c r="D127" s="67"/>
      <c r="E127" s="364">
        <f>SUM(E123)+I124</f>
        <v>1275649.5901120002</v>
      </c>
      <c r="F127" s="71"/>
      <c r="G127" s="369">
        <v>18.354670361323745</v>
      </c>
      <c r="H127" s="71"/>
      <c r="I127" s="364">
        <f>SUM(I123:I124)</f>
        <v>1281029.9819160001</v>
      </c>
      <c r="J127" s="363"/>
      <c r="K127" s="369">
        <v>18.432086070733813</v>
      </c>
      <c r="L127" s="77"/>
      <c r="M127" s="377">
        <f>M123</f>
        <v>5380.3918039999553</v>
      </c>
      <c r="N127" s="67"/>
      <c r="O127" s="368"/>
      <c r="P127" s="368"/>
      <c r="Q127" s="367">
        <f>(M127)/(E127)</f>
        <v>4.2177662625420232E-3</v>
      </c>
    </row>
    <row r="128" spans="1:17">
      <c r="A128" s="71">
        <f>A127+1</f>
        <v>71</v>
      </c>
      <c r="B128" s="67"/>
      <c r="C128" s="67" t="s">
        <v>1034</v>
      </c>
      <c r="D128" s="67"/>
      <c r="E128" s="81"/>
      <c r="F128" s="71"/>
      <c r="G128" s="77"/>
      <c r="H128" s="71"/>
      <c r="I128" s="81"/>
      <c r="J128" s="71"/>
      <c r="K128" s="77"/>
      <c r="L128" s="77"/>
      <c r="M128" s="82"/>
      <c r="N128" s="67"/>
      <c r="O128" s="368"/>
      <c r="P128" s="368"/>
      <c r="Q128" s="325">
        <v>2.6202906085470216E-2</v>
      </c>
    </row>
    <row r="129" spans="1:17">
      <c r="A129" s="71"/>
      <c r="B129" s="67"/>
      <c r="C129" s="67"/>
      <c r="D129" s="67"/>
      <c r="E129" s="67"/>
      <c r="F129" s="67"/>
      <c r="G129" s="67"/>
      <c r="H129" s="67"/>
      <c r="I129" s="67"/>
      <c r="J129" s="67"/>
      <c r="K129" s="67"/>
      <c r="L129" s="67"/>
      <c r="M129" s="82"/>
      <c r="N129" s="67"/>
      <c r="O129" s="368"/>
      <c r="P129" s="368"/>
      <c r="Q129" s="368"/>
    </row>
    <row r="130" spans="1:17" ht="15.6">
      <c r="A130" s="71"/>
      <c r="B130" s="67"/>
      <c r="C130" s="76" t="s">
        <v>1092</v>
      </c>
      <c r="D130" s="67"/>
      <c r="E130" s="67" t="s">
        <v>1093</v>
      </c>
      <c r="F130" s="67"/>
      <c r="G130" s="67"/>
      <c r="H130" s="67"/>
      <c r="I130" s="67"/>
      <c r="J130" s="67"/>
      <c r="K130" s="67"/>
      <c r="L130" s="67"/>
      <c r="M130" s="82"/>
      <c r="N130" s="67"/>
      <c r="O130" s="368"/>
      <c r="P130" s="368"/>
      <c r="Q130" s="368"/>
    </row>
    <row r="131" spans="1:17">
      <c r="A131" s="71">
        <f>A128+1</f>
        <v>72</v>
      </c>
      <c r="B131" s="67"/>
      <c r="C131" s="67" t="s">
        <v>998</v>
      </c>
      <c r="D131" s="67"/>
      <c r="E131" s="81">
        <v>610007.24280000001</v>
      </c>
      <c r="F131" s="363"/>
      <c r="G131" s="77">
        <v>3.0231303538507284</v>
      </c>
      <c r="H131" s="77"/>
      <c r="I131" s="81">
        <v>626009.94839999999</v>
      </c>
      <c r="J131" s="71"/>
      <c r="K131" s="77">
        <v>3.1024380434136187</v>
      </c>
      <c r="L131" s="77"/>
      <c r="M131" s="82">
        <f>I131-E131</f>
        <v>16002.705599999987</v>
      </c>
      <c r="N131" s="77"/>
      <c r="O131" s="327"/>
      <c r="P131" s="327"/>
      <c r="Q131" s="325">
        <f>M131/E131</f>
        <v>2.623363212303155E-2</v>
      </c>
    </row>
    <row r="132" spans="1:17">
      <c r="A132" s="71">
        <f>A131+1</f>
        <v>73</v>
      </c>
      <c r="B132" s="67"/>
      <c r="C132" s="67" t="s">
        <v>1001</v>
      </c>
      <c r="D132" s="67"/>
      <c r="E132" s="81">
        <v>3107855.9160000002</v>
      </c>
      <c r="F132" s="363"/>
      <c r="G132" s="77">
        <v>15.402200000000002</v>
      </c>
      <c r="H132" s="67"/>
      <c r="I132" s="81">
        <v>3107452.3560000001</v>
      </c>
      <c r="J132" s="71"/>
      <c r="K132" s="77">
        <v>15.4002</v>
      </c>
      <c r="L132" s="378"/>
      <c r="M132" s="82">
        <f>I132-E132</f>
        <v>-403.56000000005588</v>
      </c>
      <c r="N132" s="67"/>
      <c r="O132" s="327"/>
      <c r="P132" s="327"/>
      <c r="Q132" s="325">
        <f>M132/E132</f>
        <v>-1.2985157964448435E-4</v>
      </c>
    </row>
    <row r="133" spans="1:17">
      <c r="A133" s="71">
        <f>A132+1</f>
        <v>74</v>
      </c>
      <c r="B133" s="67"/>
      <c r="C133" s="67" t="s">
        <v>1002</v>
      </c>
      <c r="D133" s="67"/>
      <c r="E133" s="364">
        <f>SUM(E131:E132)</f>
        <v>3717863.1588000003</v>
      </c>
      <c r="F133" s="71"/>
      <c r="G133" s="369">
        <v>18.425330353850729</v>
      </c>
      <c r="H133" s="71"/>
      <c r="I133" s="364">
        <f>SUM(I131:I132)</f>
        <v>3733462.3044000003</v>
      </c>
      <c r="J133" s="363"/>
      <c r="K133" s="369">
        <v>18.502638043413619</v>
      </c>
      <c r="L133" s="77"/>
      <c r="M133" s="377">
        <f>SUM(M131:M132)</f>
        <v>15599.145599999931</v>
      </c>
      <c r="N133" s="67"/>
      <c r="O133" s="368"/>
      <c r="P133" s="368"/>
      <c r="Q133" s="367">
        <f>M133/E133</f>
        <v>4.1957288188720762E-3</v>
      </c>
    </row>
    <row r="134" spans="1:17">
      <c r="A134" s="71"/>
      <c r="B134" s="67"/>
      <c r="C134" s="67"/>
      <c r="D134" s="67"/>
      <c r="E134" s="81"/>
      <c r="F134" s="71"/>
      <c r="G134" s="77"/>
      <c r="H134" s="71"/>
      <c r="I134" s="81"/>
      <c r="J134" s="71"/>
      <c r="K134" s="77"/>
      <c r="L134" s="77"/>
      <c r="M134" s="82"/>
      <c r="N134" s="67"/>
      <c r="O134" s="368"/>
      <c r="P134" s="368"/>
      <c r="Q134" s="368"/>
    </row>
    <row r="135" spans="1:17">
      <c r="A135" s="71">
        <f>A133+1</f>
        <v>75</v>
      </c>
      <c r="B135" s="67"/>
      <c r="C135" s="67" t="s">
        <v>1033</v>
      </c>
      <c r="D135" s="67"/>
      <c r="E135" s="364">
        <f>SUM(E131)+I132</f>
        <v>3717459.5988000003</v>
      </c>
      <c r="F135" s="71"/>
      <c r="G135" s="369">
        <v>18.42333035385073</v>
      </c>
      <c r="H135" s="71"/>
      <c r="I135" s="364">
        <f>SUM(I131:I132)</f>
        <v>3733462.3044000003</v>
      </c>
      <c r="J135" s="363"/>
      <c r="K135" s="369">
        <v>18.502638043413619</v>
      </c>
      <c r="L135" s="77"/>
      <c r="M135" s="377">
        <f>M131</f>
        <v>16002.705599999987</v>
      </c>
      <c r="N135" s="67"/>
      <c r="O135" s="368"/>
      <c r="P135" s="368"/>
      <c r="Q135" s="367">
        <f>(M135)/(E135)</f>
        <v>4.3047423044397515E-3</v>
      </c>
    </row>
    <row r="136" spans="1:17">
      <c r="A136" s="71">
        <f>A135+1</f>
        <v>76</v>
      </c>
      <c r="B136" s="67"/>
      <c r="C136" s="67" t="s">
        <v>1034</v>
      </c>
      <c r="D136" s="67"/>
      <c r="E136" s="81"/>
      <c r="F136" s="71"/>
      <c r="G136" s="77"/>
      <c r="H136" s="71"/>
      <c r="I136" s="81"/>
      <c r="J136" s="71"/>
      <c r="K136" s="77"/>
      <c r="L136" s="77"/>
      <c r="M136" s="82"/>
      <c r="N136" s="67"/>
      <c r="O136" s="368"/>
      <c r="P136" s="368"/>
      <c r="Q136" s="325">
        <v>2.6233632123031585E-2</v>
      </c>
    </row>
    <row r="137" spans="1:17">
      <c r="A137" s="71"/>
      <c r="B137" s="67"/>
      <c r="C137" s="67"/>
      <c r="D137" s="67"/>
      <c r="E137" s="67"/>
      <c r="F137" s="67"/>
      <c r="G137" s="67"/>
      <c r="H137" s="67"/>
      <c r="I137" s="67"/>
      <c r="J137" s="67"/>
      <c r="K137" s="67"/>
      <c r="L137" s="67"/>
      <c r="M137" s="82"/>
      <c r="N137" s="67"/>
      <c r="O137" s="368"/>
      <c r="P137" s="368"/>
      <c r="Q137" s="368"/>
    </row>
    <row r="138" spans="1:17" ht="15.6">
      <c r="A138" s="71"/>
      <c r="B138" s="67"/>
      <c r="C138" s="76" t="s">
        <v>1094</v>
      </c>
      <c r="D138" s="67"/>
      <c r="E138" s="67" t="s">
        <v>1095</v>
      </c>
      <c r="F138" s="67"/>
      <c r="G138" s="67"/>
      <c r="H138" s="67"/>
      <c r="I138" s="67"/>
      <c r="J138" s="67"/>
      <c r="K138" s="67"/>
      <c r="L138" s="67"/>
      <c r="M138" s="82"/>
      <c r="N138" s="67"/>
      <c r="O138" s="368"/>
      <c r="P138" s="368"/>
      <c r="Q138" s="368"/>
    </row>
    <row r="139" spans="1:17">
      <c r="A139" s="71">
        <f>A136+1</f>
        <v>77</v>
      </c>
      <c r="B139" s="67"/>
      <c r="C139" s="67" t="s">
        <v>998</v>
      </c>
      <c r="D139" s="67"/>
      <c r="E139" s="81">
        <v>177547.18600000005</v>
      </c>
      <c r="F139" s="363"/>
      <c r="G139" s="77">
        <v>2.3556744858697098</v>
      </c>
      <c r="H139" s="77"/>
      <c r="I139" s="81">
        <v>172363.65540000002</v>
      </c>
      <c r="J139" s="363"/>
      <c r="K139" s="77">
        <v>2.2869000318429085</v>
      </c>
      <c r="L139" s="67"/>
      <c r="M139" s="82">
        <f>I139-E139</f>
        <v>-5183.5306000000273</v>
      </c>
      <c r="N139" s="77"/>
      <c r="O139" s="325">
        <f>M139/E139</f>
        <v>-2.9195228135015478E-2</v>
      </c>
      <c r="P139" s="327"/>
      <c r="Q139" s="325">
        <f>O139</f>
        <v>-2.9195228135015478E-2</v>
      </c>
    </row>
    <row r="140" spans="1:17">
      <c r="A140" s="71">
        <f>A139+1</f>
        <v>78</v>
      </c>
      <c r="B140" s="67"/>
      <c r="C140" s="67" t="s">
        <v>999</v>
      </c>
      <c r="D140" s="67"/>
      <c r="E140" s="81">
        <v>933834.3</v>
      </c>
      <c r="F140" s="363"/>
      <c r="G140" s="77">
        <v>12.39</v>
      </c>
      <c r="H140" s="77"/>
      <c r="I140" s="81">
        <v>933834.3</v>
      </c>
      <c r="J140" s="363"/>
      <c r="K140" s="77">
        <v>12.39</v>
      </c>
      <c r="L140" s="77"/>
      <c r="M140" s="82">
        <f>I140-E140</f>
        <v>0</v>
      </c>
      <c r="N140" s="77"/>
      <c r="O140" s="326">
        <f>IFERROR(M140/E140,"100.0%")</f>
        <v>0</v>
      </c>
      <c r="P140" s="327"/>
      <c r="Q140" s="326">
        <f>O140</f>
        <v>0</v>
      </c>
    </row>
    <row r="141" spans="1:17">
      <c r="A141" s="71">
        <f>A140+1</f>
        <v>79</v>
      </c>
      <c r="B141" s="67"/>
      <c r="C141" s="67" t="s">
        <v>1001</v>
      </c>
      <c r="D141" s="67"/>
      <c r="E141" s="81">
        <v>1160863.814</v>
      </c>
      <c r="F141" s="363"/>
      <c r="G141" s="77">
        <v>15.402199999999999</v>
      </c>
      <c r="H141" s="67"/>
      <c r="I141" s="81">
        <v>1160713.074</v>
      </c>
      <c r="J141" s="71"/>
      <c r="K141" s="77">
        <v>15.4002</v>
      </c>
      <c r="L141" s="378"/>
      <c r="M141" s="82">
        <f>I141-E141</f>
        <v>-150.73999999999069</v>
      </c>
      <c r="N141" s="67"/>
      <c r="O141" s="325">
        <f>M141/E141</f>
        <v>-1.2985157964445835E-4</v>
      </c>
      <c r="P141" s="327"/>
      <c r="Q141" s="325">
        <f>O141</f>
        <v>-1.2985157964445835E-4</v>
      </c>
    </row>
    <row r="142" spans="1:17">
      <c r="A142" s="71">
        <f>A141+1</f>
        <v>80</v>
      </c>
      <c r="B142" s="67"/>
      <c r="C142" s="67" t="s">
        <v>1002</v>
      </c>
      <c r="D142" s="67"/>
      <c r="E142" s="364">
        <f>SUM(E139:E141)</f>
        <v>2272245.2999999998</v>
      </c>
      <c r="F142" s="71"/>
      <c r="G142" s="369">
        <v>30.147874485869707</v>
      </c>
      <c r="H142" s="71"/>
      <c r="I142" s="364">
        <f>SUM(I138:I141)</f>
        <v>2266911.0294000003</v>
      </c>
      <c r="J142" s="363"/>
      <c r="K142" s="369">
        <v>30.077100031842914</v>
      </c>
      <c r="L142" s="77"/>
      <c r="M142" s="377">
        <f>SUM(M139:M141)</f>
        <v>-5334.270600000018</v>
      </c>
      <c r="N142" s="67"/>
      <c r="O142" s="367">
        <f>M142/E142</f>
        <v>-2.3475769099401455E-3</v>
      </c>
      <c r="P142" s="368"/>
      <c r="Q142" s="367">
        <f>(M142-M140)/(E142-E140)</f>
        <v>-3.9855250741364341E-3</v>
      </c>
    </row>
    <row r="143" spans="1:17">
      <c r="A143" s="71"/>
      <c r="B143" s="67"/>
      <c r="C143" s="67"/>
      <c r="D143" s="67"/>
      <c r="E143" s="81"/>
      <c r="F143" s="71"/>
      <c r="G143" s="77"/>
      <c r="H143" s="71"/>
      <c r="I143" s="81"/>
      <c r="J143" s="71"/>
      <c r="K143" s="77"/>
      <c r="L143" s="77"/>
      <c r="M143" s="82"/>
      <c r="N143" s="67"/>
      <c r="O143" s="368"/>
      <c r="P143" s="368"/>
      <c r="Q143" s="368"/>
    </row>
    <row r="144" spans="1:17">
      <c r="A144" s="71">
        <f>A142+1</f>
        <v>81</v>
      </c>
      <c r="B144" s="67"/>
      <c r="C144" s="67" t="s">
        <v>1033</v>
      </c>
      <c r="D144" s="67"/>
      <c r="E144" s="364">
        <f>SUM(E139:E140)+I141</f>
        <v>2272094.56</v>
      </c>
      <c r="F144" s="71"/>
      <c r="G144" s="369">
        <v>30.145874485869712</v>
      </c>
      <c r="H144" s="71"/>
      <c r="I144" s="364">
        <f>SUM(I139:I141)</f>
        <v>2266911.0294000003</v>
      </c>
      <c r="J144" s="363"/>
      <c r="K144" s="369">
        <v>30.077100031842914</v>
      </c>
      <c r="L144" s="77"/>
      <c r="M144" s="377">
        <f>M139+M140</f>
        <v>-5183.5306000000273</v>
      </c>
      <c r="N144" s="67"/>
      <c r="O144" s="367">
        <f>M144/E144</f>
        <v>-2.2813885879820191E-3</v>
      </c>
      <c r="P144" s="368"/>
      <c r="Q144" s="367">
        <f>(M144-M140)/(E144-E140)</f>
        <v>-3.8733352210578438E-3</v>
      </c>
    </row>
    <row r="145" spans="1:17">
      <c r="A145" s="71">
        <f>A144+1</f>
        <v>82</v>
      </c>
      <c r="B145" s="67"/>
      <c r="C145" s="67" t="s">
        <v>1034</v>
      </c>
      <c r="D145" s="67"/>
      <c r="E145" s="81"/>
      <c r="F145" s="71"/>
      <c r="G145" s="77"/>
      <c r="H145" s="71"/>
      <c r="I145" s="81"/>
      <c r="J145" s="71"/>
      <c r="K145" s="77"/>
      <c r="L145" s="77"/>
      <c r="M145" s="82"/>
      <c r="N145" s="67"/>
      <c r="O145" s="325">
        <v>-4.6640426039992518E-3</v>
      </c>
      <c r="P145" s="368"/>
      <c r="Q145" s="325">
        <v>-2.9195228135015312E-2</v>
      </c>
    </row>
    <row r="146" spans="1:17">
      <c r="A146" s="71"/>
      <c r="B146" s="67"/>
      <c r="C146" s="67"/>
      <c r="D146" s="67"/>
      <c r="E146" s="81"/>
      <c r="F146" s="71"/>
      <c r="G146" s="77"/>
      <c r="H146" s="71"/>
      <c r="I146" s="81"/>
      <c r="J146" s="71"/>
      <c r="K146" s="77"/>
      <c r="L146" s="77"/>
      <c r="M146" s="82"/>
      <c r="N146" s="67"/>
      <c r="O146" s="325"/>
      <c r="P146" s="368"/>
      <c r="Q146" s="325"/>
    </row>
    <row r="147" spans="1:17">
      <c r="A147" s="71"/>
      <c r="B147" s="67"/>
      <c r="C147" s="67"/>
      <c r="D147" s="67"/>
      <c r="E147" s="67"/>
      <c r="F147" s="67"/>
      <c r="G147" s="67"/>
      <c r="H147" s="67"/>
      <c r="I147" s="67"/>
      <c r="J147" s="67"/>
      <c r="K147" s="67"/>
      <c r="L147" s="67"/>
      <c r="M147" s="82"/>
      <c r="N147" s="67"/>
      <c r="O147" s="368"/>
      <c r="P147" s="368"/>
      <c r="Q147" s="368"/>
    </row>
    <row r="148" spans="1:17">
      <c r="A148" s="1184" t="s">
        <v>1018</v>
      </c>
      <c r="B148" s="1184"/>
      <c r="C148" s="1184"/>
      <c r="D148" s="1184"/>
      <c r="E148" s="1184"/>
      <c r="F148" s="1184"/>
      <c r="G148" s="1184"/>
      <c r="H148" s="1184"/>
      <c r="I148" s="1184"/>
      <c r="J148" s="1184"/>
      <c r="K148" s="1184"/>
      <c r="L148" s="1184"/>
      <c r="M148" s="1184"/>
      <c r="N148" s="1184"/>
      <c r="O148" s="1184"/>
      <c r="P148" s="1184"/>
      <c r="Q148" s="1184"/>
    </row>
    <row r="149" spans="1:17">
      <c r="A149" s="1184" t="s">
        <v>145</v>
      </c>
      <c r="B149" s="1184"/>
      <c r="C149" s="1184"/>
      <c r="D149" s="1184"/>
      <c r="E149" s="1184"/>
      <c r="F149" s="1184"/>
      <c r="G149" s="1184"/>
      <c r="H149" s="1184"/>
      <c r="I149" s="1184"/>
      <c r="J149" s="1184"/>
      <c r="K149" s="1184"/>
      <c r="L149" s="1184"/>
      <c r="M149" s="1184"/>
      <c r="N149" s="1184"/>
      <c r="O149" s="1184"/>
      <c r="P149" s="1184"/>
      <c r="Q149" s="1184"/>
    </row>
    <row r="150" spans="1:17">
      <c r="A150" s="86"/>
      <c r="B150" s="86"/>
      <c r="C150" s="86"/>
      <c r="D150" s="86"/>
      <c r="E150" s="86"/>
      <c r="F150" s="86"/>
      <c r="G150" s="86"/>
      <c r="H150" s="86"/>
      <c r="I150" s="86"/>
      <c r="J150" s="86"/>
      <c r="K150" s="86"/>
      <c r="L150" s="86"/>
      <c r="M150" s="86"/>
      <c r="N150" s="86"/>
      <c r="O150" s="86"/>
      <c r="P150" s="86"/>
      <c r="Q150" s="86"/>
    </row>
    <row r="151" spans="1:17">
      <c r="A151" s="71"/>
      <c r="B151" s="67"/>
      <c r="C151" s="67"/>
      <c r="D151" s="67"/>
      <c r="E151" s="1185" t="s">
        <v>985</v>
      </c>
      <c r="F151" s="1185"/>
      <c r="G151" s="1185"/>
      <c r="H151" s="67"/>
      <c r="I151" s="1185" t="s">
        <v>986</v>
      </c>
      <c r="J151" s="1185"/>
      <c r="K151" s="1185"/>
      <c r="L151" s="1185"/>
      <c r="M151" s="1185"/>
      <c r="N151" s="67"/>
      <c r="O151" s="1185" t="s">
        <v>987</v>
      </c>
      <c r="P151" s="1185"/>
      <c r="Q151" s="1185"/>
    </row>
    <row r="152" spans="1:17">
      <c r="A152" s="71"/>
      <c r="B152" s="67"/>
      <c r="C152" s="67"/>
      <c r="D152" s="67"/>
      <c r="E152" s="71"/>
      <c r="F152" s="71"/>
      <c r="G152" s="71"/>
      <c r="H152" s="67"/>
      <c r="I152" s="71"/>
      <c r="J152" s="71"/>
      <c r="K152" s="71"/>
      <c r="L152" s="71"/>
      <c r="M152" s="71" t="s">
        <v>988</v>
      </c>
      <c r="N152" s="67"/>
      <c r="O152" s="71" t="s">
        <v>989</v>
      </c>
      <c r="P152" s="71"/>
      <c r="Q152" s="71" t="s">
        <v>990</v>
      </c>
    </row>
    <row r="153" spans="1:17">
      <c r="A153" s="71" t="s">
        <v>56</v>
      </c>
      <c r="B153" s="67"/>
      <c r="C153" s="67"/>
      <c r="D153" s="67"/>
      <c r="E153" s="71" t="s">
        <v>988</v>
      </c>
      <c r="F153" s="71"/>
      <c r="G153" s="71" t="s">
        <v>991</v>
      </c>
      <c r="H153" s="67"/>
      <c r="I153" s="71" t="s">
        <v>988</v>
      </c>
      <c r="J153" s="71"/>
      <c r="K153" s="71" t="s">
        <v>991</v>
      </c>
      <c r="L153" s="71"/>
      <c r="M153" s="71" t="s">
        <v>845</v>
      </c>
      <c r="N153" s="67"/>
      <c r="O153" s="71" t="s">
        <v>992</v>
      </c>
      <c r="P153" s="67"/>
      <c r="Q153" s="71" t="s">
        <v>992</v>
      </c>
    </row>
    <row r="154" spans="1:17" ht="15.6">
      <c r="A154" s="74" t="s">
        <v>57</v>
      </c>
      <c r="B154" s="67"/>
      <c r="C154" s="360" t="s">
        <v>194</v>
      </c>
      <c r="D154" s="67"/>
      <c r="E154" s="74" t="s">
        <v>993</v>
      </c>
      <c r="F154" s="71"/>
      <c r="G154" s="74" t="s">
        <v>247</v>
      </c>
      <c r="H154" s="67"/>
      <c r="I154" s="74" t="s">
        <v>993</v>
      </c>
      <c r="J154" s="71"/>
      <c r="K154" s="74" t="s">
        <v>247</v>
      </c>
      <c r="L154" s="71"/>
      <c r="M154" s="74" t="s">
        <v>993</v>
      </c>
      <c r="N154" s="67"/>
      <c r="O154" s="74" t="s">
        <v>249</v>
      </c>
      <c r="P154" s="71"/>
      <c r="Q154" s="74" t="s">
        <v>249</v>
      </c>
    </row>
    <row r="155" spans="1:17">
      <c r="D155" s="67"/>
      <c r="E155" s="71" t="s">
        <v>9</v>
      </c>
      <c r="F155" s="71"/>
      <c r="G155" s="71" t="s">
        <v>10</v>
      </c>
      <c r="H155" s="71"/>
      <c r="I155" s="71" t="s">
        <v>58</v>
      </c>
      <c r="J155" s="71"/>
      <c r="K155" s="71" t="s">
        <v>12</v>
      </c>
      <c r="L155" s="71"/>
      <c r="M155" s="71" t="s">
        <v>994</v>
      </c>
      <c r="N155" s="71"/>
      <c r="O155" s="71" t="s">
        <v>995</v>
      </c>
      <c r="P155" s="71"/>
      <c r="Q155" s="71" t="s">
        <v>209</v>
      </c>
    </row>
    <row r="156" spans="1:17">
      <c r="A156" s="86"/>
      <c r="B156" s="86"/>
      <c r="C156" s="86"/>
      <c r="D156" s="86"/>
      <c r="E156" s="86"/>
      <c r="F156" s="86"/>
      <c r="G156" s="86"/>
      <c r="H156" s="86"/>
      <c r="I156" s="86"/>
      <c r="J156" s="86"/>
      <c r="K156" s="86"/>
      <c r="L156" s="86"/>
      <c r="M156" s="86"/>
      <c r="N156" s="86"/>
      <c r="O156" s="86"/>
      <c r="P156" s="86"/>
      <c r="Q156" s="86"/>
    </row>
    <row r="157" spans="1:17" ht="15.6">
      <c r="A157" s="71"/>
      <c r="B157" s="67"/>
      <c r="C157" s="76" t="s">
        <v>1096</v>
      </c>
      <c r="D157" s="67"/>
      <c r="E157" s="67" t="s">
        <v>1097</v>
      </c>
      <c r="F157" s="67"/>
      <c r="G157" s="67"/>
      <c r="H157" s="67"/>
      <c r="I157" s="67"/>
      <c r="J157" s="67"/>
      <c r="K157" s="67"/>
      <c r="L157" s="67"/>
      <c r="M157" s="82"/>
      <c r="N157" s="67"/>
      <c r="O157" s="368"/>
      <c r="P157" s="368"/>
      <c r="Q157" s="368"/>
    </row>
    <row r="158" spans="1:17">
      <c r="A158" s="71">
        <f>A145+1</f>
        <v>83</v>
      </c>
      <c r="B158" s="67"/>
      <c r="C158" s="67" t="s">
        <v>998</v>
      </c>
      <c r="D158" s="67"/>
      <c r="E158" s="81">
        <v>276107.47352</v>
      </c>
      <c r="F158" s="363"/>
      <c r="G158" s="77">
        <v>2.3872467025156108</v>
      </c>
      <c r="H158" s="77"/>
      <c r="I158" s="81">
        <v>267429.97980000003</v>
      </c>
      <c r="J158" s="363"/>
      <c r="K158" s="77">
        <v>2.312220416536904</v>
      </c>
      <c r="L158" s="67"/>
      <c r="M158" s="82">
        <f>I158-E158</f>
        <v>-8677.4937199999695</v>
      </c>
      <c r="N158" s="77"/>
      <c r="O158" s="325">
        <f>M158/E158</f>
        <v>-3.1427956691550442E-2</v>
      </c>
      <c r="P158" s="327"/>
      <c r="Q158" s="325">
        <f>O158</f>
        <v>-3.1427956691550442E-2</v>
      </c>
    </row>
    <row r="159" spans="1:17">
      <c r="A159" s="71">
        <f>A158+1</f>
        <v>84</v>
      </c>
      <c r="B159" s="67"/>
      <c r="C159" s="67" t="s">
        <v>999</v>
      </c>
      <c r="D159" s="67"/>
      <c r="E159" s="81">
        <v>1433019.7182</v>
      </c>
      <c r="F159" s="363"/>
      <c r="G159" s="77">
        <v>12.389999999999999</v>
      </c>
      <c r="H159" s="77"/>
      <c r="I159" s="81">
        <v>1433019.7182</v>
      </c>
      <c r="J159" s="363"/>
      <c r="K159" s="77">
        <v>12.389999999999999</v>
      </c>
      <c r="L159" s="77"/>
      <c r="M159" s="82">
        <f>I159-E159</f>
        <v>0</v>
      </c>
      <c r="N159" s="77"/>
      <c r="O159" s="326">
        <f>IFERROR(M159/E159,"100.0%")</f>
        <v>0</v>
      </c>
      <c r="P159" s="327"/>
      <c r="Q159" s="326">
        <f>O159</f>
        <v>0</v>
      </c>
    </row>
    <row r="160" spans="1:17">
      <c r="A160" s="71">
        <f>A159+1</f>
        <v>85</v>
      </c>
      <c r="B160" s="67"/>
      <c r="C160" s="67" t="s">
        <v>1001</v>
      </c>
      <c r="D160" s="67"/>
      <c r="E160" s="81">
        <v>1781408.902636</v>
      </c>
      <c r="F160" s="363"/>
      <c r="G160" s="77">
        <v>15.402199999999999</v>
      </c>
      <c r="H160" s="67"/>
      <c r="I160" s="81">
        <v>1781177.583876</v>
      </c>
      <c r="J160" s="71"/>
      <c r="K160" s="77">
        <v>15.4002</v>
      </c>
      <c r="L160" s="378"/>
      <c r="M160" s="82">
        <f>I160-E160</f>
        <v>-231.31875999993645</v>
      </c>
      <c r="N160" s="67"/>
      <c r="O160" s="325">
        <f>M160/E160</f>
        <v>-1.2985157964443071E-4</v>
      </c>
      <c r="P160" s="327"/>
      <c r="Q160" s="325">
        <f>O160</f>
        <v>-1.2985157964443071E-4</v>
      </c>
    </row>
    <row r="161" spans="1:17">
      <c r="A161" s="71">
        <f>A160+1</f>
        <v>86</v>
      </c>
      <c r="B161" s="67"/>
      <c r="C161" s="67" t="s">
        <v>1002</v>
      </c>
      <c r="D161" s="67"/>
      <c r="E161" s="364">
        <f>SUM(E158:E160)</f>
        <v>3490536.094356</v>
      </c>
      <c r="F161" s="71"/>
      <c r="G161" s="369">
        <v>30.179446702515612</v>
      </c>
      <c r="H161" s="71"/>
      <c r="I161" s="364">
        <f>SUM(I157:I160)</f>
        <v>3481627.2818760001</v>
      </c>
      <c r="J161" s="363"/>
      <c r="K161" s="369">
        <v>30.102420416536908</v>
      </c>
      <c r="L161" s="77"/>
      <c r="M161" s="377">
        <f>SUM(M158:M160)</f>
        <v>-8908.8124799999059</v>
      </c>
      <c r="N161" s="67"/>
      <c r="O161" s="367">
        <f>M161/E161</f>
        <v>-2.5522762805418207E-3</v>
      </c>
      <c r="P161" s="368"/>
      <c r="Q161" s="367">
        <f>(M161-M159)/(E161-E159)</f>
        <v>-4.329886548287888E-3</v>
      </c>
    </row>
    <row r="162" spans="1:17">
      <c r="A162" s="71"/>
      <c r="B162" s="67"/>
      <c r="C162" s="67"/>
      <c r="D162" s="67"/>
      <c r="E162" s="81"/>
      <c r="F162" s="71"/>
      <c r="G162" s="77"/>
      <c r="H162" s="71"/>
      <c r="I162" s="81"/>
      <c r="J162" s="71"/>
      <c r="K162" s="77"/>
      <c r="L162" s="77"/>
      <c r="M162" s="82"/>
      <c r="N162" s="67"/>
      <c r="O162" s="368"/>
      <c r="P162" s="368"/>
      <c r="Q162" s="368"/>
    </row>
    <row r="163" spans="1:17">
      <c r="A163" s="71">
        <f>A161+1</f>
        <v>87</v>
      </c>
      <c r="B163" s="67"/>
      <c r="C163" s="67" t="s">
        <v>1033</v>
      </c>
      <c r="D163" s="67"/>
      <c r="E163" s="364">
        <f>SUM(E158:E159)+I160</f>
        <v>3490304.7755960003</v>
      </c>
      <c r="F163" s="71"/>
      <c r="G163" s="369">
        <v>30.177446702515613</v>
      </c>
      <c r="H163" s="71"/>
      <c r="I163" s="364">
        <f>SUM(I158:I160)</f>
        <v>3481627.2818760001</v>
      </c>
      <c r="J163" s="363"/>
      <c r="K163" s="369">
        <v>30.102420416536908</v>
      </c>
      <c r="L163" s="77"/>
      <c r="M163" s="377">
        <f>M158+M159</f>
        <v>-8677.4937199999695</v>
      </c>
      <c r="N163" s="67"/>
      <c r="O163" s="367">
        <f>M163/E163</f>
        <v>-2.4861707724415589E-3</v>
      </c>
      <c r="P163" s="368"/>
      <c r="Q163" s="367">
        <f>(M163-M159)/(E163-E159)</f>
        <v>-4.2179345486441583E-3</v>
      </c>
    </row>
    <row r="164" spans="1:17">
      <c r="A164" s="71">
        <f>A163+1</f>
        <v>88</v>
      </c>
      <c r="B164" s="67"/>
      <c r="C164" s="67" t="s">
        <v>1034</v>
      </c>
      <c r="D164" s="67"/>
      <c r="E164" s="81"/>
      <c r="F164" s="71"/>
      <c r="G164" s="77"/>
      <c r="H164" s="71"/>
      <c r="I164" s="81"/>
      <c r="J164" s="71"/>
      <c r="K164" s="77"/>
      <c r="L164" s="77"/>
      <c r="M164" s="82"/>
      <c r="N164" s="67"/>
      <c r="O164" s="325">
        <v>-5.0771491800252226E-3</v>
      </c>
      <c r="P164" s="368"/>
      <c r="Q164" s="325">
        <v>-3.1427956691550581E-2</v>
      </c>
    </row>
    <row r="165" spans="1:17">
      <c r="A165" s="71"/>
      <c r="B165" s="67"/>
      <c r="C165" s="67"/>
      <c r="D165" s="67"/>
      <c r="E165" s="67"/>
      <c r="F165" s="67"/>
      <c r="G165" s="67"/>
      <c r="H165" s="67"/>
      <c r="I165" s="67"/>
      <c r="J165" s="67"/>
      <c r="K165" s="67"/>
      <c r="L165" s="67"/>
      <c r="M165" s="82"/>
      <c r="N165" s="67"/>
      <c r="O165" s="368"/>
      <c r="P165" s="368"/>
      <c r="Q165" s="368"/>
    </row>
    <row r="166" spans="1:17" ht="15.6">
      <c r="A166" s="71"/>
      <c r="B166" s="67"/>
      <c r="C166" s="76" t="s">
        <v>1098</v>
      </c>
      <c r="D166" s="67"/>
      <c r="E166" s="67" t="s">
        <v>1099</v>
      </c>
      <c r="F166" s="67"/>
      <c r="G166" s="67"/>
      <c r="H166" s="67"/>
      <c r="I166" s="67"/>
      <c r="J166" s="67"/>
      <c r="K166" s="67"/>
      <c r="L166" s="67"/>
      <c r="M166" s="82"/>
      <c r="N166" s="67"/>
      <c r="O166" s="368"/>
      <c r="P166" s="368"/>
      <c r="Q166" s="368"/>
    </row>
    <row r="167" spans="1:17">
      <c r="A167" s="71">
        <f>A164+1</f>
        <v>89</v>
      </c>
      <c r="B167" s="67"/>
      <c r="C167" s="67" t="s">
        <v>998</v>
      </c>
      <c r="D167" s="67"/>
      <c r="E167" s="81">
        <v>622220.83679999993</v>
      </c>
      <c r="F167" s="363"/>
      <c r="G167" s="77">
        <v>2.4282660559910831</v>
      </c>
      <c r="H167" s="77"/>
      <c r="I167" s="81">
        <v>601480.89240000001</v>
      </c>
      <c r="J167" s="363"/>
      <c r="K167" s="77">
        <v>2.3473267816834791</v>
      </c>
      <c r="L167" s="67"/>
      <c r="M167" s="82">
        <f>I167-E167</f>
        <v>-20739.94439999992</v>
      </c>
      <c r="N167" s="77"/>
      <c r="O167" s="325">
        <f>M167/E167</f>
        <v>-3.3332127716363104E-2</v>
      </c>
      <c r="P167" s="327"/>
      <c r="Q167" s="325">
        <f>O167</f>
        <v>-3.3332127716363104E-2</v>
      </c>
    </row>
    <row r="168" spans="1:17">
      <c r="A168" s="71">
        <f>A167+1</f>
        <v>90</v>
      </c>
      <c r="B168" s="67"/>
      <c r="C168" s="67" t="s">
        <v>999</v>
      </c>
      <c r="D168" s="67"/>
      <c r="E168" s="81">
        <v>3174823.5120000001</v>
      </c>
      <c r="F168" s="363"/>
      <c r="G168" s="77">
        <v>12.39</v>
      </c>
      <c r="H168" s="77"/>
      <c r="I168" s="81">
        <v>3174823.5120000001</v>
      </c>
      <c r="J168" s="363"/>
      <c r="K168" s="77">
        <v>12.39</v>
      </c>
      <c r="L168" s="77"/>
      <c r="M168" s="82">
        <f>I168-E168</f>
        <v>0</v>
      </c>
      <c r="N168" s="77"/>
      <c r="O168" s="326">
        <f>IFERROR(M168/E168,"100.0%")</f>
        <v>0</v>
      </c>
      <c r="P168" s="327"/>
      <c r="Q168" s="326">
        <f>O168</f>
        <v>0</v>
      </c>
    </row>
    <row r="169" spans="1:17">
      <c r="A169" s="71">
        <f>A168+1</f>
        <v>91</v>
      </c>
      <c r="B169" s="67"/>
      <c r="C169" s="67" t="s">
        <v>1001</v>
      </c>
      <c r="D169" s="67"/>
      <c r="E169" s="81">
        <v>3946672.0497600003</v>
      </c>
      <c r="F169" s="363"/>
      <c r="G169" s="77">
        <v>15.402200000000002</v>
      </c>
      <c r="H169" s="67"/>
      <c r="I169" s="81">
        <v>3946159.5681600003</v>
      </c>
      <c r="J169" s="71"/>
      <c r="K169" s="77">
        <v>15.4002</v>
      </c>
      <c r="L169" s="378"/>
      <c r="M169" s="82">
        <f>I169-E169</f>
        <v>-512.48160000005737</v>
      </c>
      <c r="N169" s="67"/>
      <c r="O169" s="325">
        <f>M169/E169</f>
        <v>-1.2985157964448091E-4</v>
      </c>
      <c r="P169" s="327"/>
      <c r="Q169" s="325">
        <f>O169</f>
        <v>-1.2985157964448091E-4</v>
      </c>
    </row>
    <row r="170" spans="1:17">
      <c r="A170" s="71">
        <f>A169+1</f>
        <v>92</v>
      </c>
      <c r="B170" s="67"/>
      <c r="C170" s="67" t="s">
        <v>1002</v>
      </c>
      <c r="D170" s="67"/>
      <c r="E170" s="364">
        <f>SUM(E167:E169)</f>
        <v>7743716.3985600006</v>
      </c>
      <c r="F170" s="71"/>
      <c r="G170" s="369">
        <v>30.220466055991086</v>
      </c>
      <c r="H170" s="71"/>
      <c r="I170" s="364">
        <f>SUM(I167:I169)</f>
        <v>7722463.9725600006</v>
      </c>
      <c r="J170" s="363"/>
      <c r="K170" s="369">
        <v>30.137526781683484</v>
      </c>
      <c r="L170" s="77"/>
      <c r="M170" s="377">
        <f>SUM(M167:M169)</f>
        <v>-21252.425999999978</v>
      </c>
      <c r="N170" s="67"/>
      <c r="O170" s="367">
        <f>M170/E170</f>
        <v>-2.7444737005027737E-3</v>
      </c>
      <c r="P170" s="368"/>
      <c r="Q170" s="367">
        <f>(M170-M168)/(E170-E168)</f>
        <v>-4.6515483132722997E-3</v>
      </c>
    </row>
    <row r="171" spans="1:17">
      <c r="A171" s="71"/>
      <c r="B171" s="67"/>
      <c r="C171" s="67"/>
      <c r="D171" s="67"/>
      <c r="E171" s="81"/>
      <c r="F171" s="71"/>
      <c r="G171" s="77"/>
      <c r="H171" s="71"/>
      <c r="I171" s="81"/>
      <c r="J171" s="71"/>
      <c r="K171" s="77"/>
      <c r="L171" s="77"/>
      <c r="M171" s="82"/>
      <c r="N171" s="67"/>
      <c r="O171" s="368"/>
      <c r="P171" s="368"/>
      <c r="Q171" s="368"/>
    </row>
    <row r="172" spans="1:17">
      <c r="A172" s="71">
        <f>A170+1</f>
        <v>93</v>
      </c>
      <c r="B172" s="67"/>
      <c r="C172" s="67" t="s">
        <v>1033</v>
      </c>
      <c r="D172" s="67"/>
      <c r="E172" s="364">
        <f>SUM(E167:E168)+I169</f>
        <v>7743203.9169600001</v>
      </c>
      <c r="F172" s="71"/>
      <c r="G172" s="369">
        <v>30.218466055991083</v>
      </c>
      <c r="H172" s="71"/>
      <c r="I172" s="364">
        <f>SUM(I167:I169)</f>
        <v>7722463.9725600006</v>
      </c>
      <c r="J172" s="363"/>
      <c r="K172" s="369">
        <v>30.137526781683484</v>
      </c>
      <c r="L172" s="77"/>
      <c r="M172" s="377">
        <f>M167+M168</f>
        <v>-20739.94439999992</v>
      </c>
      <c r="N172" s="67"/>
      <c r="O172" s="367">
        <f>M172/E172</f>
        <v>-2.6784706463138675E-3</v>
      </c>
      <c r="P172" s="368"/>
      <c r="Q172" s="367">
        <f>(M172-M168)/(E172-E168)</f>
        <v>-4.5398899744605479E-3</v>
      </c>
    </row>
    <row r="173" spans="1:17">
      <c r="A173" s="71">
        <f>A172+1</f>
        <v>94</v>
      </c>
      <c r="B173" s="67"/>
      <c r="C173" s="67" t="s">
        <v>1034</v>
      </c>
      <c r="D173" s="67"/>
      <c r="E173" s="81"/>
      <c r="F173" s="71"/>
      <c r="G173" s="77"/>
      <c r="H173" s="71"/>
      <c r="I173" s="81"/>
      <c r="J173" s="71"/>
      <c r="K173" s="77"/>
      <c r="L173" s="77"/>
      <c r="M173" s="82"/>
      <c r="N173" s="67"/>
      <c r="O173" s="325">
        <v>-5.4621285649598924E-3</v>
      </c>
      <c r="P173" s="368"/>
      <c r="Q173" s="325">
        <v>-3.333212771636325E-2</v>
      </c>
    </row>
    <row r="174" spans="1:17">
      <c r="A174" s="71"/>
      <c r="B174" s="67"/>
      <c r="C174" s="67"/>
      <c r="D174" s="67"/>
      <c r="E174" s="67"/>
      <c r="F174" s="67"/>
      <c r="G174" s="67"/>
      <c r="H174" s="67"/>
      <c r="I174" s="67"/>
      <c r="J174" s="67"/>
      <c r="K174" s="67"/>
      <c r="L174" s="67"/>
      <c r="M174" s="82"/>
      <c r="N174" s="67"/>
      <c r="O174" s="368"/>
      <c r="P174" s="368"/>
      <c r="Q174" s="368"/>
    </row>
    <row r="175" spans="1:17" ht="15.6">
      <c r="A175" s="71"/>
      <c r="B175" s="67"/>
      <c r="C175" s="76" t="s">
        <v>1100</v>
      </c>
      <c r="D175" s="67"/>
      <c r="E175" s="67" t="s">
        <v>1101</v>
      </c>
      <c r="F175" s="67"/>
      <c r="G175" s="67"/>
      <c r="H175" s="67"/>
      <c r="I175" s="67"/>
      <c r="J175" s="67"/>
      <c r="K175" s="67"/>
      <c r="L175" s="67"/>
      <c r="M175" s="82"/>
      <c r="N175" s="67"/>
      <c r="O175" s="368"/>
      <c r="P175" s="368"/>
      <c r="Q175" s="368"/>
    </row>
    <row r="176" spans="1:17">
      <c r="A176" s="71">
        <f>A173+1</f>
        <v>95</v>
      </c>
      <c r="B176" s="67"/>
      <c r="C176" s="67" t="s">
        <v>998</v>
      </c>
      <c r="D176" s="67"/>
      <c r="E176" s="81">
        <v>785343.83808000013</v>
      </c>
      <c r="F176" s="363"/>
      <c r="G176" s="77">
        <v>1.3253406204941274</v>
      </c>
      <c r="H176" s="77"/>
      <c r="I176" s="81">
        <v>789034.95935999986</v>
      </c>
      <c r="J176" s="363"/>
      <c r="K176" s="77">
        <v>1.3315697302551639</v>
      </c>
      <c r="L176" s="67"/>
      <c r="M176" s="82">
        <f>I176-E176</f>
        <v>3691.1212799997302</v>
      </c>
      <c r="N176" s="77"/>
      <c r="O176" s="325">
        <f>M176/E176</f>
        <v>4.7000066735402701E-3</v>
      </c>
      <c r="P176" s="327"/>
      <c r="Q176" s="325">
        <f>O176</f>
        <v>4.7000066735402701E-3</v>
      </c>
    </row>
    <row r="177" spans="1:17">
      <c r="A177" s="71">
        <f>A176+1</f>
        <v>96</v>
      </c>
      <c r="B177" s="67"/>
      <c r="C177" s="67" t="s">
        <v>999</v>
      </c>
      <c r="D177" s="67"/>
      <c r="E177" s="81">
        <v>7341818.4000000004</v>
      </c>
      <c r="F177" s="363"/>
      <c r="G177" s="77">
        <v>12.39</v>
      </c>
      <c r="H177" s="77"/>
      <c r="I177" s="81">
        <v>7341818.4000000004</v>
      </c>
      <c r="J177" s="363"/>
      <c r="K177" s="77">
        <v>12.39</v>
      </c>
      <c r="L177" s="77"/>
      <c r="M177" s="82">
        <f>I177-E177</f>
        <v>0</v>
      </c>
      <c r="N177" s="77"/>
      <c r="O177" s="326">
        <f>IFERROR(M177/E177,"100.0%")</f>
        <v>0</v>
      </c>
      <c r="P177" s="327"/>
      <c r="Q177" s="326">
        <f>O177</f>
        <v>0</v>
      </c>
    </row>
    <row r="178" spans="1:17">
      <c r="A178" s="71">
        <f>A177+1</f>
        <v>97</v>
      </c>
      <c r="B178" s="67"/>
      <c r="C178" s="67" t="s">
        <v>1001</v>
      </c>
      <c r="D178" s="67"/>
      <c r="E178" s="81">
        <v>9126727.6320000011</v>
      </c>
      <c r="F178" s="363"/>
      <c r="G178" s="77">
        <v>15.402200000000002</v>
      </c>
      <c r="H178" s="67"/>
      <c r="I178" s="81">
        <v>9125542.5120000001</v>
      </c>
      <c r="J178" s="71"/>
      <c r="K178" s="77">
        <v>15.4002</v>
      </c>
      <c r="L178" s="378"/>
      <c r="M178" s="82">
        <f>I178-E178</f>
        <v>-1185.1200000010431</v>
      </c>
      <c r="N178" s="67"/>
      <c r="O178" s="325">
        <f>M178/E178</f>
        <v>-1.2985157964458065E-4</v>
      </c>
      <c r="P178" s="327"/>
      <c r="Q178" s="325">
        <f>O178</f>
        <v>-1.2985157964458065E-4</v>
      </c>
    </row>
    <row r="179" spans="1:17">
      <c r="A179" s="71">
        <f>A178+1</f>
        <v>98</v>
      </c>
      <c r="B179" s="67"/>
      <c r="C179" s="67" t="s">
        <v>1002</v>
      </c>
      <c r="D179" s="67"/>
      <c r="E179" s="364">
        <f>SUM(E176:E178)</f>
        <v>17253889.870080002</v>
      </c>
      <c r="F179" s="71"/>
      <c r="G179" s="369">
        <v>29.117540620494132</v>
      </c>
      <c r="H179" s="71"/>
      <c r="I179" s="364">
        <f>SUM(I176:I178)</f>
        <v>17256395.87136</v>
      </c>
      <c r="J179" s="363"/>
      <c r="K179" s="369">
        <v>29.121769730255163</v>
      </c>
      <c r="L179" s="77"/>
      <c r="M179" s="377">
        <f>SUM(M176:M178)</f>
        <v>2506.0012799986871</v>
      </c>
      <c r="N179" s="67"/>
      <c r="O179" s="367">
        <f>M179/E179</f>
        <v>1.4524268433777058E-4</v>
      </c>
      <c r="P179" s="368"/>
      <c r="Q179" s="367">
        <f>(M179-M177)/(E179-E177)</f>
        <v>2.5282316492199999E-4</v>
      </c>
    </row>
    <row r="180" spans="1:17">
      <c r="A180" s="71"/>
      <c r="B180" s="67"/>
      <c r="C180" s="67"/>
      <c r="D180" s="67"/>
      <c r="E180" s="81"/>
      <c r="F180" s="71"/>
      <c r="G180" s="77"/>
      <c r="H180" s="71"/>
      <c r="I180" s="81"/>
      <c r="J180" s="71"/>
      <c r="K180" s="77"/>
      <c r="L180" s="77"/>
      <c r="M180" s="82"/>
      <c r="N180" s="67"/>
      <c r="O180" s="368"/>
      <c r="P180" s="368"/>
      <c r="Q180" s="368"/>
    </row>
    <row r="181" spans="1:17">
      <c r="A181" s="71">
        <f>A179+1</f>
        <v>99</v>
      </c>
      <c r="B181" s="67"/>
      <c r="C181" s="67" t="s">
        <v>1033</v>
      </c>
      <c r="D181" s="67"/>
      <c r="E181" s="364">
        <f>SUM(E176:E177)+I178</f>
        <v>17252704.750080001</v>
      </c>
      <c r="F181" s="71"/>
      <c r="G181" s="369">
        <v>29.11554062049413</v>
      </c>
      <c r="H181" s="71"/>
      <c r="I181" s="364">
        <f>SUM(I176:I178)</f>
        <v>17256395.87136</v>
      </c>
      <c r="J181" s="363"/>
      <c r="K181" s="369">
        <v>29.121769730255163</v>
      </c>
      <c r="L181" s="77"/>
      <c r="M181" s="377">
        <f>M176+M177</f>
        <v>3691.1212799997302</v>
      </c>
      <c r="N181" s="67"/>
      <c r="O181" s="367">
        <f>M181/E181</f>
        <v>2.1394449933901608E-4</v>
      </c>
      <c r="P181" s="368"/>
      <c r="Q181" s="367">
        <f>(M181-M177)/(E181-E177)</f>
        <v>3.7243099654451546E-4</v>
      </c>
    </row>
    <row r="182" spans="1:17">
      <c r="A182" s="71">
        <f>A181+1</f>
        <v>100</v>
      </c>
      <c r="B182" s="67"/>
      <c r="C182" s="67" t="s">
        <v>1034</v>
      </c>
      <c r="D182" s="67"/>
      <c r="E182" s="81"/>
      <c r="F182" s="71"/>
      <c r="G182" s="77"/>
      <c r="H182" s="71"/>
      <c r="I182" s="81"/>
      <c r="J182" s="71"/>
      <c r="K182" s="77"/>
      <c r="L182" s="77"/>
      <c r="M182" s="82"/>
      <c r="N182" s="67"/>
      <c r="O182" s="325">
        <v>4.5417098513242431E-4</v>
      </c>
      <c r="P182" s="368"/>
      <c r="Q182" s="325">
        <v>4.7000066735404002E-3</v>
      </c>
    </row>
    <row r="183" spans="1:17">
      <c r="A183" s="71"/>
      <c r="B183" s="67"/>
      <c r="C183" s="67"/>
      <c r="D183" s="67"/>
      <c r="E183" s="67"/>
      <c r="F183" s="67"/>
      <c r="G183" s="67"/>
      <c r="H183" s="67"/>
      <c r="I183" s="67"/>
      <c r="J183" s="67"/>
      <c r="K183" s="67"/>
      <c r="L183" s="67"/>
      <c r="M183" s="82"/>
      <c r="N183" s="67"/>
      <c r="O183" s="368"/>
      <c r="P183" s="368"/>
      <c r="Q183" s="368"/>
    </row>
    <row r="184" spans="1:17" ht="15.6">
      <c r="A184" s="71"/>
      <c r="B184" s="67"/>
      <c r="C184" s="76" t="s">
        <v>1102</v>
      </c>
      <c r="D184" s="67"/>
      <c r="E184" s="67" t="s">
        <v>1103</v>
      </c>
      <c r="F184" s="67"/>
      <c r="G184" s="67"/>
      <c r="H184" s="67"/>
      <c r="I184" s="67"/>
      <c r="J184" s="67"/>
      <c r="K184" s="67"/>
      <c r="L184" s="67"/>
      <c r="M184" s="82"/>
      <c r="N184" s="67"/>
      <c r="O184" s="368"/>
      <c r="P184" s="368"/>
      <c r="Q184" s="368"/>
    </row>
    <row r="185" spans="1:17">
      <c r="A185" s="71">
        <f>A182+1</f>
        <v>101</v>
      </c>
      <c r="B185" s="67"/>
      <c r="C185" s="67" t="s">
        <v>998</v>
      </c>
      <c r="D185" s="67"/>
      <c r="E185" s="81">
        <v>1927358.8215300001</v>
      </c>
      <c r="F185" s="363"/>
      <c r="G185" s="77">
        <v>0.9744477896767707</v>
      </c>
      <c r="H185" s="77"/>
      <c r="I185" s="81">
        <v>1936270.7313599999</v>
      </c>
      <c r="J185" s="363"/>
      <c r="K185" s="77">
        <v>0.97895353647318095</v>
      </c>
      <c r="L185" s="67"/>
      <c r="M185" s="82">
        <f>I185-E185</f>
        <v>8911.9098299997859</v>
      </c>
      <c r="N185" s="77"/>
      <c r="O185" s="325">
        <f>M185/E185</f>
        <v>4.6238976004090524E-3</v>
      </c>
      <c r="P185" s="327"/>
      <c r="Q185" s="325">
        <f>O185</f>
        <v>4.6238976004090524E-3</v>
      </c>
    </row>
    <row r="186" spans="1:17">
      <c r="A186" s="71">
        <f>A185+1</f>
        <v>102</v>
      </c>
      <c r="B186" s="67"/>
      <c r="C186" s="67" t="s">
        <v>999</v>
      </c>
      <c r="D186" s="67"/>
      <c r="E186" s="81">
        <v>24506162.414999999</v>
      </c>
      <c r="F186" s="363"/>
      <c r="G186" s="77">
        <v>12.389999999999999</v>
      </c>
      <c r="H186" s="77"/>
      <c r="I186" s="81">
        <v>24506162.414999999</v>
      </c>
      <c r="J186" s="363"/>
      <c r="K186" s="77">
        <v>12.389999999999999</v>
      </c>
      <c r="L186" s="77"/>
      <c r="M186" s="82">
        <f>I186-E186</f>
        <v>0</v>
      </c>
      <c r="N186" s="77"/>
      <c r="O186" s="326">
        <f>IFERROR(M186/E186,"100.0%")</f>
        <v>0</v>
      </c>
      <c r="P186" s="327"/>
      <c r="Q186" s="326">
        <f>O186</f>
        <v>0</v>
      </c>
    </row>
    <row r="187" spans="1:17">
      <c r="A187" s="71">
        <f>A186+1</f>
        <v>103</v>
      </c>
      <c r="B187" s="67"/>
      <c r="C187" s="67" t="s">
        <v>1001</v>
      </c>
      <c r="D187" s="67"/>
      <c r="E187" s="81">
        <v>30463988.276700001</v>
      </c>
      <c r="F187" s="363"/>
      <c r="G187" s="77">
        <v>15.402199999999999</v>
      </c>
      <c r="H187" s="67"/>
      <c r="I187" s="81">
        <v>30460032.479700003</v>
      </c>
      <c r="J187" s="71"/>
      <c r="K187" s="77">
        <v>15.400200000000003</v>
      </c>
      <c r="L187" s="378"/>
      <c r="M187" s="82">
        <f>I187-E187</f>
        <v>-3955.7969999983907</v>
      </c>
      <c r="N187" s="67"/>
      <c r="O187" s="325">
        <f>M187/E187</f>
        <v>-1.2985157964441355E-4</v>
      </c>
      <c r="P187" s="327"/>
      <c r="Q187" s="325">
        <f>O187</f>
        <v>-1.2985157964441355E-4</v>
      </c>
    </row>
    <row r="188" spans="1:17">
      <c r="A188" s="71">
        <f>A187+1</f>
        <v>104</v>
      </c>
      <c r="B188" s="67"/>
      <c r="C188" s="67" t="s">
        <v>1002</v>
      </c>
      <c r="D188" s="67"/>
      <c r="E188" s="364">
        <f>SUM(E185:E187)</f>
        <v>56897509.513229996</v>
      </c>
      <c r="F188" s="71"/>
      <c r="G188" s="369">
        <v>28.766647789676767</v>
      </c>
      <c r="H188" s="71"/>
      <c r="I188" s="364">
        <f>SUM(I185:I187)</f>
        <v>56902465.626060002</v>
      </c>
      <c r="J188" s="363"/>
      <c r="K188" s="369">
        <v>28.76915353647318</v>
      </c>
      <c r="L188" s="77"/>
      <c r="M188" s="377">
        <f>SUM(M185:M187)</f>
        <v>4956.1128300013952</v>
      </c>
      <c r="N188" s="67"/>
      <c r="O188" s="367">
        <f>M188/E188</f>
        <v>8.7105971287706067E-5</v>
      </c>
      <c r="P188" s="368"/>
      <c r="Q188" s="367">
        <f>(M188-M186)/(E188-E186)</f>
        <v>1.5300730824721454E-4</v>
      </c>
    </row>
    <row r="189" spans="1:17">
      <c r="A189" s="71"/>
      <c r="B189" s="67"/>
      <c r="C189" s="67"/>
      <c r="D189" s="67"/>
      <c r="E189" s="81"/>
      <c r="F189" s="71"/>
      <c r="G189" s="77"/>
      <c r="H189" s="71"/>
      <c r="I189" s="81"/>
      <c r="J189" s="71"/>
      <c r="K189" s="77"/>
      <c r="L189" s="77"/>
      <c r="M189" s="82"/>
      <c r="N189" s="67"/>
      <c r="O189" s="368"/>
      <c r="P189" s="368"/>
      <c r="Q189" s="368"/>
    </row>
    <row r="190" spans="1:17">
      <c r="A190" s="71">
        <f>A188+1</f>
        <v>105</v>
      </c>
      <c r="B190" s="67"/>
      <c r="C190" s="67" t="s">
        <v>1033</v>
      </c>
      <c r="D190" s="67"/>
      <c r="E190" s="364">
        <f>SUM(E185:E186)+I187</f>
        <v>56893553.716230005</v>
      </c>
      <c r="F190" s="71"/>
      <c r="G190" s="369">
        <v>28.764647789676772</v>
      </c>
      <c r="H190" s="71"/>
      <c r="I190" s="364">
        <f>SUM(I185:I187)</f>
        <v>56902465.626060002</v>
      </c>
      <c r="J190" s="363"/>
      <c r="K190" s="369">
        <v>28.76915353647318</v>
      </c>
      <c r="L190" s="77"/>
      <c r="M190" s="377">
        <f>M185+M186</f>
        <v>8911.9098299997859</v>
      </c>
      <c r="N190" s="67"/>
      <c r="O190" s="367">
        <f>M190/E190</f>
        <v>1.5664182052065222E-4</v>
      </c>
      <c r="P190" s="368"/>
      <c r="Q190" s="367">
        <f>(M190-M186)/(E190-E186)</f>
        <v>2.7516602825808112E-4</v>
      </c>
    </row>
    <row r="191" spans="1:17">
      <c r="A191" s="71">
        <f>A190+1</f>
        <v>106</v>
      </c>
      <c r="B191" s="67"/>
      <c r="C191" s="67" t="s">
        <v>1034</v>
      </c>
      <c r="D191" s="67"/>
      <c r="E191" s="81"/>
      <c r="F191" s="71"/>
      <c r="G191" s="77"/>
      <c r="H191" s="71"/>
      <c r="I191" s="81"/>
      <c r="J191" s="71"/>
      <c r="K191" s="77"/>
      <c r="L191" s="77"/>
      <c r="M191" s="82"/>
      <c r="N191" s="67"/>
      <c r="O191" s="325">
        <v>3.3714425521500142E-4</v>
      </c>
      <c r="P191" s="368"/>
      <c r="Q191" s="325">
        <v>4.623897600409075E-3</v>
      </c>
    </row>
    <row r="192" spans="1:17">
      <c r="A192" s="71"/>
      <c r="B192" s="67"/>
      <c r="C192" s="67"/>
      <c r="D192" s="67"/>
      <c r="E192" s="67"/>
      <c r="F192" s="67"/>
      <c r="G192" s="67"/>
      <c r="H192" s="67"/>
      <c r="I192" s="67"/>
      <c r="J192" s="67"/>
      <c r="K192" s="67"/>
      <c r="L192" s="67"/>
      <c r="M192" s="82"/>
      <c r="N192" s="67"/>
      <c r="O192" s="368"/>
      <c r="P192" s="368"/>
      <c r="Q192" s="368"/>
    </row>
    <row r="193" spans="1:17" ht="15.6">
      <c r="A193" s="71"/>
      <c r="B193" s="67"/>
      <c r="C193" s="76" t="s">
        <v>1104</v>
      </c>
      <c r="D193" s="67"/>
      <c r="E193" s="67" t="s">
        <v>1105</v>
      </c>
      <c r="F193" s="67"/>
      <c r="G193" s="67"/>
      <c r="H193" s="67"/>
      <c r="I193" s="67"/>
      <c r="J193" s="67"/>
      <c r="K193" s="67"/>
      <c r="L193" s="67"/>
      <c r="M193" s="82"/>
      <c r="N193" s="67"/>
      <c r="O193" s="368"/>
      <c r="P193" s="368"/>
      <c r="Q193" s="368"/>
    </row>
    <row r="194" spans="1:17">
      <c r="A194" s="71">
        <f>A191+1</f>
        <v>107</v>
      </c>
      <c r="B194" s="67"/>
      <c r="C194" s="67" t="s">
        <v>998</v>
      </c>
      <c r="D194" s="67"/>
      <c r="E194" s="81">
        <v>3204155.3590799998</v>
      </c>
      <c r="F194" s="363"/>
      <c r="G194" s="77">
        <v>0.86577967977432457</v>
      </c>
      <c r="H194" s="77"/>
      <c r="I194" s="81">
        <v>3218536.4793600002</v>
      </c>
      <c r="J194" s="363"/>
      <c r="K194" s="77">
        <v>0.86966553433363325</v>
      </c>
      <c r="L194" s="67"/>
      <c r="M194" s="82">
        <f>I194-E194</f>
        <v>14381.120280000381</v>
      </c>
      <c r="N194" s="77"/>
      <c r="O194" s="325">
        <f>M194/E194</f>
        <v>4.4882718433882657E-3</v>
      </c>
      <c r="P194" s="327"/>
      <c r="Q194" s="325">
        <f>O194</f>
        <v>4.4882718433882657E-3</v>
      </c>
    </row>
    <row r="195" spans="1:17">
      <c r="A195" s="71">
        <f>A194+1</f>
        <v>108</v>
      </c>
      <c r="B195" s="67"/>
      <c r="C195" s="67" t="s">
        <v>999</v>
      </c>
      <c r="D195" s="67"/>
      <c r="E195" s="81">
        <v>45854027.100000001</v>
      </c>
      <c r="F195" s="363"/>
      <c r="G195" s="77">
        <v>12.39</v>
      </c>
      <c r="H195" s="77"/>
      <c r="I195" s="81">
        <v>45854027.100000001</v>
      </c>
      <c r="J195" s="363"/>
      <c r="K195" s="77">
        <v>12.39</v>
      </c>
      <c r="L195" s="77"/>
      <c r="M195" s="82">
        <f>I195-E195</f>
        <v>0</v>
      </c>
      <c r="N195" s="77"/>
      <c r="O195" s="326">
        <f>IFERROR(M195/E195,"100.0%")</f>
        <v>0</v>
      </c>
      <c r="P195" s="327"/>
      <c r="Q195" s="326">
        <f>O195</f>
        <v>0</v>
      </c>
    </row>
    <row r="196" spans="1:17">
      <c r="A196" s="71">
        <f>A195+1</f>
        <v>109</v>
      </c>
      <c r="B196" s="67"/>
      <c r="C196" s="67" t="s">
        <v>1001</v>
      </c>
      <c r="D196" s="67"/>
      <c r="E196" s="81">
        <v>57001847.958000004</v>
      </c>
      <c r="F196" s="363"/>
      <c r="G196" s="77">
        <v>15.402200000000002</v>
      </c>
      <c r="H196" s="67"/>
      <c r="I196" s="81">
        <v>56994446.178000003</v>
      </c>
      <c r="J196" s="71"/>
      <c r="K196" s="77">
        <v>15.4002</v>
      </c>
      <c r="L196" s="378"/>
      <c r="M196" s="82">
        <f>I196-E196</f>
        <v>-7401.7800000011921</v>
      </c>
      <c r="N196" s="67"/>
      <c r="O196" s="325">
        <f>M196/E196</f>
        <v>-1.2985157964448728E-4</v>
      </c>
      <c r="P196" s="327"/>
      <c r="Q196" s="325">
        <f>O196</f>
        <v>-1.2985157964448728E-4</v>
      </c>
    </row>
    <row r="197" spans="1:17">
      <c r="A197" s="71">
        <f>A196+1</f>
        <v>110</v>
      </c>
      <c r="B197" s="67"/>
      <c r="C197" s="67" t="s">
        <v>1002</v>
      </c>
      <c r="D197" s="67"/>
      <c r="E197" s="364">
        <f>SUM(E194:E196)</f>
        <v>106060030.41708001</v>
      </c>
      <c r="F197" s="71"/>
      <c r="G197" s="369">
        <v>28.657979679774332</v>
      </c>
      <c r="H197" s="71"/>
      <c r="I197" s="364">
        <f>SUM(I194:I196)</f>
        <v>106067009.75736001</v>
      </c>
      <c r="J197" s="363"/>
      <c r="K197" s="369">
        <v>28.659865534333633</v>
      </c>
      <c r="L197" s="77"/>
      <c r="M197" s="377">
        <f>SUM(M194:M196)</f>
        <v>6979.3402799991891</v>
      </c>
      <c r="N197" s="67"/>
      <c r="O197" s="367">
        <f>M197/E197</f>
        <v>6.5805565513728427E-5</v>
      </c>
      <c r="P197" s="368"/>
      <c r="Q197" s="367">
        <f>(M197-M195)/(E197-E195)</f>
        <v>1.1592432474286497E-4</v>
      </c>
    </row>
    <row r="198" spans="1:17">
      <c r="A198" s="71"/>
      <c r="B198" s="67"/>
      <c r="C198" s="67"/>
      <c r="D198" s="67"/>
      <c r="E198" s="81"/>
      <c r="F198" s="71"/>
      <c r="G198" s="77"/>
      <c r="H198" s="71"/>
      <c r="I198" s="81"/>
      <c r="J198" s="71"/>
      <c r="K198" s="77"/>
      <c r="L198" s="77"/>
      <c r="M198" s="82"/>
      <c r="N198" s="67"/>
      <c r="O198" s="368"/>
      <c r="P198" s="368"/>
      <c r="Q198" s="368"/>
    </row>
    <row r="199" spans="1:17">
      <c r="A199" s="71">
        <f>A197+1</f>
        <v>111</v>
      </c>
      <c r="B199" s="67"/>
      <c r="C199" s="67" t="s">
        <v>1033</v>
      </c>
      <c r="D199" s="67"/>
      <c r="E199" s="364">
        <f>SUM(E194:E195)+I196</f>
        <v>106052628.63708001</v>
      </c>
      <c r="F199" s="71"/>
      <c r="G199" s="369">
        <v>28.65597967977433</v>
      </c>
      <c r="H199" s="71"/>
      <c r="I199" s="364">
        <f>SUM(I194:I196)</f>
        <v>106067009.75736001</v>
      </c>
      <c r="J199" s="363"/>
      <c r="K199" s="369">
        <v>28.659865534333633</v>
      </c>
      <c r="L199" s="77"/>
      <c r="M199" s="377">
        <f>M194+M195</f>
        <v>14381.120280000381</v>
      </c>
      <c r="N199" s="67"/>
      <c r="O199" s="367">
        <f>M199/E199</f>
        <v>1.3560361930503058E-4</v>
      </c>
      <c r="P199" s="368"/>
      <c r="Q199" s="367">
        <f>(M199-M195)/(E199-E195)</f>
        <v>2.3889459078450795E-4</v>
      </c>
    </row>
    <row r="200" spans="1:17">
      <c r="A200" s="71">
        <f>A199+1</f>
        <v>112</v>
      </c>
      <c r="B200" s="67"/>
      <c r="C200" s="67" t="s">
        <v>1034</v>
      </c>
      <c r="D200" s="67"/>
      <c r="E200" s="81"/>
      <c r="F200" s="71"/>
      <c r="G200" s="77"/>
      <c r="H200" s="71"/>
      <c r="I200" s="81"/>
      <c r="J200" s="71"/>
      <c r="K200" s="77"/>
      <c r="L200" s="77"/>
      <c r="M200" s="82"/>
      <c r="N200" s="67"/>
      <c r="O200" s="325">
        <v>2.9314417206540566E-4</v>
      </c>
      <c r="P200" s="368"/>
      <c r="Q200" s="325">
        <v>4.4882718433883386E-3</v>
      </c>
    </row>
    <row r="201" spans="1:17">
      <c r="A201" s="71"/>
      <c r="B201" s="67"/>
      <c r="C201" s="67"/>
      <c r="D201" s="67"/>
      <c r="E201" s="67"/>
      <c r="F201" s="67"/>
      <c r="G201" s="67"/>
      <c r="H201" s="67"/>
      <c r="I201" s="67"/>
      <c r="J201" s="67"/>
      <c r="K201" s="67"/>
      <c r="L201" s="67"/>
      <c r="M201" s="82"/>
      <c r="N201" s="67"/>
      <c r="O201" s="368"/>
      <c r="P201" s="368"/>
      <c r="Q201" s="368"/>
    </row>
    <row r="202" spans="1:17" ht="15.6">
      <c r="A202" s="71"/>
      <c r="B202" s="67"/>
      <c r="C202" s="76" t="s">
        <v>1106</v>
      </c>
      <c r="D202" s="67"/>
      <c r="E202" s="67" t="s">
        <v>1107</v>
      </c>
      <c r="F202" s="67"/>
      <c r="G202" s="67"/>
      <c r="H202" s="67"/>
      <c r="I202" s="67"/>
      <c r="J202" s="67"/>
      <c r="K202" s="67"/>
      <c r="L202" s="67"/>
      <c r="M202" s="82"/>
      <c r="N202" s="67"/>
      <c r="O202" s="368"/>
      <c r="P202" s="368"/>
      <c r="Q202" s="368"/>
    </row>
    <row r="203" spans="1:17">
      <c r="A203" s="71">
        <f>A200+1</f>
        <v>113</v>
      </c>
      <c r="B203" s="67"/>
      <c r="C203" s="67" t="s">
        <v>998</v>
      </c>
      <c r="D203" s="67"/>
      <c r="E203" s="81">
        <v>6481756.5599999996</v>
      </c>
      <c r="F203" s="363"/>
      <c r="G203" s="77">
        <v>2.3767771715216051</v>
      </c>
      <c r="H203" s="77"/>
      <c r="I203" s="81">
        <v>6645699.5507999994</v>
      </c>
      <c r="J203" s="363"/>
      <c r="K203" s="77">
        <v>2.4368929679662061</v>
      </c>
      <c r="L203" s="67"/>
      <c r="M203" s="82">
        <f>I203-E203</f>
        <v>163942.9907999998</v>
      </c>
      <c r="N203" s="77"/>
      <c r="O203" s="325"/>
      <c r="P203" s="327"/>
      <c r="Q203" s="325">
        <f>M203/E203</f>
        <v>2.5292987985960368E-2</v>
      </c>
    </row>
    <row r="204" spans="1:17">
      <c r="A204" s="71">
        <f>A203+1</f>
        <v>114</v>
      </c>
      <c r="B204" s="67"/>
      <c r="C204" s="67" t="s">
        <v>1001</v>
      </c>
      <c r="D204" s="67"/>
      <c r="E204" s="81">
        <v>42003647.664000005</v>
      </c>
      <c r="F204" s="363"/>
      <c r="G204" s="77">
        <v>15.402200000000002</v>
      </c>
      <c r="H204" s="67"/>
      <c r="I204" s="81">
        <v>41998193.424000002</v>
      </c>
      <c r="J204" s="71"/>
      <c r="K204" s="77">
        <v>15.4002</v>
      </c>
      <c r="L204" s="378"/>
      <c r="M204" s="82">
        <f>I204-E204</f>
        <v>-5454.2400000020862</v>
      </c>
      <c r="N204" s="67"/>
      <c r="O204" s="368"/>
      <c r="P204" s="327"/>
      <c r="Q204" s="325">
        <f>M204/E204</f>
        <v>-1.2985157964451603E-4</v>
      </c>
    </row>
    <row r="205" spans="1:17">
      <c r="A205" s="71">
        <f>A204+1</f>
        <v>115</v>
      </c>
      <c r="B205" s="67"/>
      <c r="C205" s="67" t="s">
        <v>1002</v>
      </c>
      <c r="D205" s="67"/>
      <c r="E205" s="364">
        <f>SUM(E203:E204)</f>
        <v>48485404.224000007</v>
      </c>
      <c r="F205" s="71"/>
      <c r="G205" s="369">
        <v>17.778977171521607</v>
      </c>
      <c r="H205" s="71"/>
      <c r="I205" s="364">
        <f>SUM(I203:I204)</f>
        <v>48643892.974800006</v>
      </c>
      <c r="J205" s="363"/>
      <c r="K205" s="369">
        <v>17.83709296796621</v>
      </c>
      <c r="L205" s="77"/>
      <c r="M205" s="377">
        <f>SUM(M203:M204)</f>
        <v>158488.75079999771</v>
      </c>
      <c r="N205" s="67"/>
      <c r="O205" s="368"/>
      <c r="P205" s="368"/>
      <c r="Q205" s="367">
        <f>M205/E205</f>
        <v>3.2687930179521253E-3</v>
      </c>
    </row>
    <row r="206" spans="1:17">
      <c r="A206" s="71"/>
      <c r="B206" s="67"/>
      <c r="C206" s="67"/>
      <c r="D206" s="67"/>
      <c r="E206" s="81"/>
      <c r="F206" s="71"/>
      <c r="G206" s="77"/>
      <c r="H206" s="71"/>
      <c r="I206" s="81"/>
      <c r="J206" s="71"/>
      <c r="K206" s="77"/>
      <c r="L206" s="77"/>
      <c r="M206" s="82"/>
      <c r="N206" s="67"/>
      <c r="O206" s="368"/>
      <c r="P206" s="368"/>
      <c r="Q206" s="368"/>
    </row>
    <row r="207" spans="1:17">
      <c r="A207" s="71">
        <f>A205+1</f>
        <v>116</v>
      </c>
      <c r="B207" s="67"/>
      <c r="C207" s="67" t="s">
        <v>1033</v>
      </c>
      <c r="D207" s="67"/>
      <c r="E207" s="364">
        <f>SUM(E203)+I204</f>
        <v>48479949.984000005</v>
      </c>
      <c r="F207" s="71"/>
      <c r="G207" s="369">
        <v>17.776977171521608</v>
      </c>
      <c r="H207" s="71"/>
      <c r="I207" s="364">
        <f>SUM(I203:I204)</f>
        <v>48643892.974800006</v>
      </c>
      <c r="J207" s="363"/>
      <c r="K207" s="369">
        <v>17.83709296796621</v>
      </c>
      <c r="L207" s="77"/>
      <c r="M207" s="377">
        <f>M203</f>
        <v>163942.9907999998</v>
      </c>
      <c r="N207" s="67"/>
      <c r="O207" s="368"/>
      <c r="P207" s="368"/>
      <c r="Q207" s="328">
        <f>M207/E207</f>
        <v>3.3816658402928725E-3</v>
      </c>
    </row>
    <row r="208" spans="1:17">
      <c r="A208" s="71">
        <f>A207+1</f>
        <v>117</v>
      </c>
      <c r="B208" s="67"/>
      <c r="C208" s="67" t="s">
        <v>1034</v>
      </c>
      <c r="D208" s="67"/>
      <c r="E208" s="81"/>
      <c r="F208" s="71"/>
      <c r="G208" s="77"/>
      <c r="H208" s="71"/>
      <c r="I208" s="81"/>
      <c r="J208" s="71"/>
      <c r="K208" s="77"/>
      <c r="L208" s="77"/>
      <c r="M208" s="78"/>
      <c r="N208" s="67"/>
      <c r="O208" s="368"/>
      <c r="P208" s="368"/>
      <c r="Q208" s="325">
        <v>2.5292987985960341E-2</v>
      </c>
    </row>
    <row r="209" spans="1:17">
      <c r="A209" s="71"/>
      <c r="B209" s="67"/>
      <c r="C209" s="67"/>
      <c r="D209" s="67"/>
      <c r="E209" s="67"/>
      <c r="F209" s="67"/>
      <c r="G209" s="67"/>
      <c r="H209" s="67"/>
      <c r="I209" s="67"/>
      <c r="J209" s="67"/>
      <c r="K209" s="67"/>
      <c r="L209" s="67"/>
      <c r="M209" s="82"/>
      <c r="N209" s="67"/>
      <c r="O209" s="67"/>
      <c r="P209" s="67"/>
      <c r="Q209" s="67"/>
    </row>
    <row r="210" spans="1:17">
      <c r="A210" s="76" t="s">
        <v>80</v>
      </c>
      <c r="B210" s="76"/>
      <c r="C210" s="67"/>
      <c r="D210" s="67"/>
      <c r="E210" s="67"/>
      <c r="F210" s="67"/>
      <c r="G210" s="77"/>
      <c r="H210" s="67"/>
      <c r="I210" s="67"/>
      <c r="J210" s="67"/>
      <c r="K210" s="67"/>
      <c r="L210" s="67"/>
      <c r="M210" s="82"/>
      <c r="N210" s="67"/>
      <c r="O210" s="67"/>
      <c r="P210" s="67"/>
      <c r="Q210" s="67"/>
    </row>
    <row r="211" spans="1:17">
      <c r="A211" s="190" t="s">
        <v>40</v>
      </c>
      <c r="B211" s="83"/>
      <c r="C211" s="84" t="s">
        <v>1108</v>
      </c>
      <c r="D211" s="67"/>
      <c r="E211" s="81"/>
      <c r="F211" s="67"/>
      <c r="G211" s="77"/>
      <c r="H211" s="67"/>
      <c r="I211" s="81"/>
      <c r="J211" s="67"/>
      <c r="K211" s="77"/>
      <c r="L211" s="77"/>
      <c r="M211" s="78"/>
      <c r="N211" s="67"/>
      <c r="O211" s="80"/>
      <c r="P211" s="80"/>
      <c r="Q211" s="80"/>
    </row>
    <row r="212" spans="1:17">
      <c r="A212" s="190" t="s">
        <v>20</v>
      </c>
      <c r="B212" s="91"/>
      <c r="C212" s="1182" t="s">
        <v>1071</v>
      </c>
      <c r="D212" s="1183"/>
      <c r="E212" s="1183"/>
      <c r="F212" s="1183"/>
      <c r="G212" s="1183"/>
      <c r="H212" s="1183"/>
      <c r="I212" s="1183"/>
      <c r="J212" s="1183"/>
      <c r="K212" s="1183"/>
      <c r="L212" s="1183"/>
      <c r="M212" s="1183"/>
      <c r="N212" s="1183"/>
      <c r="O212" s="1183"/>
      <c r="P212" s="1183"/>
      <c r="Q212" s="1183"/>
    </row>
  </sheetData>
  <mergeCells count="23">
    <mergeCell ref="O80:Q80"/>
    <mergeCell ref="E151:G151"/>
    <mergeCell ref="I151:M151"/>
    <mergeCell ref="O151:Q151"/>
    <mergeCell ref="A78:Q78"/>
    <mergeCell ref="A148:Q148"/>
    <mergeCell ref="A149:Q149"/>
    <mergeCell ref="C212:Q212"/>
    <mergeCell ref="A3:Q3"/>
    <mergeCell ref="A4:Q4"/>
    <mergeCell ref="E6:G6"/>
    <mergeCell ref="I6:K6"/>
    <mergeCell ref="E7:G7"/>
    <mergeCell ref="I7:M7"/>
    <mergeCell ref="O7:Q7"/>
    <mergeCell ref="E13:G13"/>
    <mergeCell ref="E22:G22"/>
    <mergeCell ref="E31:G31"/>
    <mergeCell ref="E40:G40"/>
    <mergeCell ref="E49:G49"/>
    <mergeCell ref="A77:Q77"/>
    <mergeCell ref="E80:G80"/>
    <mergeCell ref="I80:M80"/>
  </mergeCells>
  <pageMargins left="0.7" right="0.7" top="0.75" bottom="0.75" header="0.3" footer="0.3"/>
  <pageSetup scale="58" firstPageNumber="6" fitToHeight="0" orientation="portrait" useFirstPageNumber="1" horizontalDpi="1200" verticalDpi="1200" r:id="rId1"/>
  <headerFooter>
    <oddHeader>&amp;R&amp;10Filed: 2024-02-16
EB-2022-0200
Rate Order
Working Papers
Schedule 24
Page &amp;P of 8</oddHeader>
  </headerFooter>
  <rowBreaks count="2" manualBreakCount="2">
    <brk id="74" max="16" man="1"/>
    <brk id="145"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2AAC-303B-40B8-BE0E-06E0B0F1A8A4}">
  <dimension ref="A1:S52"/>
  <sheetViews>
    <sheetView topLeftCell="A18" zoomScale="90" zoomScaleNormal="90" zoomScaleSheetLayoutView="130" workbookViewId="0">
      <selection activeCell="H42" sqref="H42"/>
    </sheetView>
  </sheetViews>
  <sheetFormatPr defaultColWidth="8.625" defaultRowHeight="12.6"/>
  <cols>
    <col min="1" max="1" width="5.125" style="1117" customWidth="1"/>
    <col min="2" max="2" width="1.5" style="150" customWidth="1"/>
    <col min="3" max="3" width="47.5" style="150" customWidth="1"/>
    <col min="4" max="4" width="1.5" style="150" customWidth="1"/>
    <col min="5" max="5" width="12.125" style="401" customWidth="1"/>
    <col min="6" max="6" width="1.5" style="401" customWidth="1"/>
    <col min="7" max="7" width="12.125" style="401" customWidth="1"/>
    <col min="8" max="8" width="1.5" style="402" customWidth="1"/>
    <col min="9" max="9" width="12.125" style="401" customWidth="1"/>
    <col min="10" max="10" width="1.625" style="150" customWidth="1"/>
    <col min="11" max="11" width="5" style="150" customWidth="1"/>
    <col min="12" max="12" width="14.625" style="150" customWidth="1"/>
    <col min="13" max="14" width="10.625" style="150" bestFit="1" customWidth="1"/>
    <col min="15" max="15" width="8.625" style="150"/>
    <col min="16" max="16" width="23.125" style="150" customWidth="1"/>
    <col min="17" max="17" width="17.625" style="150" customWidth="1"/>
    <col min="18" max="16384" width="8.625" style="150"/>
  </cols>
  <sheetData>
    <row r="1" spans="1:19" ht="65.25" customHeight="1"/>
    <row r="2" spans="1:19">
      <c r="A2" s="1148" t="s">
        <v>55</v>
      </c>
      <c r="B2" s="1148"/>
      <c r="C2" s="1148"/>
      <c r="D2" s="1148"/>
      <c r="E2" s="1148"/>
      <c r="F2" s="1148"/>
      <c r="G2" s="1148"/>
      <c r="H2" s="1148"/>
      <c r="I2" s="1148"/>
    </row>
    <row r="4" spans="1:19">
      <c r="A4" s="1117" t="s">
        <v>56</v>
      </c>
    </row>
    <row r="5" spans="1:19">
      <c r="A5" s="1118" t="s">
        <v>57</v>
      </c>
      <c r="C5" s="1119" t="s">
        <v>5</v>
      </c>
      <c r="E5" s="1120" t="s">
        <v>6</v>
      </c>
      <c r="F5" s="1121"/>
      <c r="G5" s="1120" t="s">
        <v>7</v>
      </c>
      <c r="H5" s="1122"/>
      <c r="I5" s="1120" t="s">
        <v>8</v>
      </c>
    </row>
    <row r="6" spans="1:19">
      <c r="E6" s="1121" t="s">
        <v>9</v>
      </c>
      <c r="F6" s="1121"/>
      <c r="G6" s="1121" t="s">
        <v>10</v>
      </c>
      <c r="H6" s="1122"/>
      <c r="I6" s="1121" t="s">
        <v>58</v>
      </c>
    </row>
    <row r="7" spans="1:19">
      <c r="E7" s="1121"/>
      <c r="F7" s="1121"/>
      <c r="G7" s="1121"/>
      <c r="H7" s="1122"/>
      <c r="I7" s="1121"/>
    </row>
    <row r="8" spans="1:19">
      <c r="C8" s="1123" t="s">
        <v>59</v>
      </c>
      <c r="E8" s="1121"/>
      <c r="F8" s="1121"/>
      <c r="G8" s="1121"/>
      <c r="H8" s="1122"/>
      <c r="I8" s="1121"/>
    </row>
    <row r="9" spans="1:19">
      <c r="C9" s="1124" t="s">
        <v>60</v>
      </c>
    </row>
    <row r="10" spans="1:19">
      <c r="A10" s="1117">
        <v>1</v>
      </c>
      <c r="C10" s="1125" t="s">
        <v>19</v>
      </c>
      <c r="E10" s="218">
        <v>2667.1121528331882</v>
      </c>
      <c r="F10" s="218"/>
      <c r="G10" s="218">
        <v>3115.3595121639305</v>
      </c>
      <c r="H10" s="219"/>
      <c r="I10" s="218">
        <f>E10+G10</f>
        <v>5782.4716649971188</v>
      </c>
      <c r="J10" s="1126"/>
    </row>
    <row r="11" spans="1:19">
      <c r="A11" s="1117">
        <f>A10+1</f>
        <v>2</v>
      </c>
      <c r="C11" s="1125" t="s">
        <v>22</v>
      </c>
      <c r="E11" s="218">
        <v>144.28620531788152</v>
      </c>
      <c r="F11" s="218"/>
      <c r="G11" s="218">
        <v>22.505731230277018</v>
      </c>
      <c r="H11" s="219"/>
      <c r="I11" s="218">
        <f t="shared" ref="I11:I12" si="0">E11+G11</f>
        <v>166.79193654815853</v>
      </c>
      <c r="J11" s="1126"/>
      <c r="K11" s="1126"/>
    </row>
    <row r="12" spans="1:19">
      <c r="A12" s="1117">
        <f>A11+1</f>
        <v>3</v>
      </c>
      <c r="C12" s="1125" t="s">
        <v>61</v>
      </c>
      <c r="E12" s="220">
        <v>85.633427639633908</v>
      </c>
      <c r="F12" s="218"/>
      <c r="G12" s="220">
        <v>0</v>
      </c>
      <c r="H12" s="219"/>
      <c r="I12" s="220">
        <f t="shared" si="0"/>
        <v>85.633427639633908</v>
      </c>
      <c r="J12" s="1126"/>
    </row>
    <row r="13" spans="1:19">
      <c r="A13" s="1117">
        <f>A12+1</f>
        <v>4</v>
      </c>
      <c r="C13" s="1124" t="s">
        <v>62</v>
      </c>
      <c r="E13" s="218">
        <f>SUM(E10:E12)</f>
        <v>2897.0317857907035</v>
      </c>
      <c r="F13" s="218"/>
      <c r="G13" s="218">
        <f>SUM(G10:G12)</f>
        <v>3137.8652433942075</v>
      </c>
      <c r="H13" s="219"/>
      <c r="I13" s="218">
        <f>SUM(I10:I12)</f>
        <v>6034.8970291849109</v>
      </c>
    </row>
    <row r="14" spans="1:19">
      <c r="C14" s="1127"/>
      <c r="E14" s="218"/>
      <c r="F14" s="218"/>
      <c r="G14" s="218"/>
      <c r="H14" s="219"/>
      <c r="I14" s="218"/>
    </row>
    <row r="15" spans="1:19" ht="14.1">
      <c r="C15" s="1124" t="s">
        <v>63</v>
      </c>
      <c r="E15" s="218"/>
      <c r="F15" s="218"/>
      <c r="G15" s="218"/>
      <c r="H15" s="219"/>
      <c r="I15" s="218"/>
      <c r="P15"/>
      <c r="Q15"/>
      <c r="R15"/>
      <c r="S15"/>
    </row>
    <row r="16" spans="1:19" ht="14.1">
      <c r="A16" s="1117">
        <f>A13+1</f>
        <v>5</v>
      </c>
      <c r="C16" s="1125" t="s">
        <v>64</v>
      </c>
      <c r="E16" s="218">
        <v>-85.633427639633908</v>
      </c>
      <c r="F16" s="218"/>
      <c r="G16" s="218">
        <v>0</v>
      </c>
      <c r="H16" s="219"/>
      <c r="I16" s="218">
        <f t="shared" ref="I16:I22" si="1">E16+G16</f>
        <v>-85.633427639633908</v>
      </c>
      <c r="P16"/>
      <c r="Q16"/>
      <c r="R16"/>
      <c r="S16"/>
    </row>
    <row r="17" spans="1:19" ht="14.1">
      <c r="A17" s="1117">
        <f t="shared" ref="A17:A21" si="2">A16+1</f>
        <v>6</v>
      </c>
      <c r="C17" s="1125" t="s">
        <v>65</v>
      </c>
      <c r="E17" s="218">
        <v>-0.19885137</v>
      </c>
      <c r="F17" s="218"/>
      <c r="G17" s="218">
        <v>0</v>
      </c>
      <c r="H17" s="219"/>
      <c r="I17" s="218">
        <f t="shared" si="1"/>
        <v>-0.19885137</v>
      </c>
      <c r="P17"/>
      <c r="Q17"/>
      <c r="R17"/>
      <c r="S17"/>
    </row>
    <row r="18" spans="1:19" ht="14.1">
      <c r="A18" s="1117">
        <f t="shared" si="2"/>
        <v>7</v>
      </c>
      <c r="C18" s="1125" t="s">
        <v>66</v>
      </c>
      <c r="E18" s="218">
        <v>-3.560977942268019</v>
      </c>
      <c r="F18" s="218"/>
      <c r="G18" s="218">
        <v>0</v>
      </c>
      <c r="H18" s="219"/>
      <c r="I18" s="218">
        <f t="shared" si="1"/>
        <v>-3.560977942268019</v>
      </c>
      <c r="P18"/>
      <c r="Q18"/>
      <c r="R18"/>
      <c r="S18"/>
    </row>
    <row r="19" spans="1:19" ht="14.1">
      <c r="A19" s="1117">
        <f t="shared" si="2"/>
        <v>8</v>
      </c>
      <c r="C19" s="1125" t="s">
        <v>67</v>
      </c>
      <c r="E19" s="218">
        <v>-12.138692302499877</v>
      </c>
      <c r="F19" s="218"/>
      <c r="G19" s="218">
        <v>0</v>
      </c>
      <c r="H19" s="219"/>
      <c r="I19" s="218">
        <f t="shared" si="1"/>
        <v>-12.138692302499877</v>
      </c>
      <c r="P19"/>
      <c r="Q19"/>
      <c r="R19"/>
      <c r="S19"/>
    </row>
    <row r="20" spans="1:19" ht="14.1">
      <c r="A20" s="1117">
        <f t="shared" si="2"/>
        <v>9</v>
      </c>
      <c r="C20" s="1125" t="s">
        <v>68</v>
      </c>
      <c r="E20" s="218">
        <v>-143.87146378346617</v>
      </c>
      <c r="F20" s="218"/>
      <c r="G20" s="218">
        <v>0</v>
      </c>
      <c r="H20" s="219"/>
      <c r="I20" s="218">
        <f t="shared" si="1"/>
        <v>-143.87146378346617</v>
      </c>
      <c r="P20"/>
      <c r="Q20"/>
      <c r="R20"/>
      <c r="S20"/>
    </row>
    <row r="21" spans="1:19" ht="14.1">
      <c r="A21" s="1117">
        <f t="shared" si="2"/>
        <v>10</v>
      </c>
      <c r="C21" s="1125" t="s">
        <v>69</v>
      </c>
      <c r="E21" s="218">
        <v>-46.925204694014006</v>
      </c>
      <c r="F21" s="218"/>
      <c r="G21" s="218">
        <v>0</v>
      </c>
      <c r="H21" s="219"/>
      <c r="I21" s="218">
        <f t="shared" si="1"/>
        <v>-46.925204694014006</v>
      </c>
      <c r="P21"/>
      <c r="Q21"/>
      <c r="R21"/>
      <c r="S21"/>
    </row>
    <row r="22" spans="1:19" ht="14.1">
      <c r="A22" s="1117">
        <v>11</v>
      </c>
      <c r="C22" s="1125" t="s">
        <v>70</v>
      </c>
      <c r="E22" s="219">
        <v>-2.042397085602373</v>
      </c>
      <c r="F22" s="218"/>
      <c r="G22" s="219">
        <v>0</v>
      </c>
      <c r="H22" s="219"/>
      <c r="I22" s="219">
        <f t="shared" si="1"/>
        <v>-2.042397085602373</v>
      </c>
      <c r="P22"/>
      <c r="Q22"/>
      <c r="R22"/>
      <c r="S22"/>
    </row>
    <row r="23" spans="1:19" ht="14.1">
      <c r="A23" s="1117">
        <v>12</v>
      </c>
      <c r="C23" s="1125" t="s">
        <v>71</v>
      </c>
      <c r="E23" s="219">
        <v>-1.1969395495536583</v>
      </c>
      <c r="F23" s="218"/>
      <c r="G23" s="219">
        <v>0</v>
      </c>
      <c r="H23" s="219"/>
      <c r="I23" s="219">
        <f>E23+G23</f>
        <v>-1.1969395495536583</v>
      </c>
      <c r="P23"/>
      <c r="Q23"/>
      <c r="R23"/>
      <c r="S23"/>
    </row>
    <row r="24" spans="1:19" ht="14.1">
      <c r="A24" s="1117">
        <v>13</v>
      </c>
      <c r="C24" s="1124" t="s">
        <v>72</v>
      </c>
      <c r="E24" s="1128">
        <f>SUM(E16:E23)</f>
        <v>-295.567954367038</v>
      </c>
      <c r="F24" s="218"/>
      <c r="G24" s="1128">
        <f>SUM(G16:G23)</f>
        <v>0</v>
      </c>
      <c r="H24" s="219"/>
      <c r="I24" s="1128">
        <f>SUM(I16:I23)</f>
        <v>-295.567954367038</v>
      </c>
      <c r="P24"/>
      <c r="Q24"/>
      <c r="R24"/>
      <c r="S24"/>
    </row>
    <row r="25" spans="1:19" ht="14.1">
      <c r="E25" s="218"/>
      <c r="F25" s="218"/>
      <c r="G25" s="218"/>
      <c r="H25" s="219"/>
      <c r="I25" s="218"/>
      <c r="P25"/>
      <c r="Q25"/>
      <c r="R25"/>
      <c r="S25"/>
    </row>
    <row r="26" spans="1:19" ht="14.1">
      <c r="A26" s="1117">
        <f>A24+1</f>
        <v>14</v>
      </c>
      <c r="C26" s="150" t="s">
        <v>73</v>
      </c>
      <c r="E26" s="220">
        <f>E13+E24</f>
        <v>2601.4638314236654</v>
      </c>
      <c r="F26" s="218"/>
      <c r="G26" s="220">
        <f>G13+G24</f>
        <v>3137.8652433942075</v>
      </c>
      <c r="H26" s="219"/>
      <c r="I26" s="220">
        <f>I13+I24</f>
        <v>5739.3290748178733</v>
      </c>
      <c r="P26"/>
      <c r="Q26"/>
      <c r="R26"/>
      <c r="S26"/>
    </row>
    <row r="27" spans="1:19" ht="14.1">
      <c r="E27" s="218"/>
      <c r="F27" s="218"/>
      <c r="G27" s="218"/>
      <c r="H27" s="219"/>
      <c r="I27" s="218"/>
      <c r="P27"/>
      <c r="Q27"/>
      <c r="R27"/>
      <c r="S27"/>
    </row>
    <row r="28" spans="1:19" ht="14.1">
      <c r="C28" s="1123" t="s">
        <v>74</v>
      </c>
      <c r="E28" s="218"/>
      <c r="F28" s="218"/>
      <c r="G28" s="218"/>
      <c r="H28" s="219"/>
      <c r="I28" s="218"/>
      <c r="P28"/>
      <c r="Q28"/>
      <c r="R28"/>
      <c r="S28"/>
    </row>
    <row r="29" spans="1:19">
      <c r="A29" s="1117">
        <f>A26+1</f>
        <v>15</v>
      </c>
      <c r="C29" s="1124" t="s">
        <v>75</v>
      </c>
      <c r="E29" s="218">
        <f>-'Sch. 16'!N34</f>
        <v>111.92671742281209</v>
      </c>
      <c r="F29" s="218"/>
      <c r="G29" s="218">
        <f>-'Sch. 16'!O34</f>
        <v>4.4387566099999276</v>
      </c>
      <c r="H29" s="219"/>
      <c r="I29" s="218">
        <f>SUM(E29:G29)</f>
        <v>116.36547403281202</v>
      </c>
    </row>
    <row r="30" spans="1:19">
      <c r="E30" s="1129"/>
      <c r="F30" s="218"/>
      <c r="G30" s="218"/>
      <c r="H30" s="219"/>
      <c r="I30" s="218"/>
    </row>
    <row r="31" spans="1:19">
      <c r="C31" s="1124" t="s">
        <v>76</v>
      </c>
      <c r="E31" s="1129"/>
      <c r="F31" s="218"/>
      <c r="G31" s="218"/>
      <c r="H31" s="219"/>
      <c r="I31" s="218"/>
    </row>
    <row r="32" spans="1:19">
      <c r="A32" s="1117">
        <f>A29+1</f>
        <v>16</v>
      </c>
      <c r="C32" s="1125" t="s">
        <v>68</v>
      </c>
      <c r="E32" s="218">
        <v>39.208235267164653</v>
      </c>
      <c r="F32" s="218"/>
      <c r="G32" s="218">
        <v>0</v>
      </c>
      <c r="H32" s="219"/>
      <c r="I32" s="218">
        <f t="shared" ref="I32:I35" si="3">SUM(E32:G32)</f>
        <v>39.208235267164653</v>
      </c>
    </row>
    <row r="33" spans="1:16" ht="14.1">
      <c r="A33" s="1117">
        <f>A32+1</f>
        <v>17</v>
      </c>
      <c r="C33" s="1125" t="s">
        <v>69</v>
      </c>
      <c r="E33" s="219">
        <v>-0.53451185206761143</v>
      </c>
      <c r="F33" s="218"/>
      <c r="G33" s="219">
        <f>G29</f>
        <v>4.4387566099999276</v>
      </c>
      <c r="H33" s="219"/>
      <c r="I33" s="218">
        <f>SUM(E33:G33)</f>
        <v>3.9042447579323163</v>
      </c>
      <c r="L33"/>
      <c r="M33"/>
      <c r="N33"/>
      <c r="O33"/>
      <c r="P33"/>
    </row>
    <row r="34" spans="1:16" ht="14.1">
      <c r="A34" s="1117">
        <f t="shared" ref="A34:A36" si="4">A33+1</f>
        <v>18</v>
      </c>
      <c r="C34" s="1125" t="s">
        <v>70</v>
      </c>
      <c r="E34" s="219">
        <f>E22*-1</f>
        <v>2.042397085602373</v>
      </c>
      <c r="F34" s="218"/>
      <c r="G34" s="218"/>
      <c r="H34" s="219"/>
      <c r="I34" s="219">
        <f t="shared" si="3"/>
        <v>2.042397085602373</v>
      </c>
      <c r="L34"/>
      <c r="M34"/>
      <c r="N34"/>
      <c r="O34"/>
      <c r="P34"/>
    </row>
    <row r="35" spans="1:16">
      <c r="A35" s="1117">
        <f t="shared" si="4"/>
        <v>19</v>
      </c>
      <c r="C35" s="1125" t="s">
        <v>71</v>
      </c>
      <c r="E35" s="220">
        <v>-1.32341350763404E-2</v>
      </c>
      <c r="F35" s="218"/>
      <c r="G35" s="220">
        <v>0</v>
      </c>
      <c r="H35" s="219"/>
      <c r="I35" s="220">
        <f t="shared" si="3"/>
        <v>-1.32341350763404E-2</v>
      </c>
      <c r="K35" s="1126"/>
      <c r="L35" s="217"/>
    </row>
    <row r="36" spans="1:16">
      <c r="A36" s="1117">
        <f t="shared" si="4"/>
        <v>20</v>
      </c>
      <c r="C36" s="1124" t="s">
        <v>77</v>
      </c>
      <c r="E36" s="219">
        <f>SUM(E32:E35)</f>
        <v>40.70288636562308</v>
      </c>
      <c r="F36" s="218"/>
      <c r="G36" s="219">
        <f>SUM(G32:G35)</f>
        <v>4.4387566099999276</v>
      </c>
      <c r="H36" s="219"/>
      <c r="I36" s="219">
        <f>SUM(I32:I35)</f>
        <v>45.141642975623007</v>
      </c>
      <c r="K36" s="1126"/>
    </row>
    <row r="37" spans="1:16">
      <c r="C37" s="1130"/>
      <c r="E37" s="219"/>
      <c r="F37" s="218"/>
      <c r="G37" s="219"/>
      <c r="H37" s="219"/>
      <c r="I37" s="219"/>
      <c r="K37" s="1126"/>
    </row>
    <row r="38" spans="1:16">
      <c r="A38" s="1117">
        <f>A36+1</f>
        <v>21</v>
      </c>
      <c r="C38" s="1124" t="s">
        <v>78</v>
      </c>
      <c r="E38" s="220">
        <f>E29-E36</f>
        <v>71.223831057189017</v>
      </c>
      <c r="F38" s="218"/>
      <c r="G38" s="220">
        <f>G29-G36</f>
        <v>0</v>
      </c>
      <c r="H38" s="219"/>
      <c r="I38" s="220">
        <f>I29-I36</f>
        <v>71.223831057189017</v>
      </c>
      <c r="K38" s="1126"/>
    </row>
    <row r="39" spans="1:16">
      <c r="E39" s="218"/>
      <c r="F39" s="218"/>
      <c r="G39" s="218"/>
      <c r="H39" s="219"/>
      <c r="I39" s="218"/>
      <c r="M39" s="184"/>
    </row>
    <row r="40" spans="1:16" ht="12.95" thickBot="1">
      <c r="A40" s="1117">
        <f>A38+1</f>
        <v>22</v>
      </c>
      <c r="C40" s="150" t="s">
        <v>79</v>
      </c>
      <c r="E40" s="221">
        <f>E38/E26</f>
        <v>2.7378366824424148E-2</v>
      </c>
      <c r="F40" s="222"/>
      <c r="G40" s="222"/>
      <c r="H40" s="222"/>
      <c r="I40" s="222"/>
      <c r="M40" s="1131"/>
    </row>
    <row r="41" spans="1:16" ht="12.95" thickTop="1">
      <c r="M41" s="184"/>
    </row>
    <row r="42" spans="1:16">
      <c r="A42" s="1132" t="s">
        <v>80</v>
      </c>
    </row>
    <row r="43" spans="1:16">
      <c r="A43" s="1133" t="s">
        <v>40</v>
      </c>
      <c r="C43" s="150" t="s">
        <v>81</v>
      </c>
    </row>
    <row r="44" spans="1:16">
      <c r="A44" s="1133" t="s">
        <v>20</v>
      </c>
      <c r="C44" s="150" t="s">
        <v>82</v>
      </c>
      <c r="J44" s="1126"/>
    </row>
    <row r="45" spans="1:16">
      <c r="A45" s="1133" t="s">
        <v>21</v>
      </c>
      <c r="C45" s="1149" t="s">
        <v>83</v>
      </c>
      <c r="D45" s="1149"/>
      <c r="E45" s="1149"/>
      <c r="F45" s="1149"/>
      <c r="G45" s="1149"/>
      <c r="H45" s="1149"/>
      <c r="I45" s="1149"/>
      <c r="J45" s="1126"/>
    </row>
    <row r="46" spans="1:16" ht="28.9" customHeight="1">
      <c r="A46" s="1133"/>
      <c r="C46" s="1149"/>
      <c r="D46" s="1149"/>
      <c r="E46" s="1149"/>
      <c r="F46" s="1149"/>
      <c r="G46" s="1149"/>
      <c r="H46" s="1149"/>
      <c r="I46" s="1149"/>
      <c r="J46" s="1126"/>
    </row>
    <row r="47" spans="1:16">
      <c r="A47" s="1133" t="s">
        <v>28</v>
      </c>
      <c r="C47" s="1149" t="s">
        <v>84</v>
      </c>
      <c r="D47" s="1149"/>
      <c r="E47" s="1149"/>
      <c r="F47" s="1149"/>
      <c r="G47" s="1149"/>
      <c r="H47" s="1149"/>
      <c r="I47" s="1149"/>
      <c r="J47" s="1126"/>
    </row>
    <row r="48" spans="1:16">
      <c r="A48" s="1133"/>
      <c r="C48" s="1149"/>
      <c r="D48" s="1149"/>
      <c r="E48" s="1149"/>
      <c r="F48" s="1149"/>
      <c r="G48" s="1149"/>
      <c r="H48" s="1149"/>
      <c r="I48" s="1149"/>
      <c r="J48" s="1126"/>
    </row>
    <row r="49" spans="1:3">
      <c r="A49" s="1133" t="s">
        <v>85</v>
      </c>
      <c r="C49" s="150" t="s">
        <v>86</v>
      </c>
    </row>
    <row r="50" spans="1:3">
      <c r="A50" s="1133" t="s">
        <v>87</v>
      </c>
      <c r="C50" s="150" t="s">
        <v>88</v>
      </c>
    </row>
    <row r="51" spans="1:3">
      <c r="A51" s="1133" t="s">
        <v>89</v>
      </c>
      <c r="C51" s="150" t="s">
        <v>90</v>
      </c>
    </row>
    <row r="52" spans="1:3">
      <c r="A52" s="1133"/>
    </row>
  </sheetData>
  <mergeCells count="3">
    <mergeCell ref="A2:I2"/>
    <mergeCell ref="C45:I46"/>
    <mergeCell ref="C47:I48"/>
  </mergeCells>
  <pageMargins left="0.7" right="0.7" top="0.75" bottom="0.75" header="0.3" footer="0.3"/>
  <pageSetup scale="80" orientation="portrait" useFirstPageNumber="1" horizontalDpi="1200" verticalDpi="1200" r:id="rId1"/>
  <headerFooter>
    <oddHeader>&amp;R&amp;10Filed: 2024-02-16
EB-2022-0200
Rate Order
Working Papers
Schedule 17
Page &amp;P of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D16AC-1B4B-4858-A1E3-3A6503A4D015}">
  <dimension ref="A1:Q109"/>
  <sheetViews>
    <sheetView view="pageBreakPreview" zoomScaleNormal="100" zoomScaleSheetLayoutView="100" workbookViewId="0"/>
  </sheetViews>
  <sheetFormatPr defaultColWidth="8.625" defaultRowHeight="15" customHeight="1"/>
  <cols>
    <col min="1" max="1" width="5" style="66" customWidth="1"/>
    <col min="2" max="2" width="1.5" style="66" customWidth="1"/>
    <col min="3" max="3" width="55.625" style="66" customWidth="1"/>
    <col min="4" max="4" width="1.5" style="66" customWidth="1"/>
    <col min="5" max="5" width="10.625" style="67" bestFit="1" customWidth="1"/>
    <col min="6" max="6" width="1.5" style="67" customWidth="1"/>
    <col min="7" max="7" width="9.625" style="67" customWidth="1"/>
    <col min="8" max="8" width="1.5" style="67" customWidth="1"/>
    <col min="9" max="9" width="9.625" style="67" customWidth="1"/>
    <col min="10" max="10" width="8.625" style="66"/>
    <col min="11" max="11" width="11.5" style="66" bestFit="1" customWidth="1"/>
    <col min="12" max="13" width="8.625" style="66"/>
    <col min="14" max="14" width="16.125" style="66" customWidth="1"/>
    <col min="15" max="16" width="11.125" style="66" customWidth="1"/>
    <col min="17" max="16384" width="8.625" style="66"/>
  </cols>
  <sheetData>
    <row r="1" spans="1:11" ht="15" customHeight="1">
      <c r="I1" s="93"/>
    </row>
    <row r="2" spans="1:11" ht="15" customHeight="1">
      <c r="I2" s="93"/>
    </row>
    <row r="3" spans="1:11" ht="15" customHeight="1">
      <c r="I3" s="93"/>
    </row>
    <row r="4" spans="1:11" ht="15" customHeight="1">
      <c r="I4" s="93"/>
    </row>
    <row r="5" spans="1:11" ht="15" customHeight="1">
      <c r="A5" s="165" t="s">
        <v>1109</v>
      </c>
      <c r="B5" s="166"/>
      <c r="C5" s="166"/>
      <c r="D5" s="166"/>
      <c r="E5" s="69"/>
      <c r="F5" s="69"/>
      <c r="G5" s="69"/>
      <c r="H5" s="69"/>
      <c r="I5" s="69"/>
      <c r="J5" s="236"/>
    </row>
    <row r="6" spans="1:11" ht="15" customHeight="1">
      <c r="A6" s="165" t="s">
        <v>1110</v>
      </c>
      <c r="B6" s="166"/>
      <c r="C6" s="166"/>
      <c r="D6" s="166"/>
      <c r="E6" s="69"/>
      <c r="F6" s="69"/>
      <c r="G6" s="69"/>
      <c r="H6" s="69"/>
      <c r="I6" s="69"/>
      <c r="J6" s="236"/>
    </row>
    <row r="7" spans="1:11" ht="15" customHeight="1">
      <c r="I7" s="70"/>
    </row>
    <row r="8" spans="1:11" ht="15" customHeight="1">
      <c r="A8" s="5" t="s">
        <v>56</v>
      </c>
      <c r="B8" s="5"/>
      <c r="C8" s="5"/>
      <c r="E8" s="71"/>
      <c r="I8" s="6" t="s">
        <v>101</v>
      </c>
    </row>
    <row r="9" spans="1:11" ht="15" customHeight="1">
      <c r="A9" s="237" t="s">
        <v>57</v>
      </c>
      <c r="B9" s="58"/>
      <c r="C9" s="238" t="s">
        <v>194</v>
      </c>
      <c r="D9" s="225"/>
      <c r="E9" s="237" t="s">
        <v>1111</v>
      </c>
      <c r="F9" s="71"/>
      <c r="G9" s="237" t="s">
        <v>1112</v>
      </c>
      <c r="H9" s="71"/>
      <c r="I9" s="237" t="s">
        <v>248</v>
      </c>
    </row>
    <row r="10" spans="1:11" ht="15" customHeight="1">
      <c r="E10" s="169" t="s">
        <v>9</v>
      </c>
      <c r="F10" s="71"/>
      <c r="G10" s="169" t="s">
        <v>10</v>
      </c>
      <c r="H10" s="71"/>
      <c r="I10" s="169" t="s">
        <v>58</v>
      </c>
    </row>
    <row r="12" spans="1:11" ht="15" customHeight="1">
      <c r="A12" s="225"/>
      <c r="C12" s="170" t="s">
        <v>1113</v>
      </c>
    </row>
    <row r="13" spans="1:11" ht="15" customHeight="1">
      <c r="A13" s="225" cm="1">
        <f t="array" ref="A13">MAX($A$12:A12+1)</f>
        <v>1</v>
      </c>
      <c r="C13" s="172" t="s">
        <v>1114</v>
      </c>
      <c r="E13" s="72">
        <v>738612</v>
      </c>
      <c r="G13" s="226">
        <v>3.9E-2</v>
      </c>
      <c r="I13" s="72">
        <f>E13*G13/1000</f>
        <v>28.805868</v>
      </c>
      <c r="K13" s="217"/>
    </row>
    <row r="14" spans="1:11" ht="15" customHeight="1">
      <c r="A14" s="225" cm="1">
        <f t="array" ref="A14">MAX($A$12:A13+1)</f>
        <v>2</v>
      </c>
      <c r="C14" s="172" t="s">
        <v>1115</v>
      </c>
      <c r="E14" s="72">
        <v>738612</v>
      </c>
      <c r="G14" s="226">
        <v>1.1114953900582371E-2</v>
      </c>
      <c r="I14" s="72">
        <f>E14*G14/1000</f>
        <v>8.2096383304169471</v>
      </c>
      <c r="K14" s="217"/>
    </row>
    <row r="15" spans="1:11" ht="15" customHeight="1">
      <c r="A15" s="225" cm="1">
        <f t="array" ref="A15">MAX($A$12:A14+1)</f>
        <v>3</v>
      </c>
      <c r="C15" s="172" t="s">
        <v>1116</v>
      </c>
      <c r="E15" s="72">
        <v>738612</v>
      </c>
      <c r="G15" s="226">
        <v>5.2788253676494023E-3</v>
      </c>
      <c r="I15" s="72">
        <f>E15*G15/1000</f>
        <v>3.8990037624502603</v>
      </c>
      <c r="K15" s="217"/>
    </row>
    <row r="16" spans="1:11" ht="15" customHeight="1">
      <c r="A16" s="225" cm="1">
        <f t="array" ref="A16">MAX($A$12:A15+1)</f>
        <v>4</v>
      </c>
      <c r="C16" s="227" t="s">
        <v>1117</v>
      </c>
      <c r="I16" s="1036">
        <f>SUM(I13:I15)</f>
        <v>40.914510092867211</v>
      </c>
      <c r="K16" s="217"/>
    </row>
    <row r="17" spans="1:17" ht="15" customHeight="1">
      <c r="I17" s="78"/>
      <c r="K17" s="217"/>
    </row>
    <row r="18" spans="1:17" ht="15" customHeight="1">
      <c r="C18" s="170" t="s">
        <v>1118</v>
      </c>
      <c r="I18" s="78"/>
      <c r="K18" s="217"/>
    </row>
    <row r="19" spans="1:17" ht="15" customHeight="1">
      <c r="A19" s="225" cm="1">
        <f t="array" ref="A19">MAX($A$12:A18+1)</f>
        <v>5</v>
      </c>
      <c r="C19" s="172" t="s">
        <v>1114</v>
      </c>
      <c r="E19" s="72">
        <v>418156</v>
      </c>
      <c r="G19" s="226">
        <v>3.9E-2</v>
      </c>
      <c r="I19" s="1034">
        <f>E19*G19/1000</f>
        <v>16.308084000000001</v>
      </c>
      <c r="K19" s="217"/>
    </row>
    <row r="20" spans="1:17" ht="15" customHeight="1">
      <c r="A20" s="225" cm="1">
        <f t="array" ref="A20">MAX($A$12:A19+1)</f>
        <v>6</v>
      </c>
      <c r="C20" s="172" t="s">
        <v>1115</v>
      </c>
      <c r="E20" s="72">
        <v>418156</v>
      </c>
      <c r="G20" s="226">
        <v>1.1114953900582371E-2</v>
      </c>
      <c r="I20" s="1034">
        <f>E20*G20/1000</f>
        <v>4.6477846632519224</v>
      </c>
      <c r="K20" s="217"/>
    </row>
    <row r="21" spans="1:17" ht="15" customHeight="1">
      <c r="A21" s="225" cm="1">
        <f t="array" ref="A21">MAX($A$12:A20+1)</f>
        <v>7</v>
      </c>
      <c r="C21" s="172" t="s">
        <v>1116</v>
      </c>
      <c r="E21" s="72">
        <v>418156</v>
      </c>
      <c r="G21" s="226">
        <v>2.7814130862144702E-2</v>
      </c>
      <c r="I21" s="1035">
        <f>E21*G21/1000</f>
        <v>11.630645704790981</v>
      </c>
      <c r="K21" s="217"/>
    </row>
    <row r="22" spans="1:17" ht="15" customHeight="1" thickBot="1">
      <c r="A22" s="225" cm="1">
        <f t="array" ref="A22">MAX($A$12:A21+1)</f>
        <v>8</v>
      </c>
      <c r="C22" s="228" t="s">
        <v>1119</v>
      </c>
      <c r="I22" s="229">
        <f>SUM(I19:I21)</f>
        <v>32.586514368042906</v>
      </c>
      <c r="K22" s="217"/>
    </row>
    <row r="23" spans="1:17" ht="15" customHeight="1" thickTop="1">
      <c r="I23" s="329"/>
      <c r="K23" s="217"/>
    </row>
    <row r="24" spans="1:17" ht="15" customHeight="1">
      <c r="C24" s="170" t="s">
        <v>1120</v>
      </c>
      <c r="I24" s="329"/>
      <c r="K24" s="217"/>
    </row>
    <row r="25" spans="1:17" ht="15" customHeight="1">
      <c r="A25" s="225" cm="1">
        <f t="array" ref="A25">MAX($A$12:A24+1)</f>
        <v>9</v>
      </c>
      <c r="C25" s="172" t="s">
        <v>1121</v>
      </c>
      <c r="E25" s="72">
        <v>162000</v>
      </c>
      <c r="G25" s="230">
        <v>0.23266996778338059</v>
      </c>
      <c r="I25" s="1034">
        <f>E25*G25*12/1000</f>
        <v>452.31041737089191</v>
      </c>
      <c r="K25" s="217"/>
      <c r="N25" s="231"/>
      <c r="O25" s="230"/>
      <c r="P25" s="232"/>
      <c r="Q25" s="233"/>
    </row>
    <row r="26" spans="1:17" ht="15" customHeight="1">
      <c r="A26" s="225" cm="1">
        <f t="array" ref="A26">MAX($A$12:A25+1)</f>
        <v>10</v>
      </c>
      <c r="C26" s="172" t="s">
        <v>1122</v>
      </c>
      <c r="E26" s="72">
        <v>2835</v>
      </c>
      <c r="G26" s="230">
        <v>25.611050374774656</v>
      </c>
      <c r="I26" s="1034">
        <f>E26*G26*12/1000</f>
        <v>871.28793374983388</v>
      </c>
      <c r="K26" s="217"/>
      <c r="N26" s="231"/>
      <c r="O26" s="230"/>
      <c r="P26" s="232"/>
      <c r="Q26" s="233"/>
    </row>
    <row r="27" spans="1:17" ht="15" customHeight="1">
      <c r="A27" s="225" cm="1">
        <f t="array" ref="A27">MAX($A$12:A26+1)</f>
        <v>11</v>
      </c>
      <c r="C27" s="172" t="s">
        <v>1123</v>
      </c>
      <c r="E27" s="72">
        <v>324000</v>
      </c>
      <c r="G27" s="230">
        <v>1.0931917523833883</v>
      </c>
      <c r="I27" s="1034">
        <f>E27*G27/1000</f>
        <v>354.19412777221777</v>
      </c>
      <c r="K27" s="217"/>
      <c r="N27" s="231"/>
      <c r="O27" s="230"/>
      <c r="P27" s="232"/>
      <c r="Q27" s="233"/>
    </row>
    <row r="28" spans="1:17" ht="15" customHeight="1">
      <c r="A28" s="225" cm="1">
        <f t="array" ref="A28">MAX($A$12:A27+1)</f>
        <v>12</v>
      </c>
      <c r="C28" s="172" t="s">
        <v>1124</v>
      </c>
      <c r="E28" s="72">
        <v>12</v>
      </c>
      <c r="G28" s="400">
        <v>29116.67</v>
      </c>
      <c r="I28" s="1035">
        <f>E28*G28/1000</f>
        <v>349.40003999999999</v>
      </c>
      <c r="K28" s="217"/>
    </row>
    <row r="29" spans="1:17" ht="15" customHeight="1">
      <c r="A29" s="225" cm="1">
        <f t="array" ref="A29">MAX($A$12:A28+1)</f>
        <v>13</v>
      </c>
      <c r="C29" s="172" t="s">
        <v>1125</v>
      </c>
      <c r="E29" s="72"/>
      <c r="I29" s="1034">
        <f>SUM(I25:I28)</f>
        <v>2027.1925188929436</v>
      </c>
      <c r="K29" s="217"/>
    </row>
    <row r="30" spans="1:17" ht="15" customHeight="1">
      <c r="A30" s="225" cm="1">
        <f t="array" ref="A30">MAX($A$12:A29+1)</f>
        <v>14</v>
      </c>
      <c r="C30" s="172" t="s">
        <v>1126</v>
      </c>
      <c r="E30" s="72"/>
      <c r="I30" s="73">
        <v>0.3</v>
      </c>
      <c r="K30" s="217"/>
    </row>
    <row r="31" spans="1:17" ht="15" customHeight="1" thickBot="1">
      <c r="A31" s="225" cm="1">
        <f t="array" ref="A31">MAX($A$12:A30+1)</f>
        <v>15</v>
      </c>
      <c r="C31" s="228" t="s">
        <v>1127</v>
      </c>
      <c r="I31" s="229">
        <f>I29*I30</f>
        <v>608.15775566788307</v>
      </c>
      <c r="K31" s="217"/>
    </row>
    <row r="32" spans="1:17" ht="15" customHeight="1" thickTop="1">
      <c r="K32" s="217"/>
    </row>
    <row r="33" spans="1:17" ht="15" customHeight="1">
      <c r="C33" s="170" t="s">
        <v>1128</v>
      </c>
      <c r="K33" s="217"/>
    </row>
    <row r="34" spans="1:17" ht="15" customHeight="1">
      <c r="A34" s="225" cm="1">
        <f t="array" ref="A34">MAX($A$12:A33+1)</f>
        <v>16</v>
      </c>
      <c r="C34" s="172" t="s">
        <v>1121</v>
      </c>
      <c r="E34" s="72">
        <v>28300</v>
      </c>
      <c r="G34" s="230">
        <v>0.45246113131159693</v>
      </c>
      <c r="I34" s="1034">
        <f>E34*G34*12/1000</f>
        <v>153.65580019341834</v>
      </c>
      <c r="K34" s="217"/>
      <c r="N34" s="172"/>
      <c r="O34" s="230"/>
      <c r="P34" s="232"/>
      <c r="Q34" s="233"/>
    </row>
    <row r="35" spans="1:17" ht="15" customHeight="1">
      <c r="A35" s="225" cm="1">
        <f t="array" ref="A35">MAX($A$12:A34+1)</f>
        <v>17</v>
      </c>
      <c r="C35" s="172" t="s">
        <v>1122</v>
      </c>
      <c r="E35" s="72">
        <v>283</v>
      </c>
      <c r="G35" s="230">
        <v>50.043834751941183</v>
      </c>
      <c r="I35" s="1034">
        <f>E35*G35*12/1000</f>
        <v>169.94886281759224</v>
      </c>
      <c r="K35" s="217"/>
      <c r="N35" s="172"/>
      <c r="O35" s="230"/>
      <c r="P35" s="232"/>
      <c r="Q35" s="233"/>
    </row>
    <row r="36" spans="1:17" ht="15" customHeight="1">
      <c r="A36" s="225" cm="1">
        <f t="array" ref="A36">MAX($A$12:A35+1)</f>
        <v>18</v>
      </c>
      <c r="C36" s="172" t="s">
        <v>1123</v>
      </c>
      <c r="E36" s="72">
        <v>56600</v>
      </c>
      <c r="G36" s="230">
        <v>1.3114948700445344</v>
      </c>
      <c r="I36" s="1035">
        <f>E36*G36/1000</f>
        <v>74.230609644520655</v>
      </c>
      <c r="K36" s="217"/>
      <c r="N36" s="172"/>
      <c r="O36" s="230"/>
      <c r="P36" s="232"/>
      <c r="Q36" s="233"/>
    </row>
    <row r="37" spans="1:17" ht="15" customHeight="1">
      <c r="A37" s="225" cm="1">
        <f t="array" ref="A37">MAX($A$12:A36+1)</f>
        <v>19</v>
      </c>
      <c r="C37" s="172" t="s">
        <v>1125</v>
      </c>
      <c r="I37" s="1034">
        <f>SUM(I34:I36)</f>
        <v>397.83527265553124</v>
      </c>
      <c r="K37" s="217"/>
    </row>
    <row r="38" spans="1:17" ht="15" customHeight="1">
      <c r="A38" s="225" cm="1">
        <f t="array" ref="A38">MAX($A$12:A37+1)</f>
        <v>20</v>
      </c>
      <c r="C38" s="172" t="s">
        <v>1126</v>
      </c>
      <c r="I38" s="73">
        <v>0.42364471137236287</v>
      </c>
      <c r="K38" s="217"/>
    </row>
    <row r="39" spans="1:17" ht="15" customHeight="1" thickBot="1">
      <c r="A39" s="225" cm="1">
        <f t="array" ref="A39">MAX($A$12:A38+1)</f>
        <v>21</v>
      </c>
      <c r="C39" s="228" t="s">
        <v>1129</v>
      </c>
      <c r="I39" s="229">
        <f>I37*I38</f>
        <v>168.54080925789782</v>
      </c>
      <c r="K39" s="217"/>
    </row>
    <row r="40" spans="1:17" ht="15" customHeight="1" thickTop="1">
      <c r="C40" s="168"/>
      <c r="I40" s="329"/>
      <c r="K40" s="217"/>
    </row>
    <row r="41" spans="1:17" ht="15" customHeight="1">
      <c r="C41" s="170" t="s">
        <v>1130</v>
      </c>
      <c r="I41" s="329"/>
      <c r="K41" s="217"/>
    </row>
    <row r="42" spans="1:17" ht="15" customHeight="1">
      <c r="A42" s="225" cm="1">
        <f t="array" ref="A42">MAX($A$12:A41+1)</f>
        <v>22</v>
      </c>
      <c r="C42" s="172" t="s">
        <v>1131</v>
      </c>
      <c r="I42" s="72">
        <v>48.079757689903722</v>
      </c>
      <c r="K42" s="217"/>
    </row>
    <row r="43" spans="1:17" ht="15" customHeight="1">
      <c r="A43" s="225" cm="1">
        <f t="array" ref="A43">MAX($A$12:A42+1)</f>
        <v>23</v>
      </c>
      <c r="C43" s="172" t="s">
        <v>908</v>
      </c>
      <c r="I43" s="72">
        <v>82.978207695495016</v>
      </c>
      <c r="K43" s="217"/>
    </row>
    <row r="44" spans="1:17" ht="15" customHeight="1">
      <c r="A44" s="225" cm="1">
        <f t="array" ref="A44">MAX($A$12:A43+1)</f>
        <v>24</v>
      </c>
      <c r="C44" s="172" t="s">
        <v>1132</v>
      </c>
      <c r="I44" s="72">
        <v>228.91603032106798</v>
      </c>
      <c r="K44" s="217"/>
    </row>
    <row r="45" spans="1:17" ht="15" customHeight="1" thickBot="1">
      <c r="A45" s="225" cm="1">
        <f t="array" ref="A45">MAX($A$12:A44+1)</f>
        <v>25</v>
      </c>
      <c r="C45" s="228" t="s">
        <v>1133</v>
      </c>
      <c r="I45" s="229">
        <f>SUM(I42:I44)</f>
        <v>359.97399570646672</v>
      </c>
      <c r="K45" s="217"/>
    </row>
    <row r="46" spans="1:17" ht="15" customHeight="1" thickTop="1">
      <c r="I46" s="1034"/>
      <c r="K46" s="217"/>
    </row>
    <row r="47" spans="1:17" ht="15" customHeight="1" thickBot="1">
      <c r="A47" s="225" cm="1">
        <f t="array" ref="A47">MAX($A$12:A45+1)</f>
        <v>26</v>
      </c>
      <c r="C47" s="178" t="s">
        <v>1134</v>
      </c>
      <c r="I47" s="229">
        <f>I16+I22+I31+I39+I45</f>
        <v>1210.1735850931577</v>
      </c>
      <c r="K47" s="217"/>
    </row>
    <row r="48" spans="1:17" ht="15" customHeight="1" thickTop="1"/>
    <row r="49" spans="1:12" ht="15" customHeight="1">
      <c r="A49" s="180" t="s">
        <v>80</v>
      </c>
      <c r="B49" s="178"/>
      <c r="C49" s="178"/>
      <c r="D49" s="178"/>
      <c r="E49" s="178"/>
      <c r="F49" s="178"/>
      <c r="G49" s="178"/>
      <c r="H49" s="178"/>
    </row>
    <row r="50" spans="1:12" ht="42.6" customHeight="1">
      <c r="A50" s="181" t="s">
        <v>169</v>
      </c>
      <c r="B50" s="182"/>
      <c r="C50" s="1182" t="s">
        <v>1135</v>
      </c>
      <c r="D50" s="1182"/>
      <c r="E50" s="1182"/>
      <c r="F50" s="1182"/>
      <c r="G50" s="1182"/>
      <c r="H50" s="1182"/>
      <c r="I50" s="1182"/>
    </row>
    <row r="51" spans="1:12" ht="15" customHeight="1">
      <c r="A51" s="234" t="s">
        <v>20</v>
      </c>
      <c r="B51" s="67"/>
      <c r="C51" s="235" t="s">
        <v>1136</v>
      </c>
      <c r="D51" s="235"/>
      <c r="E51" s="235"/>
      <c r="F51" s="235"/>
      <c r="G51" s="235"/>
      <c r="H51" s="235"/>
      <c r="I51" s="235"/>
    </row>
    <row r="52" spans="1:12" ht="15" customHeight="1">
      <c r="A52" s="234" t="s">
        <v>21</v>
      </c>
      <c r="C52" s="1183" t="s">
        <v>1137</v>
      </c>
      <c r="D52" s="1183"/>
      <c r="E52" s="1183"/>
      <c r="F52" s="1183"/>
      <c r="G52" s="1183"/>
      <c r="H52" s="1183"/>
      <c r="I52" s="1183"/>
    </row>
    <row r="53" spans="1:12" ht="15" customHeight="1">
      <c r="A53" s="183"/>
      <c r="C53" s="1183"/>
      <c r="D53" s="1183"/>
      <c r="E53" s="1183"/>
      <c r="F53" s="1183"/>
      <c r="G53" s="1183"/>
      <c r="H53" s="1183"/>
      <c r="I53" s="1183"/>
    </row>
    <row r="54" spans="1:12" ht="15" customHeight="1">
      <c r="J54" s="239"/>
    </row>
    <row r="55" spans="1:12" ht="15" customHeight="1">
      <c r="J55" s="239"/>
    </row>
    <row r="56" spans="1:12" ht="15" customHeight="1">
      <c r="J56" s="239"/>
    </row>
    <row r="57" spans="1:12" ht="15" customHeight="1">
      <c r="J57" s="239"/>
    </row>
    <row r="58" spans="1:12" ht="15" customHeight="1">
      <c r="J58" s="239"/>
    </row>
    <row r="59" spans="1:12" ht="15" customHeight="1">
      <c r="A59" s="165"/>
      <c r="B59" s="166"/>
      <c r="C59" s="166"/>
      <c r="D59" s="166"/>
      <c r="E59" s="69"/>
      <c r="F59" s="69"/>
      <c r="G59" s="69"/>
      <c r="H59" s="69"/>
      <c r="I59" s="69"/>
      <c r="J59" s="239"/>
    </row>
    <row r="60" spans="1:12" ht="15" customHeight="1">
      <c r="A60" s="165"/>
      <c r="B60" s="166"/>
      <c r="C60" s="166"/>
      <c r="D60" s="166"/>
      <c r="E60" s="69"/>
      <c r="F60" s="69"/>
      <c r="G60" s="69"/>
      <c r="H60" s="69"/>
      <c r="I60" s="69"/>
      <c r="J60" s="236"/>
    </row>
    <row r="61" spans="1:12" ht="15" customHeight="1">
      <c r="A61" s="67"/>
      <c r="B61" s="67"/>
      <c r="C61" s="67"/>
    </row>
    <row r="62" spans="1:12" ht="15" customHeight="1">
      <c r="A62" s="167"/>
      <c r="B62" s="168"/>
      <c r="C62" s="168"/>
      <c r="E62" s="71"/>
      <c r="F62" s="167"/>
      <c r="G62" s="71"/>
      <c r="H62" s="71"/>
      <c r="I62" s="71"/>
    </row>
    <row r="63" spans="1:12" ht="15" customHeight="1">
      <c r="A63" s="167"/>
      <c r="B63" s="168"/>
      <c r="C63" s="168"/>
      <c r="E63" s="71"/>
      <c r="F63" s="167"/>
      <c r="G63" s="71"/>
      <c r="H63" s="71"/>
      <c r="I63" s="71"/>
      <c r="L63" s="6"/>
    </row>
    <row r="64" spans="1:12" ht="15" customHeight="1">
      <c r="A64" s="167"/>
      <c r="B64" s="168"/>
      <c r="C64" s="168"/>
      <c r="E64" s="169"/>
      <c r="F64" s="71"/>
      <c r="G64" s="169"/>
      <c r="H64" s="71"/>
      <c r="I64" s="169"/>
    </row>
    <row r="65" spans="1:9" ht="15" customHeight="1">
      <c r="A65" s="167"/>
      <c r="B65" s="168"/>
      <c r="C65" s="168"/>
      <c r="E65" s="71"/>
      <c r="F65" s="71"/>
      <c r="G65" s="71"/>
      <c r="H65" s="71"/>
      <c r="I65" s="71"/>
    </row>
    <row r="66" spans="1:9" ht="15" customHeight="1">
      <c r="A66" s="167"/>
      <c r="B66" s="168"/>
      <c r="C66" s="170"/>
      <c r="E66" s="71"/>
      <c r="F66" s="71"/>
      <c r="G66" s="71"/>
      <c r="H66" s="71"/>
      <c r="I66" s="71"/>
    </row>
    <row r="67" spans="1:9" ht="15" customHeight="1">
      <c r="A67" s="171"/>
      <c r="B67" s="168"/>
      <c r="C67" s="172"/>
      <c r="E67" s="72"/>
      <c r="F67" s="173"/>
      <c r="G67" s="174"/>
      <c r="H67" s="173"/>
      <c r="I67" s="75"/>
    </row>
    <row r="68" spans="1:9" ht="15" customHeight="1">
      <c r="A68" s="175"/>
      <c r="B68" s="67"/>
      <c r="C68" s="172"/>
      <c r="E68" s="72"/>
      <c r="F68" s="173"/>
      <c r="G68" s="174"/>
      <c r="H68" s="173"/>
      <c r="I68" s="75"/>
    </row>
    <row r="69" spans="1:9" ht="15" customHeight="1">
      <c r="A69" s="175"/>
      <c r="B69" s="67"/>
      <c r="C69" s="172"/>
      <c r="E69" s="72"/>
      <c r="F69" s="173"/>
      <c r="G69" s="174"/>
      <c r="H69" s="173"/>
      <c r="I69" s="75"/>
    </row>
    <row r="70" spans="1:9" ht="15" customHeight="1">
      <c r="A70" s="176"/>
      <c r="B70" s="67"/>
      <c r="C70" s="168"/>
      <c r="E70" s="173"/>
      <c r="F70" s="173"/>
      <c r="G70" s="177"/>
      <c r="H70" s="173"/>
      <c r="I70" s="75"/>
    </row>
    <row r="71" spans="1:9" ht="15" customHeight="1">
      <c r="A71" s="67"/>
      <c r="B71" s="67"/>
      <c r="C71" s="168"/>
      <c r="E71" s="173"/>
      <c r="F71" s="173"/>
      <c r="G71" s="177"/>
      <c r="H71" s="173"/>
      <c r="I71" s="173"/>
    </row>
    <row r="72" spans="1:9" ht="15" customHeight="1">
      <c r="A72" s="167"/>
      <c r="B72" s="168"/>
      <c r="C72" s="170"/>
      <c r="E72" s="75"/>
      <c r="F72" s="75"/>
      <c r="G72" s="174"/>
      <c r="H72" s="75"/>
      <c r="I72" s="75"/>
    </row>
    <row r="73" spans="1:9" ht="15" customHeight="1">
      <c r="A73" s="171"/>
      <c r="B73" s="168"/>
      <c r="C73" s="172"/>
      <c r="E73" s="72"/>
      <c r="F73" s="173"/>
      <c r="G73" s="174"/>
      <c r="H73" s="173"/>
      <c r="I73" s="75"/>
    </row>
    <row r="74" spans="1:9" ht="15" customHeight="1">
      <c r="A74" s="176"/>
      <c r="B74" s="178"/>
      <c r="C74" s="172"/>
      <c r="E74" s="72"/>
      <c r="F74" s="173"/>
      <c r="G74" s="174"/>
      <c r="H74" s="173"/>
      <c r="I74" s="75"/>
    </row>
    <row r="75" spans="1:9" ht="15" customHeight="1">
      <c r="A75" s="176"/>
      <c r="B75" s="178"/>
      <c r="C75" s="172"/>
      <c r="E75" s="72"/>
      <c r="F75" s="173"/>
      <c r="G75" s="174"/>
      <c r="H75" s="173"/>
      <c r="I75" s="75"/>
    </row>
    <row r="76" spans="1:9" ht="15" customHeight="1">
      <c r="A76" s="176"/>
      <c r="B76" s="178"/>
      <c r="C76" s="178"/>
      <c r="E76" s="173"/>
      <c r="F76" s="173"/>
      <c r="G76" s="177"/>
      <c r="H76" s="173"/>
      <c r="I76" s="75"/>
    </row>
    <row r="77" spans="1:9" ht="15" customHeight="1">
      <c r="A77" s="176"/>
      <c r="B77" s="178"/>
      <c r="C77" s="178"/>
      <c r="E77" s="173"/>
      <c r="F77" s="173"/>
      <c r="G77" s="177"/>
      <c r="H77" s="173"/>
      <c r="I77" s="75"/>
    </row>
    <row r="78" spans="1:9" ht="15" customHeight="1">
      <c r="A78" s="167"/>
      <c r="B78" s="168"/>
      <c r="C78" s="170"/>
      <c r="E78" s="75"/>
      <c r="F78" s="75"/>
      <c r="G78" s="174"/>
      <c r="H78" s="75"/>
      <c r="I78" s="75"/>
    </row>
    <row r="79" spans="1:9" ht="15" customHeight="1">
      <c r="A79" s="171"/>
      <c r="B79" s="168"/>
      <c r="C79" s="172"/>
      <c r="E79" s="72"/>
      <c r="F79" s="173"/>
      <c r="G79" s="174"/>
      <c r="H79" s="173"/>
      <c r="I79" s="75"/>
    </row>
    <row r="80" spans="1:9" ht="15" customHeight="1">
      <c r="A80" s="171"/>
      <c r="B80" s="168"/>
      <c r="C80" s="172"/>
      <c r="E80" s="72"/>
      <c r="F80" s="173"/>
      <c r="G80" s="174"/>
      <c r="H80" s="173"/>
      <c r="I80" s="75"/>
    </row>
    <row r="81" spans="1:9" ht="15" customHeight="1">
      <c r="A81" s="171"/>
      <c r="B81" s="168"/>
      <c r="C81" s="172"/>
      <c r="E81" s="72"/>
      <c r="F81" s="173"/>
      <c r="G81" s="174"/>
      <c r="H81" s="173"/>
      <c r="I81" s="75"/>
    </row>
    <row r="82" spans="1:9" ht="15" customHeight="1">
      <c r="A82" s="171"/>
      <c r="B82" s="178"/>
      <c r="C82" s="172"/>
      <c r="E82" s="72"/>
      <c r="F82" s="173"/>
      <c r="G82" s="174"/>
      <c r="H82" s="173"/>
      <c r="I82" s="75"/>
    </row>
    <row r="83" spans="1:9" ht="15" customHeight="1">
      <c r="A83" s="171"/>
      <c r="B83" s="178"/>
      <c r="C83" s="172"/>
      <c r="E83" s="178"/>
      <c r="F83" s="173"/>
      <c r="G83" s="174"/>
      <c r="H83" s="173"/>
      <c r="I83" s="179"/>
    </row>
    <row r="84" spans="1:9" ht="15" customHeight="1">
      <c r="A84" s="171"/>
      <c r="B84" s="178"/>
      <c r="C84" s="178"/>
      <c r="E84" s="173"/>
      <c r="F84" s="173"/>
      <c r="G84" s="177"/>
      <c r="H84" s="173"/>
      <c r="I84" s="75"/>
    </row>
    <row r="85" spans="1:9" ht="15" customHeight="1">
      <c r="A85" s="176"/>
      <c r="B85" s="178"/>
      <c r="C85" s="168"/>
      <c r="E85" s="173"/>
      <c r="F85" s="173"/>
      <c r="G85" s="174"/>
      <c r="H85" s="173"/>
      <c r="I85" s="75"/>
    </row>
    <row r="86" spans="1:9" ht="15" customHeight="1">
      <c r="A86" s="167"/>
      <c r="B86" s="168"/>
      <c r="C86" s="170"/>
      <c r="E86" s="75"/>
      <c r="F86" s="75"/>
      <c r="G86" s="174"/>
      <c r="H86" s="75"/>
      <c r="I86" s="75"/>
    </row>
    <row r="87" spans="1:9" ht="15" customHeight="1">
      <c r="A87" s="167"/>
      <c r="B87" s="168"/>
      <c r="C87" s="172"/>
      <c r="E87" s="72"/>
      <c r="F87" s="173"/>
      <c r="G87" s="174"/>
      <c r="H87" s="173"/>
      <c r="I87" s="75"/>
    </row>
    <row r="88" spans="1:9" ht="15" customHeight="1">
      <c r="A88" s="167"/>
      <c r="B88" s="168"/>
      <c r="C88" s="172"/>
      <c r="E88" s="72"/>
      <c r="F88" s="173"/>
      <c r="G88" s="174"/>
      <c r="H88" s="173"/>
      <c r="I88" s="75"/>
    </row>
    <row r="89" spans="1:9" ht="15" customHeight="1">
      <c r="A89" s="167"/>
      <c r="B89" s="168"/>
      <c r="C89" s="172"/>
      <c r="E89" s="72"/>
      <c r="F89" s="173"/>
      <c r="G89" s="174"/>
      <c r="H89" s="173"/>
      <c r="I89" s="75"/>
    </row>
    <row r="90" spans="1:9" ht="15" customHeight="1">
      <c r="A90" s="167"/>
      <c r="B90" s="178"/>
      <c r="C90" s="172"/>
      <c r="E90" s="178"/>
      <c r="F90" s="173"/>
      <c r="G90" s="174"/>
      <c r="H90" s="173"/>
      <c r="I90" s="75"/>
    </row>
    <row r="91" spans="1:9" ht="15" customHeight="1">
      <c r="A91" s="167"/>
      <c r="B91" s="178"/>
      <c r="C91" s="172"/>
      <c r="E91" s="178"/>
      <c r="F91" s="173"/>
      <c r="G91" s="174"/>
      <c r="H91" s="173"/>
      <c r="I91" s="179"/>
    </row>
    <row r="92" spans="1:9" ht="15" customHeight="1">
      <c r="A92" s="167"/>
      <c r="B92" s="178"/>
      <c r="C92" s="178"/>
      <c r="E92" s="173"/>
      <c r="F92" s="173"/>
      <c r="G92" s="177"/>
      <c r="H92" s="173"/>
      <c r="I92" s="75"/>
    </row>
    <row r="93" spans="1:9" ht="15" customHeight="1">
      <c r="A93" s="176"/>
      <c r="B93" s="178"/>
      <c r="C93" s="168"/>
      <c r="E93" s="173"/>
      <c r="F93" s="173"/>
      <c r="G93" s="174"/>
      <c r="H93" s="173"/>
      <c r="I93" s="75"/>
    </row>
    <row r="94" spans="1:9" ht="15" customHeight="1">
      <c r="A94" s="167"/>
      <c r="B94" s="168"/>
      <c r="C94" s="170"/>
      <c r="E94" s="75"/>
      <c r="F94" s="75"/>
      <c r="G94" s="174"/>
      <c r="H94" s="75"/>
      <c r="I94" s="75"/>
    </row>
    <row r="95" spans="1:9" ht="15" customHeight="1">
      <c r="A95" s="171"/>
      <c r="B95" s="168"/>
      <c r="C95" s="172"/>
      <c r="E95" s="173"/>
      <c r="F95" s="173"/>
      <c r="G95" s="174"/>
      <c r="H95" s="173"/>
      <c r="I95" s="75"/>
    </row>
    <row r="96" spans="1:9" ht="15" customHeight="1">
      <c r="A96" s="171"/>
      <c r="B96" s="178"/>
      <c r="C96" s="172"/>
      <c r="E96" s="173"/>
      <c r="F96" s="173"/>
      <c r="G96" s="174"/>
      <c r="H96" s="173"/>
      <c r="I96" s="75"/>
    </row>
    <row r="97" spans="1:9" ht="15" customHeight="1">
      <c r="A97" s="171"/>
      <c r="B97" s="178"/>
      <c r="C97" s="178"/>
      <c r="E97" s="173"/>
      <c r="F97" s="173"/>
      <c r="G97" s="173"/>
      <c r="H97" s="173"/>
      <c r="I97" s="75"/>
    </row>
    <row r="98" spans="1:9" ht="15" customHeight="1">
      <c r="A98" s="176"/>
      <c r="B98" s="178"/>
      <c r="C98" s="168"/>
      <c r="E98" s="173"/>
      <c r="F98" s="173"/>
      <c r="G98" s="75"/>
      <c r="H98" s="173"/>
      <c r="I98" s="75"/>
    </row>
    <row r="99" spans="1:9" ht="15" customHeight="1">
      <c r="A99" s="176"/>
      <c r="B99" s="178"/>
      <c r="C99" s="178"/>
      <c r="E99" s="173"/>
      <c r="F99" s="173"/>
      <c r="G99" s="173"/>
      <c r="H99" s="173"/>
      <c r="I99" s="75"/>
    </row>
    <row r="101" spans="1:9" ht="15" customHeight="1">
      <c r="A101" s="180"/>
      <c r="B101" s="178"/>
      <c r="C101" s="178"/>
      <c r="D101" s="178"/>
      <c r="E101" s="178"/>
      <c r="F101" s="178"/>
      <c r="G101" s="178"/>
      <c r="H101" s="178"/>
    </row>
    <row r="102" spans="1:9" ht="12.75" customHeight="1">
      <c r="A102" s="181"/>
      <c r="B102" s="182"/>
      <c r="C102" s="1182"/>
      <c r="D102" s="1182"/>
      <c r="E102" s="1182"/>
      <c r="F102" s="1182"/>
      <c r="G102" s="1182"/>
      <c r="H102" s="1182"/>
      <c r="I102" s="1182"/>
    </row>
    <row r="103" spans="1:9" ht="12.75" customHeight="1">
      <c r="A103" s="181"/>
      <c r="B103" s="182"/>
      <c r="C103" s="1182"/>
      <c r="D103" s="1182"/>
      <c r="E103" s="1182"/>
      <c r="F103" s="1182"/>
      <c r="G103" s="1182"/>
      <c r="H103" s="1182"/>
      <c r="I103" s="1182"/>
    </row>
    <row r="104" spans="1:9" ht="12.75" customHeight="1">
      <c r="A104" s="181"/>
      <c r="B104" s="182"/>
      <c r="C104" s="1182"/>
      <c r="D104" s="1182"/>
      <c r="E104" s="1182"/>
      <c r="F104" s="1182"/>
      <c r="G104" s="1182"/>
      <c r="H104" s="1182"/>
      <c r="I104" s="1182"/>
    </row>
    <row r="105" spans="1:9" ht="12.75" customHeight="1">
      <c r="A105" s="181"/>
      <c r="B105" s="182"/>
      <c r="C105" s="1182"/>
      <c r="D105" s="1182"/>
      <c r="E105" s="1182"/>
      <c r="F105" s="1182"/>
      <c r="G105" s="1182"/>
      <c r="H105" s="1182"/>
      <c r="I105" s="1182"/>
    </row>
    <row r="106" spans="1:9" ht="12.75" customHeight="1">
      <c r="A106" s="183"/>
      <c r="B106" s="67"/>
      <c r="C106" s="1182"/>
      <c r="D106" s="1182"/>
      <c r="E106" s="1182"/>
      <c r="F106" s="1182"/>
      <c r="G106" s="1182"/>
      <c r="H106" s="1182"/>
      <c r="I106" s="1182"/>
    </row>
    <row r="107" spans="1:9" ht="12.75" customHeight="1">
      <c r="A107" s="183"/>
      <c r="B107" s="67"/>
      <c r="C107" s="67"/>
      <c r="D107" s="67"/>
    </row>
    <row r="108" spans="1:9" ht="15" customHeight="1">
      <c r="A108" s="183"/>
      <c r="B108" s="67"/>
      <c r="C108" s="67"/>
      <c r="D108" s="67"/>
    </row>
    <row r="109" spans="1:9" ht="15" customHeight="1">
      <c r="A109" s="183"/>
      <c r="B109" s="67"/>
      <c r="C109" s="67"/>
      <c r="D109" s="67"/>
    </row>
  </sheetData>
  <mergeCells count="4">
    <mergeCell ref="C52:I53"/>
    <mergeCell ref="C102:I103"/>
    <mergeCell ref="C104:I106"/>
    <mergeCell ref="C50:I50"/>
  </mergeCells>
  <printOptions horizontalCentered="1"/>
  <pageMargins left="0.7" right="0.7" top="0.75" bottom="0.75" header="0.3" footer="0.3"/>
  <pageSetup scale="78" orientation="portrait" horizontalDpi="1200" verticalDpi="1200" r:id="rId1"/>
  <headerFooter>
    <oddHeader xml:space="preserve">&amp;R&amp;10Filed: 2024-02-16
EB-2022-0200
Rate Order
Working Papers
Schedule 25
Page &amp;P of &amp;N </oddHeader>
  </headerFooter>
  <rowBreaks count="1" manualBreakCount="1">
    <brk id="5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43EB-2C49-4514-8929-0E48FC720BA7}">
  <dimension ref="A1:R56"/>
  <sheetViews>
    <sheetView view="pageBreakPreview" zoomScaleNormal="100" zoomScaleSheetLayoutView="100" workbookViewId="0"/>
  </sheetViews>
  <sheetFormatPr defaultColWidth="9" defaultRowHeight="12.6"/>
  <cols>
    <col min="1" max="1" width="17" style="136" customWidth="1"/>
    <col min="2" max="2" width="5.625" style="136" bestFit="1" customWidth="1"/>
    <col min="3" max="3" width="2.125" style="136" customWidth="1"/>
    <col min="4" max="4" width="21.625" style="136" customWidth="1"/>
    <col min="5" max="5" width="2.125" style="136" customWidth="1"/>
    <col min="6" max="6" width="15.125" style="136" customWidth="1"/>
    <col min="7" max="7" width="2.125" style="136" customWidth="1"/>
    <col min="8" max="8" width="17" style="136" customWidth="1"/>
    <col min="9" max="9" width="2.125" style="136" customWidth="1"/>
    <col min="10" max="10" width="10.125" style="136" customWidth="1"/>
    <col min="11" max="11" width="1.5" style="136" customWidth="1"/>
    <col min="12" max="12" width="10.25" style="136" customWidth="1"/>
    <col min="13" max="13" width="1.5" style="136" customWidth="1"/>
    <col min="14" max="14" width="10.25" style="136" customWidth="1"/>
    <col min="15" max="15" width="1.5" style="136" customWidth="1"/>
    <col min="16" max="16" width="10.25" style="136" customWidth="1"/>
    <col min="17" max="17" width="1.5" style="136" customWidth="1"/>
    <col min="18" max="18" width="10.25" style="136" customWidth="1"/>
    <col min="19" max="19" width="1.5" style="136" customWidth="1"/>
    <col min="20" max="16384" width="9" style="136"/>
  </cols>
  <sheetData>
    <row r="1" spans="1:18" ht="31.9" customHeight="1">
      <c r="B1" s="138"/>
      <c r="F1" s="138"/>
      <c r="G1" s="138"/>
      <c r="H1" s="247"/>
      <c r="I1" s="138"/>
      <c r="J1" s="138"/>
      <c r="N1" s="897"/>
    </row>
    <row r="2" spans="1:18" ht="30.6" customHeight="1">
      <c r="B2" s="138"/>
      <c r="F2" s="138"/>
      <c r="H2" s="138"/>
      <c r="I2" s="138"/>
      <c r="J2" s="138"/>
      <c r="K2" s="897"/>
      <c r="L2" s="897"/>
      <c r="M2" s="897"/>
      <c r="N2" s="897"/>
    </row>
    <row r="3" spans="1:18">
      <c r="A3" s="1177" t="s">
        <v>1138</v>
      </c>
      <c r="B3" s="1177"/>
      <c r="C3" s="1177"/>
      <c r="D3" s="1177"/>
      <c r="E3" s="1177"/>
      <c r="F3" s="1177"/>
      <c r="G3" s="1177"/>
      <c r="H3" s="1177"/>
      <c r="I3" s="138"/>
      <c r="J3" s="138"/>
      <c r="K3" s="897"/>
      <c r="L3" s="897"/>
      <c r="M3" s="897"/>
      <c r="N3" s="897"/>
    </row>
    <row r="4" spans="1:18">
      <c r="A4" s="1177" t="s">
        <v>1139</v>
      </c>
      <c r="B4" s="1177"/>
      <c r="C4" s="1177"/>
      <c r="D4" s="1177"/>
      <c r="E4" s="1177"/>
      <c r="F4" s="1177"/>
      <c r="G4" s="1177"/>
      <c r="H4" s="1177"/>
      <c r="I4" s="301"/>
      <c r="J4" s="301"/>
      <c r="K4" s="301"/>
      <c r="L4" s="301"/>
      <c r="M4" s="301"/>
      <c r="N4" s="301"/>
      <c r="O4" s="301"/>
      <c r="P4" s="301"/>
      <c r="Q4" s="301"/>
    </row>
    <row r="6" spans="1:18">
      <c r="F6" s="138"/>
      <c r="H6" s="138"/>
      <c r="J6" s="138"/>
      <c r="L6" s="138"/>
      <c r="N6" s="138"/>
      <c r="P6" s="138"/>
      <c r="R6" s="138"/>
    </row>
    <row r="7" spans="1:18">
      <c r="F7" s="138" t="s">
        <v>1140</v>
      </c>
    </row>
    <row r="8" spans="1:18">
      <c r="B8" s="138" t="s">
        <v>56</v>
      </c>
      <c r="F8" s="138" t="s">
        <v>1141</v>
      </c>
      <c r="H8" s="138"/>
      <c r="J8" s="138"/>
      <c r="L8" s="138"/>
      <c r="N8" s="138"/>
      <c r="P8" s="138"/>
      <c r="R8" s="138"/>
    </row>
    <row r="9" spans="1:18">
      <c r="B9" s="189" t="s">
        <v>57</v>
      </c>
      <c r="D9" s="896" t="s">
        <v>194</v>
      </c>
      <c r="F9" s="189" t="s">
        <v>248</v>
      </c>
      <c r="H9" s="138"/>
      <c r="J9" s="138"/>
      <c r="L9" s="138"/>
      <c r="N9" s="895"/>
      <c r="P9" s="138"/>
      <c r="R9" s="138"/>
    </row>
    <row r="10" spans="1:18">
      <c r="F10" s="191" t="s">
        <v>9</v>
      </c>
      <c r="G10" s="138"/>
      <c r="H10" s="191"/>
      <c r="I10" s="138"/>
      <c r="J10" s="191"/>
      <c r="K10" s="138"/>
      <c r="L10" s="191"/>
      <c r="N10" s="191"/>
      <c r="O10" s="138"/>
      <c r="P10" s="191"/>
      <c r="Q10" s="138"/>
      <c r="R10" s="191"/>
    </row>
    <row r="12" spans="1:18">
      <c r="D12" s="301" t="s">
        <v>125</v>
      </c>
    </row>
    <row r="13" spans="1:18">
      <c r="B13" s="138">
        <v>1</v>
      </c>
      <c r="D13" s="146" t="s">
        <v>127</v>
      </c>
      <c r="F13" s="217">
        <f>'Sch. 26 pp.2-7'!Q31</f>
        <v>11470.20745925232</v>
      </c>
    </row>
    <row r="14" spans="1:18">
      <c r="B14" s="138">
        <f>MAX($B$13:B13)+1</f>
        <v>2</v>
      </c>
      <c r="D14" s="146" t="s">
        <v>128</v>
      </c>
      <c r="F14" s="217">
        <f>'Sch. 26 pp.2-7'!Q50</f>
        <v>10051.769459258816</v>
      </c>
    </row>
    <row r="15" spans="1:18">
      <c r="B15" s="138">
        <f>MAX($B$13:B14)+1</f>
        <v>3</v>
      </c>
      <c r="D15" s="146" t="s">
        <v>129</v>
      </c>
      <c r="F15" s="217">
        <f>'Sch. 26 pp.2-7'!Q63</f>
        <v>16.167493627131421</v>
      </c>
    </row>
    <row r="16" spans="1:18">
      <c r="B16" s="138">
        <f>MAX($B$13:B15)+1</f>
        <v>4</v>
      </c>
      <c r="D16" s="146" t="s">
        <v>130</v>
      </c>
      <c r="F16" s="217">
        <f>'Sch. 26 pp.2-7'!Q79</f>
        <v>363.53504978355505</v>
      </c>
    </row>
    <row r="17" spans="2:6">
      <c r="B17" s="138">
        <f>MAX($B$13:B16)+1</f>
        <v>5</v>
      </c>
      <c r="D17" s="146" t="s">
        <v>131</v>
      </c>
      <c r="F17" s="217">
        <f>'Sch. 26 pp.2-7'!Q95</f>
        <v>-62.850610326050415</v>
      </c>
    </row>
    <row r="18" spans="2:6">
      <c r="B18" s="138">
        <f>MAX($B$13:B17)+1</f>
        <v>6</v>
      </c>
      <c r="D18" s="146" t="s">
        <v>132</v>
      </c>
      <c r="F18" s="217">
        <f>'Sch. 26 pp.2-7'!Q119</f>
        <v>158.15482829250777</v>
      </c>
    </row>
    <row r="19" spans="2:6">
      <c r="B19" s="138">
        <f>MAX($B$13:B18)+1</f>
        <v>7</v>
      </c>
      <c r="D19" s="146" t="s">
        <v>133</v>
      </c>
      <c r="F19" s="217">
        <f>'Sch. 26 pp.2-7'!Q146</f>
        <v>23.104916439474241</v>
      </c>
    </row>
    <row r="20" spans="2:6">
      <c r="B20" s="138">
        <f>MAX($B$13:B19)+1</f>
        <v>8</v>
      </c>
      <c r="D20" s="146" t="s">
        <v>134</v>
      </c>
      <c r="F20" s="217">
        <f>'Sch. 26 pp.2-7'!Q165</f>
        <v>-256.2171622648321</v>
      </c>
    </row>
    <row r="21" spans="2:6">
      <c r="B21" s="138">
        <f>MAX($B$13:B20)+1</f>
        <v>9</v>
      </c>
      <c r="D21" s="146" t="s">
        <v>135</v>
      </c>
      <c r="F21" s="217">
        <f>'Sch. 26 pp.2-7'!Q183</f>
        <v>-58.82722476813948</v>
      </c>
    </row>
    <row r="22" spans="2:6">
      <c r="B22" s="138">
        <f>MAX($B$13:B21)+1</f>
        <v>10</v>
      </c>
      <c r="D22" s="146" t="s">
        <v>136</v>
      </c>
      <c r="F22" s="217">
        <f>'Sch. 26 pp.2-7'!Q198</f>
        <v>64.486890799149194</v>
      </c>
    </row>
    <row r="23" spans="2:6">
      <c r="B23" s="138">
        <f>MAX($B$13:B22)+1</f>
        <v>11</v>
      </c>
      <c r="D23" s="136" t="str">
        <f>"Total " &amp;D12</f>
        <v>Total EGD Rate Zone</v>
      </c>
      <c r="F23" s="894">
        <f>SUM(F13:F22)</f>
        <v>21769.531100093929</v>
      </c>
    </row>
    <row r="24" spans="2:6">
      <c r="F24" s="217"/>
    </row>
    <row r="25" spans="2:6">
      <c r="D25" s="301" t="s">
        <v>139</v>
      </c>
      <c r="F25" s="217"/>
    </row>
    <row r="26" spans="2:6">
      <c r="B26" s="138">
        <f>MAX($B$13:B25)+1</f>
        <v>12</v>
      </c>
      <c r="D26" s="146" t="s">
        <v>140</v>
      </c>
      <c r="F26" s="217">
        <f>'Sch. 26 pp.2-7'!Q235</f>
        <v>4213.9396391651899</v>
      </c>
    </row>
    <row r="27" spans="2:6">
      <c r="B27" s="138">
        <f>MAX($B$13:B26)+1</f>
        <v>13</v>
      </c>
      <c r="D27" s="146" t="s">
        <v>141</v>
      </c>
      <c r="F27" s="217">
        <f>'Sch. 26 pp.2-7'!Q259</f>
        <v>-19.185175457056005</v>
      </c>
    </row>
    <row r="28" spans="2:6">
      <c r="B28" s="138">
        <f>MAX($B$13:B27)+1</f>
        <v>14</v>
      </c>
      <c r="D28" s="146" t="s">
        <v>142</v>
      </c>
      <c r="F28" s="217">
        <f>'Sch. 26 pp.2-7'!Q299</f>
        <v>24.857550649922189</v>
      </c>
    </row>
    <row r="29" spans="2:6">
      <c r="B29" s="138">
        <f>MAX($B$13:B28)+1</f>
        <v>15</v>
      </c>
      <c r="D29" s="146" t="s">
        <v>143</v>
      </c>
      <c r="F29" s="217">
        <f>'Sch. 26 pp.2-7'!Q327</f>
        <v>7.3161714438604681</v>
      </c>
    </row>
    <row r="30" spans="2:6">
      <c r="B30" s="138">
        <f>MAX($B$13:B29)+1</f>
        <v>16</v>
      </c>
      <c r="D30" s="146" t="s">
        <v>129</v>
      </c>
      <c r="F30" s="217">
        <f>'Sch. 26 pp.2-7'!Q354</f>
        <v>1.1215622458933989</v>
      </c>
    </row>
    <row r="31" spans="2:6">
      <c r="B31" s="138">
        <f>MAX($B$13:B30)+1</f>
        <v>17</v>
      </c>
      <c r="D31" s="136" t="str">
        <f>"Total " &amp;D25</f>
        <v>Total Union North Rate Zone</v>
      </c>
      <c r="F31" s="894">
        <f>SUM(F26:F30)</f>
        <v>4228.0497480478089</v>
      </c>
    </row>
    <row r="32" spans="2:6">
      <c r="F32" s="217"/>
    </row>
    <row r="33" spans="2:6">
      <c r="D33" s="301" t="s">
        <v>145</v>
      </c>
      <c r="F33" s="217"/>
    </row>
    <row r="34" spans="2:6">
      <c r="B34" s="138">
        <f>MAX($B$13:B33)+1</f>
        <v>18</v>
      </c>
      <c r="D34" s="146" t="s">
        <v>146</v>
      </c>
      <c r="F34" s="217">
        <f>'Sch. 26 pp.2-7'!Q368</f>
        <v>12900.493369229085</v>
      </c>
    </row>
    <row r="35" spans="2:6">
      <c r="B35" s="138">
        <f>MAX($B$13:B34)+1</f>
        <v>19</v>
      </c>
      <c r="D35" s="146" t="s">
        <v>147</v>
      </c>
      <c r="F35" s="217">
        <f>'Sch. 26 pp.2-7'!Q383</f>
        <v>-79.677124053462393</v>
      </c>
    </row>
    <row r="36" spans="2:6">
      <c r="B36" s="138">
        <f>MAX($B$13:B35)+1</f>
        <v>20</v>
      </c>
      <c r="D36" s="146" t="s">
        <v>148</v>
      </c>
      <c r="F36" s="217">
        <f>'Sch. 26 pp.2-7'!Q424</f>
        <v>46.47203453310874</v>
      </c>
    </row>
    <row r="37" spans="2:6">
      <c r="B37" s="138">
        <f>MAX($B$13:B36)+1</f>
        <v>21</v>
      </c>
      <c r="D37" s="146" t="s">
        <v>149</v>
      </c>
      <c r="F37" s="217">
        <f>'Sch. 26 pp.2-7'!Q449</f>
        <v>0.92276119851963467</v>
      </c>
    </row>
    <row r="38" spans="2:6">
      <c r="B38" s="138">
        <f>MAX($B$13:B37)+1</f>
        <v>22</v>
      </c>
      <c r="D38" s="146" t="s">
        <v>150</v>
      </c>
      <c r="F38" s="217">
        <f>'Sch. 26 pp.2-7'!Q465</f>
        <v>90.942696530615621</v>
      </c>
    </row>
    <row r="39" spans="2:6">
      <c r="B39" s="138">
        <f>MAX($B$13:B38)+1</f>
        <v>23</v>
      </c>
      <c r="D39" s="146" t="s">
        <v>151</v>
      </c>
      <c r="F39" s="217">
        <f>'Sch. 26 pp.2-7'!Q473</f>
        <v>1.9539336539272674</v>
      </c>
    </row>
    <row r="40" spans="2:6">
      <c r="B40" s="138">
        <f>MAX($B$13:B39)+1</f>
        <v>24</v>
      </c>
      <c r="D40" s="146" t="s">
        <v>152</v>
      </c>
      <c r="F40" s="217">
        <f>'Sch. 26 pp.2-7'!Q520</f>
        <v>33.207140701809621</v>
      </c>
    </row>
    <row r="41" spans="2:6">
      <c r="B41" s="138">
        <f>MAX($B$13:B40)+1</f>
        <v>25</v>
      </c>
      <c r="D41" s="146" t="s">
        <v>153</v>
      </c>
      <c r="F41" s="217">
        <f>'Sch. 26 pp.2-7'!Q552</f>
        <v>328.59576801390881</v>
      </c>
    </row>
    <row r="42" spans="2:6">
      <c r="B42" s="138">
        <f>MAX($B$13:B41)+1</f>
        <v>26</v>
      </c>
      <c r="D42" s="146" t="s">
        <v>154</v>
      </c>
      <c r="F42" s="217">
        <f>'Sch. 26 pp.2-7'!Q577</f>
        <v>44.050149919988939</v>
      </c>
    </row>
    <row r="43" spans="2:6">
      <c r="B43" s="138">
        <f>MAX($B$13:B42)+1</f>
        <v>27</v>
      </c>
      <c r="D43" s="146" t="s">
        <v>1142</v>
      </c>
      <c r="F43" s="217">
        <f>'Sch. 26 pp.2-7'!O580</f>
        <v>186.34816992331233</v>
      </c>
    </row>
    <row r="44" spans="2:6">
      <c r="B44" s="138">
        <f>MAX($B$13:B43)+1</f>
        <v>28</v>
      </c>
      <c r="D44" s="136" t="str">
        <f>"Total " &amp;D33</f>
        <v>Total Union South Rate Zone</v>
      </c>
      <c r="F44" s="893">
        <f>SUM(F34:F43)</f>
        <v>13553.308899650814</v>
      </c>
    </row>
    <row r="45" spans="2:6">
      <c r="D45" s="146"/>
    </row>
    <row r="46" spans="2:6" ht="12.95" thickBot="1">
      <c r="B46" s="138">
        <f>MAX($B$13:B45)+1</f>
        <v>29</v>
      </c>
      <c r="D46" s="143" t="s">
        <v>1125</v>
      </c>
      <c r="F46" s="892">
        <f>F23+F31+F44</f>
        <v>39550.889747792549</v>
      </c>
    </row>
    <row r="47" spans="2:6" ht="12.95" thickTop="1"/>
    <row r="49" spans="2:6">
      <c r="B49" s="197" t="s">
        <v>849</v>
      </c>
    </row>
    <row r="50" spans="2:6">
      <c r="B50" s="191" t="s">
        <v>40</v>
      </c>
      <c r="D50" s="136" t="s">
        <v>1143</v>
      </c>
    </row>
    <row r="51" spans="2:6">
      <c r="B51" s="518"/>
    </row>
    <row r="55" spans="2:6">
      <c r="E55" s="247"/>
      <c r="F55" s="217"/>
    </row>
    <row r="56" spans="2:6">
      <c r="E56" s="247"/>
      <c r="F56" s="192"/>
    </row>
  </sheetData>
  <mergeCells count="2">
    <mergeCell ref="A3:H3"/>
    <mergeCell ref="A4:H4"/>
  </mergeCells>
  <printOptions horizontalCentered="1"/>
  <pageMargins left="0.7" right="0.7" top="0.75" bottom="0.75" header="0.3" footer="0.3"/>
  <pageSetup scale="85" fitToHeight="0" orientation="portrait" r:id="rId1"/>
  <headerFooter>
    <oddHeader>&amp;R&amp;10Filed: 2024-02-16
EB-2022-0200
Rate Order
Working Papers
Schedule 26
Page &amp;P of 10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C2B9C-EEB1-453F-AFBA-5BC410D18758}">
  <dimension ref="A1:AJ662"/>
  <sheetViews>
    <sheetView view="pageBreakPreview" zoomScaleNormal="100" zoomScaleSheetLayoutView="100" zoomScalePageLayoutView="70" workbookViewId="0"/>
  </sheetViews>
  <sheetFormatPr defaultColWidth="9" defaultRowHeight="12.6"/>
  <cols>
    <col min="1" max="1" width="5.625" style="138" customWidth="1"/>
    <col min="2" max="2" width="2.5" style="136" customWidth="1"/>
    <col min="3" max="3" width="49.25" style="136" customWidth="1"/>
    <col min="4" max="4" width="1.625" style="136" customWidth="1"/>
    <col min="5" max="5" width="9" style="136" customWidth="1"/>
    <col min="6" max="6" width="1.625" style="136" customWidth="1"/>
    <col min="7" max="7" width="13.625" style="136" bestFit="1" customWidth="1"/>
    <col min="8" max="8" width="2.125" style="136" customWidth="1"/>
    <col min="9" max="9" width="9.625" style="136" bestFit="1" customWidth="1"/>
    <col min="10" max="10" width="2.125" style="136" customWidth="1"/>
    <col min="11" max="11" width="10.25" style="136" bestFit="1" customWidth="1"/>
    <col min="12" max="12" width="2.125" style="136" customWidth="1"/>
    <col min="13" max="13" width="16.625" style="136" customWidth="1"/>
    <col min="14" max="14" width="2.125" style="136" customWidth="1"/>
    <col min="15" max="15" width="10.125" style="136" bestFit="1" customWidth="1"/>
    <col min="16" max="16" width="2.125" style="136" customWidth="1"/>
    <col min="17" max="17" width="14.625" style="136" bestFit="1" customWidth="1"/>
    <col min="18" max="18" width="2.125" style="136" customWidth="1"/>
    <col min="19" max="16384" width="9" style="136"/>
  </cols>
  <sheetData>
    <row r="1" spans="1:28">
      <c r="A1" s="140"/>
      <c r="B1" s="114"/>
      <c r="C1" s="114"/>
      <c r="D1" s="114"/>
      <c r="E1" s="114"/>
      <c r="F1" s="114"/>
      <c r="G1" s="114"/>
      <c r="H1" s="114"/>
      <c r="I1" s="114"/>
      <c r="J1" s="114"/>
      <c r="K1" s="114"/>
      <c r="L1" s="114"/>
      <c r="M1" s="114"/>
      <c r="N1" s="114"/>
      <c r="O1" s="114"/>
      <c r="P1" s="114"/>
      <c r="Q1" s="114"/>
    </row>
    <row r="2" spans="1:28">
      <c r="A2" s="140"/>
      <c r="B2" s="114"/>
      <c r="C2" s="114"/>
      <c r="D2" s="114"/>
      <c r="E2" s="114"/>
      <c r="F2" s="114"/>
      <c r="G2" s="114"/>
      <c r="H2" s="114"/>
      <c r="I2" s="114"/>
      <c r="J2" s="114"/>
      <c r="K2" s="114"/>
      <c r="L2" s="114"/>
      <c r="M2" s="114"/>
      <c r="N2" s="114"/>
      <c r="O2" s="114"/>
      <c r="P2" s="114"/>
      <c r="Q2" s="114"/>
    </row>
    <row r="3" spans="1:28">
      <c r="A3" s="140"/>
      <c r="B3" s="114"/>
      <c r="C3" s="114"/>
      <c r="D3" s="114"/>
      <c r="E3" s="114"/>
      <c r="F3" s="114"/>
      <c r="G3" s="114"/>
      <c r="H3" s="114"/>
      <c r="I3" s="114"/>
      <c r="J3" s="114"/>
      <c r="K3" s="114"/>
      <c r="L3" s="114"/>
      <c r="M3" s="114"/>
      <c r="N3" s="114"/>
      <c r="O3" s="114"/>
      <c r="P3" s="114"/>
      <c r="Q3" s="114"/>
    </row>
    <row r="4" spans="1:28">
      <c r="A4" s="140"/>
      <c r="B4" s="114"/>
      <c r="C4" s="114"/>
      <c r="D4" s="114"/>
      <c r="E4" s="114"/>
      <c r="F4" s="114"/>
      <c r="G4" s="114"/>
      <c r="H4" s="114"/>
      <c r="I4" s="114"/>
      <c r="J4" s="114"/>
      <c r="K4" s="114"/>
      <c r="L4" s="114"/>
      <c r="M4" s="114"/>
      <c r="N4" s="114"/>
      <c r="O4" s="114"/>
      <c r="P4" s="114"/>
      <c r="Q4" s="114"/>
    </row>
    <row r="5" spans="1:28">
      <c r="A5" s="140"/>
      <c r="B5" s="114"/>
      <c r="C5" s="114"/>
      <c r="D5" s="114"/>
      <c r="E5" s="114"/>
      <c r="F5" s="114"/>
      <c r="G5" s="114"/>
      <c r="H5" s="114"/>
      <c r="I5" s="114"/>
      <c r="J5" s="114"/>
      <c r="K5" s="114"/>
      <c r="L5" s="114"/>
      <c r="M5" s="114"/>
      <c r="N5" s="114"/>
      <c r="O5" s="114"/>
      <c r="P5" s="114"/>
      <c r="Q5" s="114"/>
    </row>
    <row r="6" spans="1:28">
      <c r="A6" s="140"/>
      <c r="B6" s="114"/>
      <c r="C6" s="114"/>
      <c r="D6" s="114"/>
      <c r="E6" s="114"/>
      <c r="F6" s="114"/>
      <c r="G6" s="114"/>
      <c r="H6" s="114"/>
      <c r="I6" s="114"/>
      <c r="J6" s="114"/>
      <c r="K6" s="114"/>
      <c r="L6" s="114"/>
      <c r="M6" s="114"/>
      <c r="N6" s="114"/>
      <c r="O6" s="114"/>
      <c r="P6" s="114"/>
      <c r="Q6" s="429"/>
    </row>
    <row r="7" spans="1:28">
      <c r="A7" s="1187" t="s">
        <v>1138</v>
      </c>
      <c r="B7" s="1188"/>
      <c r="C7" s="1188"/>
      <c r="D7" s="1188"/>
      <c r="E7" s="1188"/>
      <c r="F7" s="1188"/>
      <c r="G7" s="1188"/>
      <c r="H7" s="1188"/>
      <c r="I7" s="1188"/>
      <c r="J7" s="1188"/>
      <c r="K7" s="1188"/>
      <c r="L7" s="1188"/>
      <c r="M7" s="1188"/>
      <c r="N7" s="1188"/>
      <c r="O7" s="1188"/>
      <c r="P7" s="1188"/>
      <c r="Q7" s="1188"/>
    </row>
    <row r="8" spans="1:28">
      <c r="A8" s="1187" t="s">
        <v>1139</v>
      </c>
      <c r="B8" s="1187"/>
      <c r="C8" s="1187"/>
      <c r="D8" s="1187"/>
      <c r="E8" s="1187"/>
      <c r="F8" s="1187"/>
      <c r="G8" s="1187"/>
      <c r="H8" s="1187"/>
      <c r="I8" s="1187"/>
      <c r="J8" s="1187"/>
      <c r="K8" s="1187"/>
      <c r="L8" s="1187"/>
      <c r="M8" s="1187"/>
      <c r="N8" s="1187"/>
      <c r="O8" s="1187"/>
      <c r="P8" s="1187"/>
      <c r="Q8" s="1187"/>
    </row>
    <row r="9" spans="1:28">
      <c r="A9" s="140"/>
      <c r="B9" s="114"/>
      <c r="C9" s="114"/>
      <c r="D9" s="114"/>
      <c r="E9" s="114"/>
      <c r="F9" s="114"/>
      <c r="G9" s="114"/>
      <c r="H9" s="114"/>
      <c r="I9" s="114"/>
      <c r="J9" s="114"/>
      <c r="K9" s="114"/>
      <c r="L9" s="114"/>
      <c r="M9" s="114"/>
      <c r="N9" s="114"/>
      <c r="O9" s="114"/>
      <c r="P9" s="114"/>
      <c r="Q9" s="114"/>
    </row>
    <row r="10" spans="1:28">
      <c r="A10" s="140"/>
      <c r="B10" s="114"/>
      <c r="C10" s="114"/>
      <c r="D10" s="114"/>
      <c r="E10" s="114"/>
      <c r="F10" s="114"/>
      <c r="G10" s="114"/>
      <c r="H10" s="114"/>
      <c r="I10" s="114"/>
      <c r="J10" s="114"/>
      <c r="K10" s="114"/>
      <c r="L10" s="114"/>
      <c r="M10" s="114"/>
      <c r="N10" s="114"/>
      <c r="O10" s="114"/>
      <c r="P10" s="114"/>
      <c r="Q10" s="114"/>
      <c r="R10" s="897"/>
    </row>
    <row r="11" spans="1:28">
      <c r="A11" s="140" t="s">
        <v>56</v>
      </c>
      <c r="B11" s="114"/>
      <c r="C11" s="114"/>
      <c r="D11" s="114"/>
      <c r="E11" s="114"/>
      <c r="F11" s="114"/>
      <c r="G11" s="140" t="s">
        <v>1144</v>
      </c>
      <c r="H11" s="114"/>
      <c r="I11" s="140" t="s">
        <v>102</v>
      </c>
      <c r="J11" s="114"/>
      <c r="K11" s="140" t="s">
        <v>1145</v>
      </c>
      <c r="L11" s="114"/>
      <c r="M11" s="140" t="s">
        <v>1146</v>
      </c>
      <c r="N11" s="114"/>
      <c r="O11" s="140" t="s">
        <v>1147</v>
      </c>
      <c r="P11" s="114"/>
      <c r="Q11" s="140" t="s">
        <v>1148</v>
      </c>
      <c r="S11" s="1189"/>
      <c r="T11" s="1189"/>
      <c r="U11" s="1189"/>
      <c r="V11" s="1189"/>
      <c r="W11" s="1189"/>
      <c r="X11" s="1189"/>
      <c r="Y11" s="1189"/>
      <c r="Z11" s="1189"/>
      <c r="AA11" s="1189"/>
      <c r="AB11" s="1189"/>
    </row>
    <row r="12" spans="1:28">
      <c r="A12" s="199" t="s">
        <v>57</v>
      </c>
      <c r="B12" s="114"/>
      <c r="C12" s="433" t="s">
        <v>194</v>
      </c>
      <c r="D12" s="114"/>
      <c r="E12" s="199" t="s">
        <v>245</v>
      </c>
      <c r="F12" s="140"/>
      <c r="G12" s="199" t="s">
        <v>235</v>
      </c>
      <c r="H12" s="114"/>
      <c r="I12" s="199" t="s">
        <v>1149</v>
      </c>
      <c r="J12" s="114"/>
      <c r="K12" s="199" t="s">
        <v>1147</v>
      </c>
      <c r="L12" s="114"/>
      <c r="M12" s="199" t="s">
        <v>1150</v>
      </c>
      <c r="N12" s="114"/>
      <c r="O12" s="199" t="s">
        <v>248</v>
      </c>
      <c r="P12" s="114"/>
      <c r="Q12" s="199" t="s">
        <v>248</v>
      </c>
      <c r="S12" s="138"/>
      <c r="T12" s="138"/>
      <c r="U12" s="138"/>
      <c r="V12" s="138"/>
      <c r="W12" s="138"/>
      <c r="X12" s="138"/>
      <c r="Y12" s="138"/>
      <c r="Z12" s="138"/>
      <c r="AA12" s="138"/>
      <c r="AB12" s="138"/>
    </row>
    <row r="13" spans="1:28">
      <c r="A13" s="140"/>
      <c r="B13" s="114"/>
      <c r="C13" s="114"/>
      <c r="D13" s="114"/>
      <c r="E13" s="114"/>
      <c r="F13" s="114"/>
      <c r="G13" s="202" t="s">
        <v>9</v>
      </c>
      <c r="H13" s="140"/>
      <c r="I13" s="202" t="s">
        <v>10</v>
      </c>
      <c r="J13" s="140"/>
      <c r="K13" s="202" t="s">
        <v>846</v>
      </c>
      <c r="L13" s="114"/>
      <c r="M13" s="202" t="s">
        <v>12</v>
      </c>
      <c r="N13" s="114"/>
      <c r="O13" s="202" t="s">
        <v>1151</v>
      </c>
      <c r="P13" s="114"/>
      <c r="Q13" s="140" t="s">
        <v>115</v>
      </c>
    </row>
    <row r="14" spans="1:28">
      <c r="A14" s="140"/>
      <c r="B14" s="114"/>
      <c r="C14" s="114"/>
      <c r="D14" s="114"/>
      <c r="E14" s="114"/>
      <c r="F14" s="114"/>
      <c r="G14" s="202"/>
      <c r="H14" s="140"/>
      <c r="I14" s="202"/>
      <c r="J14" s="140"/>
      <c r="K14" s="202"/>
      <c r="L14" s="114"/>
      <c r="M14" s="202"/>
      <c r="N14" s="114"/>
      <c r="O14" s="202"/>
      <c r="P14" s="114"/>
      <c r="Q14" s="114"/>
    </row>
    <row r="15" spans="1:28">
      <c r="A15" s="140"/>
      <c r="B15" s="114"/>
      <c r="C15" s="875"/>
      <c r="D15" s="114"/>
      <c r="E15" s="114"/>
      <c r="F15" s="114"/>
      <c r="G15" s="202"/>
      <c r="H15" s="140"/>
      <c r="I15" s="202"/>
      <c r="J15" s="140"/>
      <c r="K15" s="202"/>
      <c r="L15" s="114"/>
      <c r="M15" s="202"/>
      <c r="N15" s="114"/>
      <c r="O15" s="202"/>
      <c r="P15" s="114"/>
      <c r="Q15" s="114"/>
    </row>
    <row r="16" spans="1:28">
      <c r="A16" s="140"/>
      <c r="B16" s="114"/>
      <c r="C16" s="875" t="s">
        <v>127</v>
      </c>
      <c r="D16" s="114"/>
      <c r="E16" s="114"/>
      <c r="F16" s="114"/>
      <c r="G16" s="114"/>
      <c r="H16" s="114"/>
      <c r="I16" s="114"/>
      <c r="J16" s="114"/>
      <c r="K16" s="114"/>
      <c r="L16" s="114"/>
      <c r="M16" s="114"/>
      <c r="N16" s="114"/>
      <c r="O16" s="114"/>
      <c r="P16" s="114"/>
      <c r="Q16" s="114"/>
    </row>
    <row r="17" spans="1:17">
      <c r="A17" s="140">
        <v>1</v>
      </c>
      <c r="B17" s="114"/>
      <c r="C17" s="114" t="s">
        <v>258</v>
      </c>
      <c r="D17" s="114"/>
      <c r="E17" s="140" t="s">
        <v>523</v>
      </c>
      <c r="F17" s="140"/>
      <c r="G17" s="99">
        <v>21.878786989991127</v>
      </c>
      <c r="H17" s="920"/>
      <c r="I17" s="99">
        <v>24.728996861884422</v>
      </c>
      <c r="J17" s="919"/>
      <c r="K17" s="99">
        <f>I17-G17</f>
        <v>2.8502098718932949</v>
      </c>
      <c r="L17" s="114"/>
      <c r="M17" s="135">
        <v>8629517.0000035521</v>
      </c>
      <c r="N17" s="135"/>
      <c r="O17" s="135">
        <f>(K17*M17)/1000</f>
        <v>24595.934543081134</v>
      </c>
      <c r="P17" s="135"/>
      <c r="Q17" s="135"/>
    </row>
    <row r="18" spans="1:17">
      <c r="A18" s="140"/>
      <c r="B18" s="114"/>
      <c r="C18" s="114" t="s">
        <v>260</v>
      </c>
      <c r="D18" s="114"/>
      <c r="E18" s="140"/>
      <c r="F18" s="140"/>
      <c r="G18" s="928"/>
      <c r="H18" s="114"/>
      <c r="I18" s="928"/>
      <c r="J18" s="114"/>
      <c r="K18" s="928"/>
      <c r="L18" s="114"/>
      <c r="M18" s="135"/>
      <c r="N18" s="135"/>
      <c r="O18" s="135"/>
      <c r="P18" s="135"/>
      <c r="Q18" s="135"/>
    </row>
    <row r="19" spans="1:17">
      <c r="A19" s="140">
        <f>A17+1</f>
        <v>2</v>
      </c>
      <c r="B19" s="114"/>
      <c r="C19" s="876" t="s">
        <v>261</v>
      </c>
      <c r="D19" s="114"/>
      <c r="E19" s="140" t="s">
        <v>525</v>
      </c>
      <c r="F19" s="140"/>
      <c r="G19" s="902">
        <v>10.625586308573068</v>
      </c>
      <c r="H19" s="114"/>
      <c r="I19" s="902">
        <v>10.187796988903653</v>
      </c>
      <c r="J19" s="114"/>
      <c r="K19" s="902">
        <f>I19-G19</f>
        <v>-0.43778931966941492</v>
      </c>
      <c r="L19" s="114"/>
      <c r="M19" s="135">
        <v>232981.49714345211</v>
      </c>
      <c r="N19" s="135"/>
      <c r="O19" s="135">
        <f>(K19*M19)/100</f>
        <v>-1019.9681112999365</v>
      </c>
      <c r="P19" s="135"/>
      <c r="Q19" s="135"/>
    </row>
    <row r="20" spans="1:17">
      <c r="A20" s="140">
        <f>A19+1</f>
        <v>3</v>
      </c>
      <c r="B20" s="114"/>
      <c r="C20" s="876" t="s">
        <v>263</v>
      </c>
      <c r="D20" s="114"/>
      <c r="E20" s="140" t="s">
        <v>525</v>
      </c>
      <c r="F20" s="140"/>
      <c r="G20" s="902">
        <v>9.9455984153461188</v>
      </c>
      <c r="H20" s="114"/>
      <c r="I20" s="902">
        <v>9.4893470044355812</v>
      </c>
      <c r="J20" s="114"/>
      <c r="K20" s="902">
        <f>I20-G20</f>
        <v>-0.45625141091053756</v>
      </c>
      <c r="L20" s="114"/>
      <c r="M20" s="135">
        <v>419228.50793916028</v>
      </c>
      <c r="N20" s="135"/>
      <c r="O20" s="135">
        <f>(K20*M20)/100</f>
        <v>-1912.7359824116138</v>
      </c>
      <c r="P20" s="135"/>
      <c r="Q20" s="135"/>
    </row>
    <row r="21" spans="1:17">
      <c r="A21" s="140">
        <f>A20+1</f>
        <v>4</v>
      </c>
      <c r="B21" s="114"/>
      <c r="C21" s="876" t="s">
        <v>264</v>
      </c>
      <c r="D21" s="114"/>
      <c r="E21" s="140" t="s">
        <v>525</v>
      </c>
      <c r="F21" s="140"/>
      <c r="G21" s="902">
        <v>9.4131350011351689</v>
      </c>
      <c r="H21" s="114"/>
      <c r="I21" s="902">
        <v>8.942426913468605</v>
      </c>
      <c r="J21" s="114"/>
      <c r="K21" s="902">
        <f>I21-G21</f>
        <v>-0.47070808766656391</v>
      </c>
      <c r="L21" s="114"/>
      <c r="M21" s="135">
        <v>615622.71606997063</v>
      </c>
      <c r="N21" s="135"/>
      <c r="O21" s="135">
        <f>(K21*M21)/100</f>
        <v>-2897.7859140539194</v>
      </c>
      <c r="P21" s="135"/>
      <c r="Q21" s="135"/>
    </row>
    <row r="22" spans="1:17">
      <c r="A22" s="140">
        <f>A21+1</f>
        <v>5</v>
      </c>
      <c r="B22" s="114"/>
      <c r="C22" s="876" t="s">
        <v>265</v>
      </c>
      <c r="D22" s="114"/>
      <c r="E22" s="140" t="s">
        <v>525</v>
      </c>
      <c r="F22" s="140"/>
      <c r="G22" s="902">
        <v>9.0162092414560693</v>
      </c>
      <c r="H22" s="114"/>
      <c r="I22" s="902">
        <v>8.5347243700329987</v>
      </c>
      <c r="J22" s="114"/>
      <c r="K22" s="902">
        <f>I22-G22</f>
        <v>-0.48148487142307062</v>
      </c>
      <c r="L22" s="114"/>
      <c r="M22" s="135">
        <v>1597372.2206569067</v>
      </c>
      <c r="N22" s="135"/>
      <c r="O22" s="135">
        <f>(K22*M22)/100</f>
        <v>-7691.1055827777554</v>
      </c>
      <c r="P22" s="135"/>
      <c r="Q22" s="135"/>
    </row>
    <row r="23" spans="1:17">
      <c r="A23" s="140">
        <f>A22+1</f>
        <v>6</v>
      </c>
      <c r="B23" s="114"/>
      <c r="C23" s="114" t="s">
        <v>260</v>
      </c>
      <c r="D23" s="114"/>
      <c r="E23" s="140"/>
      <c r="F23" s="140"/>
      <c r="G23" s="902"/>
      <c r="H23" s="114"/>
      <c r="I23" s="902"/>
      <c r="J23" s="114"/>
      <c r="K23" s="902"/>
      <c r="L23" s="114"/>
      <c r="M23" s="924">
        <f>SUM(M19:M22)</f>
        <v>2865204.9418094899</v>
      </c>
      <c r="N23" s="135"/>
      <c r="O23" s="924">
        <f>SUM(O19:O22)</f>
        <v>-13521.595590543224</v>
      </c>
      <c r="P23" s="135"/>
      <c r="Q23" s="135">
        <f>O17+O23</f>
        <v>11074.33895253791</v>
      </c>
    </row>
    <row r="24" spans="1:17">
      <c r="A24" s="140"/>
      <c r="B24" s="114"/>
      <c r="C24" s="114"/>
      <c r="D24" s="114"/>
      <c r="E24" s="140"/>
      <c r="F24" s="140"/>
      <c r="G24" s="877"/>
      <c r="H24" s="114"/>
      <c r="I24" s="877"/>
      <c r="J24" s="114"/>
      <c r="K24" s="877"/>
      <c r="L24" s="114"/>
      <c r="M24" s="135"/>
      <c r="N24" s="135"/>
      <c r="O24" s="135"/>
      <c r="P24" s="135"/>
      <c r="Q24" s="135"/>
    </row>
    <row r="25" spans="1:17">
      <c r="A25" s="140">
        <f>A23+1</f>
        <v>7</v>
      </c>
      <c r="B25" s="114"/>
      <c r="C25" s="114" t="s">
        <v>529</v>
      </c>
      <c r="D25" s="114"/>
      <c r="E25" s="140" t="s">
        <v>525</v>
      </c>
      <c r="F25" s="140"/>
      <c r="G25" s="902">
        <v>1.2932710721024872</v>
      </c>
      <c r="H25" s="114"/>
      <c r="I25" s="902">
        <v>1.3025425077595889</v>
      </c>
      <c r="J25" s="114"/>
      <c r="K25" s="902">
        <f>I25-G25</f>
        <v>9.2714356571017564E-3</v>
      </c>
      <c r="L25" s="114"/>
      <c r="M25" s="135">
        <v>2865204.9418094894</v>
      </c>
      <c r="N25" s="135"/>
      <c r="O25" s="135">
        <f>(K25*M25)/100</f>
        <v>265.64563262396661</v>
      </c>
      <c r="P25" s="915"/>
      <c r="Q25" s="915">
        <f>O25</f>
        <v>265.64563262396661</v>
      </c>
    </row>
    <row r="26" spans="1:17">
      <c r="A26" s="140">
        <f>A25+1</f>
        <v>8</v>
      </c>
      <c r="B26" s="114"/>
      <c r="C26" s="114" t="s">
        <v>1152</v>
      </c>
      <c r="D26" s="114"/>
      <c r="E26" s="140" t="s">
        <v>525</v>
      </c>
      <c r="F26" s="140"/>
      <c r="G26" s="902">
        <v>3.9267443870173873</v>
      </c>
      <c r="H26" s="114"/>
      <c r="I26" s="902">
        <v>3.9288005575113383</v>
      </c>
      <c r="J26" s="114"/>
      <c r="K26" s="902">
        <f>I26-G26</f>
        <v>2.056170493951015E-3</v>
      </c>
      <c r="L26" s="114"/>
      <c r="M26" s="135">
        <v>2823210.6786419302</v>
      </c>
      <c r="N26" s="135"/>
      <c r="O26" s="135">
        <f>(K26*M26)/100</f>
        <v>58.050024956309578</v>
      </c>
      <c r="P26" s="915"/>
      <c r="Q26" s="915">
        <f>O26</f>
        <v>58.050024956309578</v>
      </c>
    </row>
    <row r="27" spans="1:17">
      <c r="A27" s="140">
        <f>A26+1</f>
        <v>9</v>
      </c>
      <c r="B27" s="114"/>
      <c r="C27" s="114" t="s">
        <v>1153</v>
      </c>
      <c r="D27" s="114"/>
      <c r="E27" s="140" t="s">
        <v>525</v>
      </c>
      <c r="F27" s="140"/>
      <c r="G27" s="902">
        <v>0.96972012770460903</v>
      </c>
      <c r="H27" s="114"/>
      <c r="I27" s="902">
        <v>0.98605500195202045</v>
      </c>
      <c r="J27" s="114"/>
      <c r="K27" s="902">
        <f>I27-G27</f>
        <v>1.6334874247411424E-2</v>
      </c>
      <c r="L27" s="114"/>
      <c r="M27" s="135">
        <v>41920.875113353701</v>
      </c>
      <c r="N27" s="135"/>
      <c r="O27" s="135">
        <f>(K27*M27)/100</f>
        <v>6.8477222331807184</v>
      </c>
      <c r="P27" s="135"/>
      <c r="Q27" s="135">
        <f>O27</f>
        <v>6.8477222331807184</v>
      </c>
    </row>
    <row r="28" spans="1:17">
      <c r="A28" s="140"/>
      <c r="B28" s="114"/>
      <c r="C28" s="114"/>
      <c r="D28" s="114"/>
      <c r="E28" s="140"/>
      <c r="F28" s="140"/>
      <c r="G28" s="877"/>
      <c r="H28" s="114"/>
      <c r="I28" s="877"/>
      <c r="J28" s="114"/>
      <c r="K28" s="877"/>
      <c r="L28" s="114"/>
      <c r="M28" s="135"/>
      <c r="N28" s="135"/>
      <c r="O28" s="135"/>
      <c r="P28" s="135"/>
      <c r="Q28" s="135"/>
    </row>
    <row r="29" spans="1:17">
      <c r="A29" s="140">
        <f>A27+1</f>
        <v>10</v>
      </c>
      <c r="B29" s="114"/>
      <c r="C29" s="114" t="s">
        <v>270</v>
      </c>
      <c r="D29" s="114"/>
      <c r="E29" s="140" t="s">
        <v>525</v>
      </c>
      <c r="F29" s="140"/>
      <c r="G29" s="902">
        <v>18.377497019556195</v>
      </c>
      <c r="H29" s="114"/>
      <c r="I29" s="902">
        <v>18.379818368314123</v>
      </c>
      <c r="J29" s="114"/>
      <c r="K29" s="902">
        <f>I29-G29</f>
        <v>2.3213487579276659E-3</v>
      </c>
      <c r="L29" s="114"/>
      <c r="M29" s="135">
        <v>2814102.2187149832</v>
      </c>
      <c r="N29" s="135"/>
      <c r="O29" s="135">
        <f>(K29*M29)/100</f>
        <v>65.325126900955141</v>
      </c>
      <c r="P29" s="135"/>
      <c r="Q29" s="135">
        <f>O29</f>
        <v>65.325126900955141</v>
      </c>
    </row>
    <row r="30" spans="1:17">
      <c r="A30" s="140"/>
      <c r="B30" s="114"/>
      <c r="C30" s="114"/>
      <c r="D30" s="114"/>
      <c r="E30" s="140"/>
      <c r="F30" s="140"/>
      <c r="G30" s="877"/>
      <c r="H30" s="114"/>
      <c r="I30" s="877"/>
      <c r="J30" s="114"/>
      <c r="K30" s="877"/>
      <c r="L30" s="114"/>
      <c r="M30" s="135"/>
      <c r="N30" s="135"/>
      <c r="O30" s="135"/>
      <c r="P30" s="135"/>
      <c r="Q30" s="135"/>
    </row>
    <row r="31" spans="1:17" ht="12.95" thickBot="1">
      <c r="A31" s="140">
        <v>11</v>
      </c>
      <c r="B31" s="114"/>
      <c r="C31" s="114" t="s">
        <v>271</v>
      </c>
      <c r="D31" s="114"/>
      <c r="E31" s="140"/>
      <c r="F31" s="140"/>
      <c r="G31" s="902"/>
      <c r="H31" s="114"/>
      <c r="I31" s="902"/>
      <c r="J31" s="114"/>
      <c r="K31" s="902"/>
      <c r="L31" s="114"/>
      <c r="M31" s="135"/>
      <c r="N31" s="135"/>
      <c r="O31" s="905">
        <f>Q31</f>
        <v>11470.20745925232</v>
      </c>
      <c r="P31" s="135"/>
      <c r="Q31" s="905">
        <f>Q17+Q23+Q25+Q26+Q27+Q29</f>
        <v>11470.20745925232</v>
      </c>
    </row>
    <row r="32" spans="1:17" ht="12.95" thickTop="1">
      <c r="A32" s="140"/>
      <c r="B32" s="114"/>
      <c r="C32" s="114"/>
      <c r="D32" s="114"/>
      <c r="E32" s="140"/>
      <c r="F32" s="140"/>
      <c r="G32" s="114"/>
      <c r="H32" s="114"/>
      <c r="I32" s="114"/>
      <c r="J32" s="114"/>
      <c r="K32" s="906"/>
      <c r="L32" s="114"/>
      <c r="M32" s="135"/>
      <c r="N32" s="135"/>
      <c r="O32" s="135"/>
      <c r="P32" s="135"/>
      <c r="Q32" s="135"/>
    </row>
    <row r="33" spans="1:17">
      <c r="A33" s="140"/>
      <c r="B33" s="114"/>
      <c r="C33" s="875" t="s">
        <v>1154</v>
      </c>
      <c r="D33" s="114"/>
      <c r="E33" s="140"/>
      <c r="F33" s="140"/>
      <c r="G33" s="114"/>
      <c r="H33" s="114"/>
      <c r="I33" s="114"/>
      <c r="J33" s="114"/>
      <c r="K33" s="906"/>
      <c r="L33" s="114"/>
      <c r="M33" s="135"/>
      <c r="N33" s="135"/>
      <c r="O33" s="135"/>
      <c r="P33" s="135"/>
      <c r="Q33" s="135"/>
    </row>
    <row r="34" spans="1:17">
      <c r="A34" s="140">
        <f>A31+1</f>
        <v>12</v>
      </c>
      <c r="B34" s="114"/>
      <c r="C34" s="114" t="s">
        <v>258</v>
      </c>
      <c r="D34" s="114"/>
      <c r="E34" s="140" t="s">
        <v>523</v>
      </c>
      <c r="F34" s="140"/>
      <c r="G34" s="99">
        <v>76.575754464968981</v>
      </c>
      <c r="H34" s="934"/>
      <c r="I34" s="99">
        <v>78.668208897704304</v>
      </c>
      <c r="J34" s="934"/>
      <c r="K34" s="99">
        <f>I34-G34</f>
        <v>2.0924544327353232</v>
      </c>
      <c r="L34" s="114"/>
      <c r="M34" s="135">
        <v>693955.00000013644</v>
      </c>
      <c r="N34" s="135"/>
      <c r="O34" s="135">
        <f>K34*M34/1000</f>
        <v>1452.0692158691265</v>
      </c>
      <c r="P34" s="135"/>
      <c r="Q34" s="135"/>
    </row>
    <row r="35" spans="1:17">
      <c r="A35" s="140"/>
      <c r="B35" s="114"/>
      <c r="C35" s="114" t="s">
        <v>260</v>
      </c>
      <c r="D35" s="114"/>
      <c r="E35" s="140"/>
      <c r="F35" s="140"/>
      <c r="G35" s="114"/>
      <c r="H35" s="114"/>
      <c r="I35" s="928"/>
      <c r="J35" s="114"/>
      <c r="K35" s="906"/>
      <c r="L35" s="114"/>
      <c r="M35" s="135"/>
      <c r="N35" s="135"/>
      <c r="O35" s="135"/>
      <c r="P35" s="135"/>
      <c r="Q35" s="135"/>
    </row>
    <row r="36" spans="1:17">
      <c r="A36" s="140">
        <f>A34+1</f>
        <v>13</v>
      </c>
      <c r="B36" s="114"/>
      <c r="C36" s="876" t="s">
        <v>272</v>
      </c>
      <c r="D36" s="114"/>
      <c r="E36" s="140" t="s">
        <v>525</v>
      </c>
      <c r="F36" s="140"/>
      <c r="G36" s="902">
        <v>10.02372105089005</v>
      </c>
      <c r="H36" s="114"/>
      <c r="I36" s="902">
        <v>10.437260453492998</v>
      </c>
      <c r="J36" s="114"/>
      <c r="K36" s="906">
        <f t="shared" ref="K36:K41" si="0">I36-G36</f>
        <v>0.41353940260294841</v>
      </c>
      <c r="L36" s="114"/>
      <c r="M36" s="135">
        <v>263665.7424054427</v>
      </c>
      <c r="N36" s="135"/>
      <c r="O36" s="135">
        <f t="shared" ref="O36:O41" si="1">K36*M36/100</f>
        <v>1090.3617360120966</v>
      </c>
      <c r="P36" s="135"/>
      <c r="Q36" s="135"/>
    </row>
    <row r="37" spans="1:17">
      <c r="A37" s="140">
        <f t="shared" ref="A37:A42" si="2">A36+1</f>
        <v>14</v>
      </c>
      <c r="B37" s="114"/>
      <c r="C37" s="876" t="s">
        <v>273</v>
      </c>
      <c r="D37" s="114"/>
      <c r="E37" s="140" t="s">
        <v>525</v>
      </c>
      <c r="F37" s="140"/>
      <c r="G37" s="902">
        <v>7.6575306126998592</v>
      </c>
      <c r="H37" s="114"/>
      <c r="I37" s="902">
        <v>8.0072321417561572</v>
      </c>
      <c r="J37" s="114"/>
      <c r="K37" s="906">
        <f t="shared" si="0"/>
        <v>0.34970152905629792</v>
      </c>
      <c r="L37" s="114"/>
      <c r="M37" s="135">
        <v>329689.98713997786</v>
      </c>
      <c r="N37" s="135"/>
      <c r="O37" s="135">
        <f t="shared" si="1"/>
        <v>1152.9309261740145</v>
      </c>
      <c r="P37" s="135"/>
      <c r="Q37" s="135"/>
    </row>
    <row r="38" spans="1:17">
      <c r="A38" s="140">
        <f t="shared" si="2"/>
        <v>15</v>
      </c>
      <c r="B38" s="114"/>
      <c r="C38" s="876" t="s">
        <v>274</v>
      </c>
      <c r="D38" s="114"/>
      <c r="E38" s="140" t="s">
        <v>525</v>
      </c>
      <c r="F38" s="140"/>
      <c r="G38" s="902">
        <v>6.0005324475411648</v>
      </c>
      <c r="H38" s="114"/>
      <c r="I38" s="902">
        <v>6.3055295790010888</v>
      </c>
      <c r="J38" s="114"/>
      <c r="K38" s="906">
        <f t="shared" si="0"/>
        <v>0.30499713145992402</v>
      </c>
      <c r="L38" s="114"/>
      <c r="M38" s="135">
        <v>615736.30856812373</v>
      </c>
      <c r="N38" s="135"/>
      <c r="O38" s="135">
        <f t="shared" si="1"/>
        <v>1877.9780784900038</v>
      </c>
      <c r="P38" s="135"/>
      <c r="Q38" s="135"/>
    </row>
    <row r="39" spans="1:17">
      <c r="A39" s="140">
        <f t="shared" si="2"/>
        <v>16</v>
      </c>
      <c r="B39" s="114"/>
      <c r="C39" s="876" t="s">
        <v>275</v>
      </c>
      <c r="D39" s="114"/>
      <c r="E39" s="140" t="s">
        <v>525</v>
      </c>
      <c r="F39" s="140"/>
      <c r="G39" s="902">
        <v>4.9359527096542184</v>
      </c>
      <c r="H39" s="114"/>
      <c r="I39" s="902">
        <v>5.2122283665319094</v>
      </c>
      <c r="J39" s="114"/>
      <c r="K39" s="906">
        <f t="shared" si="0"/>
        <v>0.27627565687769096</v>
      </c>
      <c r="L39" s="114"/>
      <c r="M39" s="135">
        <v>427232.6036197521</v>
      </c>
      <c r="N39" s="135"/>
      <c r="O39" s="135">
        <f t="shared" si="1"/>
        <v>1180.3396820461319</v>
      </c>
      <c r="P39" s="135"/>
      <c r="Q39" s="135"/>
    </row>
    <row r="40" spans="1:17">
      <c r="A40" s="140">
        <f t="shared" si="2"/>
        <v>17</v>
      </c>
      <c r="B40" s="114"/>
      <c r="C40" s="876" t="s">
        <v>276</v>
      </c>
      <c r="D40" s="114"/>
      <c r="E40" s="140" t="s">
        <v>525</v>
      </c>
      <c r="F40" s="140"/>
      <c r="G40" s="902">
        <v>4.4628924854344909</v>
      </c>
      <c r="H40" s="114"/>
      <c r="I40" s="902">
        <v>4.7264053859768804</v>
      </c>
      <c r="J40" s="114"/>
      <c r="K40" s="906">
        <f t="shared" si="0"/>
        <v>0.26351290054238952</v>
      </c>
      <c r="L40" s="114"/>
      <c r="M40" s="135">
        <v>441103.9598570778</v>
      </c>
      <c r="N40" s="135"/>
      <c r="O40" s="135">
        <f t="shared" si="1"/>
        <v>1162.3658390267233</v>
      </c>
      <c r="P40" s="135"/>
      <c r="Q40" s="135"/>
    </row>
    <row r="41" spans="1:17">
      <c r="A41" s="140">
        <f t="shared" si="2"/>
        <v>18</v>
      </c>
      <c r="B41" s="114"/>
      <c r="C41" s="876" t="s">
        <v>277</v>
      </c>
      <c r="D41" s="114"/>
      <c r="E41" s="140" t="s">
        <v>525</v>
      </c>
      <c r="F41" s="140"/>
      <c r="G41" s="902">
        <v>4.3440974799090117</v>
      </c>
      <c r="H41" s="114"/>
      <c r="I41" s="902">
        <v>4.6044053741483379</v>
      </c>
      <c r="J41" s="114"/>
      <c r="K41" s="906">
        <f t="shared" si="0"/>
        <v>0.26030789423932621</v>
      </c>
      <c r="L41" s="114"/>
      <c r="M41" s="923">
        <v>642911.96921392286</v>
      </c>
      <c r="N41" s="135"/>
      <c r="O41" s="135">
        <f t="shared" si="1"/>
        <v>1673.5506088733478</v>
      </c>
      <c r="P41" s="135"/>
      <c r="Q41" s="135"/>
    </row>
    <row r="42" spans="1:17">
      <c r="A42" s="140">
        <f t="shared" si="2"/>
        <v>19</v>
      </c>
      <c r="B42" s="114"/>
      <c r="C42" s="114" t="s">
        <v>260</v>
      </c>
      <c r="D42" s="114"/>
      <c r="E42" s="140"/>
      <c r="F42" s="140"/>
      <c r="G42" s="902"/>
      <c r="H42" s="114"/>
      <c r="I42" s="902"/>
      <c r="J42" s="114"/>
      <c r="K42" s="908"/>
      <c r="L42" s="114"/>
      <c r="M42" s="135">
        <f>SUM(M36:M41)</f>
        <v>2720340.570804297</v>
      </c>
      <c r="N42" s="135"/>
      <c r="O42" s="924">
        <f>SUM(O36:O41)</f>
        <v>8137.5268706223178</v>
      </c>
      <c r="P42" s="135"/>
      <c r="Q42" s="135">
        <f>O42+O34</f>
        <v>9589.596086491445</v>
      </c>
    </row>
    <row r="43" spans="1:17">
      <c r="A43" s="140"/>
      <c r="B43" s="114"/>
      <c r="C43" s="114"/>
      <c r="D43" s="114"/>
      <c r="E43" s="140"/>
      <c r="F43" s="140"/>
      <c r="G43" s="902"/>
      <c r="H43" s="114"/>
      <c r="I43" s="877"/>
      <c r="J43" s="114"/>
      <c r="K43" s="906"/>
      <c r="L43" s="114"/>
      <c r="M43" s="135"/>
      <c r="N43" s="135"/>
      <c r="O43" s="135"/>
      <c r="P43" s="135"/>
      <c r="Q43" s="135"/>
    </row>
    <row r="44" spans="1:17">
      <c r="A44" s="140">
        <f>A42+1</f>
        <v>20</v>
      </c>
      <c r="B44" s="114"/>
      <c r="C44" s="114" t="s">
        <v>529</v>
      </c>
      <c r="D44" s="114"/>
      <c r="E44" s="140" t="s">
        <v>525</v>
      </c>
      <c r="F44" s="140"/>
      <c r="G44" s="902">
        <v>1.206161316244416</v>
      </c>
      <c r="H44" s="114"/>
      <c r="I44" s="902">
        <v>1.2146336312731292</v>
      </c>
      <c r="J44" s="114"/>
      <c r="K44" s="906">
        <f>I44-G44</f>
        <v>8.472315028713151E-3</v>
      </c>
      <c r="L44" s="114"/>
      <c r="M44" s="135">
        <v>2720340.570804297</v>
      </c>
      <c r="N44" s="135"/>
      <c r="O44" s="135">
        <f>K44*M44/100</f>
        <v>230.47582301243358</v>
      </c>
      <c r="P44" s="135"/>
      <c r="Q44" s="135">
        <f>O44</f>
        <v>230.47582301243358</v>
      </c>
    </row>
    <row r="45" spans="1:17">
      <c r="A45" s="140">
        <f>A44+1</f>
        <v>21</v>
      </c>
      <c r="B45" s="114"/>
      <c r="C45" s="114" t="s">
        <v>1152</v>
      </c>
      <c r="D45" s="114"/>
      <c r="E45" s="140" t="s">
        <v>525</v>
      </c>
      <c r="F45" s="140"/>
      <c r="G45" s="902">
        <v>3.9267443846006143</v>
      </c>
      <c r="H45" s="114"/>
      <c r="I45" s="902">
        <v>3.9288005543255302</v>
      </c>
      <c r="J45" s="114"/>
      <c r="K45" s="906">
        <f>I45-G45</f>
        <v>2.0561697249159572E-3</v>
      </c>
      <c r="L45" s="114"/>
      <c r="M45" s="135">
        <v>1805919.9516450861</v>
      </c>
      <c r="N45" s="135"/>
      <c r="O45" s="135">
        <f>K45*M45/100</f>
        <v>37.132779301943152</v>
      </c>
      <c r="P45" s="135"/>
      <c r="Q45" s="135">
        <f>O45</f>
        <v>37.132779301943152</v>
      </c>
    </row>
    <row r="46" spans="1:17">
      <c r="A46" s="140">
        <f>A45+1</f>
        <v>22</v>
      </c>
      <c r="B46" s="114"/>
      <c r="C46" s="114" t="s">
        <v>1153</v>
      </c>
      <c r="D46" s="114"/>
      <c r="E46" s="140" t="s">
        <v>525</v>
      </c>
      <c r="F46" s="140"/>
      <c r="G46" s="902">
        <v>0.96972040643947122</v>
      </c>
      <c r="H46" s="114"/>
      <c r="I46" s="902">
        <v>0.98605536938240845</v>
      </c>
      <c r="J46" s="114"/>
      <c r="K46" s="906">
        <f>I46-G46</f>
        <v>1.6334962942937237E-2</v>
      </c>
      <c r="L46" s="114"/>
      <c r="M46" s="135">
        <v>882582.94389403716</v>
      </c>
      <c r="N46" s="135"/>
      <c r="O46" s="135">
        <f>K46*M46/100</f>
        <v>144.16959682577553</v>
      </c>
      <c r="P46" s="135"/>
      <c r="Q46" s="135">
        <f>O46</f>
        <v>144.16959682577553</v>
      </c>
    </row>
    <row r="47" spans="1:17">
      <c r="A47" s="140"/>
      <c r="B47" s="114"/>
      <c r="C47" s="114"/>
      <c r="D47" s="114"/>
      <c r="E47" s="140"/>
      <c r="F47" s="140"/>
      <c r="G47" s="902"/>
      <c r="H47" s="114"/>
      <c r="I47" s="877"/>
      <c r="J47" s="114"/>
      <c r="K47" s="906"/>
      <c r="L47" s="114"/>
      <c r="M47" s="135"/>
      <c r="N47" s="135"/>
      <c r="O47" s="135"/>
      <c r="P47" s="135"/>
      <c r="Q47" s="135"/>
    </row>
    <row r="48" spans="1:17">
      <c r="A48" s="140">
        <f>A46+1</f>
        <v>23</v>
      </c>
      <c r="B48" s="114"/>
      <c r="C48" s="114" t="s">
        <v>270</v>
      </c>
      <c r="D48" s="114"/>
      <c r="E48" s="140" t="s">
        <v>525</v>
      </c>
      <c r="F48" s="140"/>
      <c r="G48" s="902">
        <v>18.400798940142568</v>
      </c>
      <c r="H48" s="114"/>
      <c r="I48" s="902">
        <v>18.403757315058826</v>
      </c>
      <c r="J48" s="114"/>
      <c r="K48" s="906">
        <f>I48-G48</f>
        <v>2.9583749162576112E-3</v>
      </c>
      <c r="L48" s="114"/>
      <c r="M48" s="135">
        <v>1703474.8824523315</v>
      </c>
      <c r="N48" s="135"/>
      <c r="O48" s="135">
        <f>K48*M48/100</f>
        <v>50.395173627218604</v>
      </c>
      <c r="P48" s="135"/>
      <c r="Q48" s="135">
        <f>O48</f>
        <v>50.395173627218604</v>
      </c>
    </row>
    <row r="49" spans="1:17">
      <c r="A49" s="140"/>
      <c r="B49" s="114"/>
      <c r="C49" s="114"/>
      <c r="D49" s="114"/>
      <c r="E49" s="140"/>
      <c r="F49" s="140"/>
      <c r="G49" s="902"/>
      <c r="H49" s="114"/>
      <c r="I49" s="877"/>
      <c r="J49" s="114"/>
      <c r="K49" s="906"/>
      <c r="L49" s="114"/>
      <c r="M49" s="135"/>
      <c r="N49" s="135"/>
      <c r="O49" s="135"/>
      <c r="P49" s="135"/>
      <c r="Q49" s="135"/>
    </row>
    <row r="50" spans="1:17" ht="12.95" thickBot="1">
      <c r="A50" s="140">
        <f>A48+1</f>
        <v>24</v>
      </c>
      <c r="B50" s="114"/>
      <c r="C50" s="114" t="s">
        <v>278</v>
      </c>
      <c r="D50" s="114"/>
      <c r="E50" s="140"/>
      <c r="F50" s="140"/>
      <c r="G50" s="902"/>
      <c r="H50" s="114"/>
      <c r="I50" s="902"/>
      <c r="J50" s="114"/>
      <c r="K50" s="908"/>
      <c r="L50" s="114"/>
      <c r="M50" s="135"/>
      <c r="N50" s="135"/>
      <c r="O50" s="905">
        <f>O34+O42+O44+O45+O46+O48</f>
        <v>10051.769459258816</v>
      </c>
      <c r="P50" s="135"/>
      <c r="Q50" s="905">
        <f>Q34+Q42+Q44+Q45+Q46+Q48</f>
        <v>10051.769459258816</v>
      </c>
    </row>
    <row r="51" spans="1:17" ht="12.95" thickTop="1">
      <c r="A51" s="140"/>
      <c r="B51" s="114"/>
      <c r="C51" s="114"/>
      <c r="D51" s="114"/>
      <c r="E51" s="140"/>
      <c r="F51" s="140"/>
      <c r="G51" s="902"/>
      <c r="H51" s="114"/>
      <c r="I51" s="907"/>
      <c r="J51" s="114"/>
      <c r="K51" s="906"/>
      <c r="L51" s="114"/>
      <c r="M51" s="135"/>
      <c r="N51" s="135"/>
      <c r="O51" s="135"/>
      <c r="P51" s="135"/>
      <c r="Q51" s="135"/>
    </row>
    <row r="52" spans="1:17">
      <c r="A52" s="140"/>
      <c r="B52" s="114"/>
      <c r="C52" s="875" t="s">
        <v>129</v>
      </c>
      <c r="D52" s="114"/>
      <c r="E52" s="140"/>
      <c r="F52" s="140"/>
      <c r="G52" s="914"/>
      <c r="H52" s="914"/>
      <c r="I52" s="914"/>
      <c r="J52" s="914"/>
      <c r="K52" s="149"/>
      <c r="L52" s="114"/>
      <c r="M52" s="135"/>
      <c r="N52" s="135"/>
      <c r="O52" s="135"/>
      <c r="P52" s="135"/>
      <c r="Q52" s="135"/>
    </row>
    <row r="53" spans="1:17">
      <c r="A53" s="140">
        <f>A50+1</f>
        <v>25</v>
      </c>
      <c r="B53" s="114"/>
      <c r="C53" s="114" t="s">
        <v>258</v>
      </c>
      <c r="D53" s="114"/>
      <c r="E53" s="140" t="s">
        <v>523</v>
      </c>
      <c r="F53" s="140"/>
      <c r="G53" s="99">
        <v>133.47154003244088</v>
      </c>
      <c r="H53" s="914"/>
      <c r="I53" s="99">
        <v>137.11868810869854</v>
      </c>
      <c r="J53" s="914"/>
      <c r="K53" s="99">
        <f>I53-G53</f>
        <v>3.6471480762576505</v>
      </c>
      <c r="L53" s="114"/>
      <c r="M53" s="135">
        <v>55.999353856135407</v>
      </c>
      <c r="N53" s="135"/>
      <c r="O53" s="135">
        <f>K53*M53/1000</f>
        <v>0.20423793568807569</v>
      </c>
      <c r="P53" s="135"/>
      <c r="Q53" s="135"/>
    </row>
    <row r="54" spans="1:17">
      <c r="A54" s="140">
        <f>A53+1</f>
        <v>26</v>
      </c>
      <c r="B54" s="114"/>
      <c r="C54" s="114" t="s">
        <v>280</v>
      </c>
      <c r="D54" s="114"/>
      <c r="E54" s="140" t="s">
        <v>540</v>
      </c>
      <c r="F54" s="140"/>
      <c r="G54" s="902">
        <v>39.612916581984031</v>
      </c>
      <c r="H54" s="114"/>
      <c r="I54" s="902">
        <v>40.695350878252903</v>
      </c>
      <c r="J54" s="114"/>
      <c r="K54" s="906">
        <f>I54-G54</f>
        <v>1.0824342962688718</v>
      </c>
      <c r="L54" s="114"/>
      <c r="M54" s="135">
        <v>1501.12</v>
      </c>
      <c r="N54" s="135"/>
      <c r="O54" s="135">
        <f>K54*M54/1000</f>
        <v>1.6248637708151286</v>
      </c>
      <c r="P54" s="135"/>
      <c r="Q54" s="135">
        <f>SUM(O53:O54)</f>
        <v>1.8291017065032042</v>
      </c>
    </row>
    <row r="55" spans="1:17">
      <c r="A55" s="140">
        <f>A54+1</f>
        <v>27</v>
      </c>
      <c r="B55" s="114"/>
      <c r="C55" s="114" t="s">
        <v>260</v>
      </c>
      <c r="D55" s="114"/>
      <c r="E55" s="140" t="s">
        <v>525</v>
      </c>
      <c r="F55" s="140"/>
      <c r="G55" s="902">
        <v>0.18751269562434469</v>
      </c>
      <c r="H55" s="114"/>
      <c r="I55" s="902">
        <v>1.1993184243566981</v>
      </c>
      <c r="J55" s="114"/>
      <c r="K55" s="906">
        <f>I55-G55</f>
        <v>1.0118057287323534</v>
      </c>
      <c r="L55" s="114"/>
      <c r="M55" s="135">
        <v>13824.708999999999</v>
      </c>
      <c r="N55" s="135"/>
      <c r="O55" s="135">
        <f>K55*M55/1000</f>
        <v>13.987919764257724</v>
      </c>
      <c r="P55" s="135"/>
      <c r="Q55" s="135">
        <f>O55</f>
        <v>13.987919764257724</v>
      </c>
    </row>
    <row r="56" spans="1:17">
      <c r="A56" s="140"/>
      <c r="B56" s="114"/>
      <c r="C56" s="933"/>
      <c r="D56" s="114"/>
      <c r="E56" s="140"/>
      <c r="F56" s="140"/>
      <c r="G56" s="114"/>
      <c r="H56" s="114"/>
      <c r="I56" s="114"/>
      <c r="J56" s="114"/>
      <c r="K56" s="906"/>
      <c r="L56" s="114"/>
      <c r="M56" s="135"/>
      <c r="N56" s="135"/>
      <c r="O56" s="135"/>
      <c r="P56" s="135"/>
      <c r="Q56" s="135"/>
    </row>
    <row r="57" spans="1:17">
      <c r="A57" s="140">
        <f>A55+1</f>
        <v>28</v>
      </c>
      <c r="B57" s="114"/>
      <c r="C57" s="114" t="s">
        <v>529</v>
      </c>
      <c r="D57" s="114"/>
      <c r="E57" s="140" t="s">
        <v>525</v>
      </c>
      <c r="F57" s="140"/>
      <c r="G57" s="902">
        <v>1.2036738876609459</v>
      </c>
      <c r="H57" s="114"/>
      <c r="I57" s="902">
        <v>1.2198462745398164</v>
      </c>
      <c r="J57" s="114"/>
      <c r="K57" s="906">
        <f>I57-G57</f>
        <v>1.617238687887057E-2</v>
      </c>
      <c r="L57" s="114"/>
      <c r="M57" s="135">
        <v>13824.708999999999</v>
      </c>
      <c r="N57" s="135"/>
      <c r="O57" s="135">
        <f>K57*M57/1000</f>
        <v>0.22357854243580386</v>
      </c>
      <c r="P57" s="135"/>
      <c r="Q57" s="135">
        <f>O57</f>
        <v>0.22357854243580386</v>
      </c>
    </row>
    <row r="58" spans="1:17">
      <c r="A58" s="140">
        <f>A57+1</f>
        <v>29</v>
      </c>
      <c r="B58" s="114"/>
      <c r="C58" s="114" t="s">
        <v>1152</v>
      </c>
      <c r="D58" s="114"/>
      <c r="E58" s="140" t="s">
        <v>525</v>
      </c>
      <c r="F58" s="140"/>
      <c r="G58" s="902">
        <v>3.9267459704927896</v>
      </c>
      <c r="H58" s="114"/>
      <c r="I58" s="902">
        <v>3.9288033873015</v>
      </c>
      <c r="J58" s="114"/>
      <c r="K58" s="906">
        <f>I58-G58</f>
        <v>2.0574168087104105E-3</v>
      </c>
      <c r="L58" s="114"/>
      <c r="M58" s="135">
        <v>7261.7829999999994</v>
      </c>
      <c r="N58" s="135"/>
      <c r="O58" s="135">
        <f>K58*M58/1000</f>
        <v>1.494051440540751E-2</v>
      </c>
      <c r="P58" s="135"/>
      <c r="Q58" s="135">
        <f>O58</f>
        <v>1.494051440540751E-2</v>
      </c>
    </row>
    <row r="59" spans="1:17">
      <c r="A59" s="140">
        <f>A58+1</f>
        <v>30</v>
      </c>
      <c r="B59" s="114"/>
      <c r="C59" s="114" t="s">
        <v>1153</v>
      </c>
      <c r="D59" s="114"/>
      <c r="E59" s="140" t="s">
        <v>525</v>
      </c>
      <c r="F59" s="140"/>
      <c r="G59" s="902">
        <v>0.96971998004937487</v>
      </c>
      <c r="H59" s="114"/>
      <c r="I59" s="902">
        <v>0.98605460769575948</v>
      </c>
      <c r="J59" s="114"/>
      <c r="K59" s="906">
        <f>I59-G59</f>
        <v>1.6334627646384603E-2</v>
      </c>
      <c r="L59" s="114"/>
      <c r="M59" s="135">
        <v>5534.2440000000006</v>
      </c>
      <c r="N59" s="135"/>
      <c r="O59" s="135">
        <f>K59*M59/1000</f>
        <v>9.0399815044238122E-2</v>
      </c>
      <c r="P59" s="135"/>
      <c r="Q59" s="135">
        <f>O59</f>
        <v>9.0399815044238122E-2</v>
      </c>
    </row>
    <row r="60" spans="1:17">
      <c r="A60" s="140"/>
      <c r="B60" s="114"/>
      <c r="C60" s="114"/>
      <c r="D60" s="114"/>
      <c r="E60" s="140"/>
      <c r="F60" s="140"/>
      <c r="G60" s="902"/>
      <c r="H60" s="114"/>
      <c r="I60" s="877"/>
      <c r="J60" s="114"/>
      <c r="K60" s="906"/>
      <c r="L60" s="114"/>
      <c r="M60" s="135"/>
      <c r="N60" s="135"/>
      <c r="O60" s="135"/>
      <c r="P60" s="135"/>
      <c r="Q60" s="135"/>
    </row>
    <row r="61" spans="1:17">
      <c r="A61" s="140">
        <f>A59+1</f>
        <v>31</v>
      </c>
      <c r="B61" s="114"/>
      <c r="C61" s="114" t="s">
        <v>270</v>
      </c>
      <c r="D61" s="114"/>
      <c r="E61" s="140" t="s">
        <v>525</v>
      </c>
      <c r="F61" s="140"/>
      <c r="G61" s="902">
        <v>18.400811234906183</v>
      </c>
      <c r="H61" s="114"/>
      <c r="I61" s="902">
        <v>18.403779277945343</v>
      </c>
      <c r="J61" s="114"/>
      <c r="K61" s="906">
        <f>I61-G61</f>
        <v>2.9680430391607615E-3</v>
      </c>
      <c r="L61" s="114"/>
      <c r="M61" s="135">
        <v>7261.7829999999994</v>
      </c>
      <c r="N61" s="135"/>
      <c r="O61" s="135">
        <f>K61*M61/1000</f>
        <v>2.155328448504595E-2</v>
      </c>
      <c r="P61" s="135"/>
      <c r="Q61" s="135">
        <f>O61</f>
        <v>2.155328448504595E-2</v>
      </c>
    </row>
    <row r="62" spans="1:17">
      <c r="A62" s="140"/>
      <c r="B62" s="114"/>
      <c r="C62" s="114"/>
      <c r="D62" s="114"/>
      <c r="E62" s="140"/>
      <c r="F62" s="140"/>
      <c r="G62" s="114"/>
      <c r="H62" s="114"/>
      <c r="I62" s="114"/>
      <c r="J62" s="114"/>
      <c r="K62" s="906"/>
      <c r="L62" s="114"/>
      <c r="M62" s="135"/>
      <c r="N62" s="135"/>
      <c r="O62" s="135"/>
      <c r="P62" s="135"/>
      <c r="Q62" s="135"/>
    </row>
    <row r="63" spans="1:17" ht="12.95" thickBot="1">
      <c r="A63" s="140">
        <f>A61+1</f>
        <v>32</v>
      </c>
      <c r="B63" s="114"/>
      <c r="C63" s="114" t="s">
        <v>282</v>
      </c>
      <c r="D63" s="114"/>
      <c r="E63" s="140"/>
      <c r="F63" s="140"/>
      <c r="G63" s="902"/>
      <c r="H63" s="114"/>
      <c r="I63" s="902"/>
      <c r="J63" s="114"/>
      <c r="K63" s="908"/>
      <c r="L63" s="114"/>
      <c r="M63" s="135"/>
      <c r="N63" s="135"/>
      <c r="O63" s="905">
        <f>O53+O54+O55+O57+O58+O59+O61</f>
        <v>16.167493627131421</v>
      </c>
      <c r="P63" s="135"/>
      <c r="Q63" s="905">
        <f>SUM(Q54:Q61)</f>
        <v>16.167493627131421</v>
      </c>
    </row>
    <row r="64" spans="1:17" ht="12.95" thickTop="1">
      <c r="A64" s="140"/>
      <c r="B64" s="114"/>
      <c r="C64" s="114"/>
      <c r="D64" s="114"/>
      <c r="E64" s="140"/>
      <c r="F64" s="140"/>
      <c r="G64" s="114"/>
      <c r="H64" s="114"/>
      <c r="I64" s="114"/>
      <c r="J64" s="114"/>
      <c r="K64" s="906"/>
      <c r="L64" s="114"/>
      <c r="M64" s="135"/>
      <c r="N64" s="135"/>
      <c r="O64" s="135"/>
      <c r="P64" s="135"/>
      <c r="Q64" s="135"/>
    </row>
    <row r="65" spans="1:17">
      <c r="A65" s="140"/>
      <c r="B65" s="114"/>
      <c r="C65" s="875" t="s">
        <v>130</v>
      </c>
      <c r="D65" s="114"/>
      <c r="E65" s="140"/>
      <c r="F65" s="140"/>
      <c r="G65" s="114"/>
      <c r="H65" s="114"/>
      <c r="I65" s="114"/>
      <c r="J65" s="114"/>
      <c r="K65" s="906"/>
      <c r="L65" s="114"/>
      <c r="M65" s="135"/>
      <c r="N65" s="135"/>
      <c r="O65" s="135"/>
      <c r="P65" s="135"/>
      <c r="Q65" s="135"/>
    </row>
    <row r="66" spans="1:17">
      <c r="A66" s="140">
        <f>A63+1</f>
        <v>33</v>
      </c>
      <c r="B66" s="114"/>
      <c r="C66" s="114" t="s">
        <v>258</v>
      </c>
      <c r="D66" s="114"/>
      <c r="E66" s="140" t="s">
        <v>523</v>
      </c>
      <c r="F66" s="140"/>
      <c r="G66" s="99">
        <v>642.54715571555448</v>
      </c>
      <c r="H66" s="914"/>
      <c r="I66" s="99">
        <v>660.10494086063659</v>
      </c>
      <c r="J66" s="914"/>
      <c r="K66" s="99">
        <f>I66-G66</f>
        <v>17.557785145082107</v>
      </c>
      <c r="L66" s="114"/>
      <c r="M66" s="135">
        <v>1664.0073658240813</v>
      </c>
      <c r="N66" s="135"/>
      <c r="O66" s="135">
        <f>K66*M66/1000</f>
        <v>29.216283808973262</v>
      </c>
      <c r="P66" s="135"/>
      <c r="Q66" s="135"/>
    </row>
    <row r="67" spans="1:17">
      <c r="A67" s="140">
        <f>A66+1</f>
        <v>34</v>
      </c>
      <c r="B67" s="114"/>
      <c r="C67" s="114" t="s">
        <v>280</v>
      </c>
      <c r="D67" s="114"/>
      <c r="E67" s="140" t="s">
        <v>540</v>
      </c>
      <c r="F67" s="140"/>
      <c r="G67" s="902">
        <v>25.39395049703483</v>
      </c>
      <c r="H67" s="114"/>
      <c r="I67" s="902">
        <v>26.087847470736737</v>
      </c>
      <c r="J67" s="114"/>
      <c r="K67" s="906">
        <f>I67-G67</f>
        <v>0.69389697370190717</v>
      </c>
      <c r="L67" s="114"/>
      <c r="M67" s="135">
        <v>25217.955999999998</v>
      </c>
      <c r="N67" s="135"/>
      <c r="O67" s="135">
        <f>K67*M67/100</f>
        <v>174.98663351347852</v>
      </c>
      <c r="P67" s="135"/>
      <c r="Q67" s="135">
        <f>SUM(O66:O67)</f>
        <v>204.20291732245178</v>
      </c>
    </row>
    <row r="68" spans="1:17">
      <c r="A68" s="140"/>
      <c r="B68" s="114"/>
      <c r="C68" s="114" t="s">
        <v>260</v>
      </c>
      <c r="D68" s="114"/>
      <c r="E68" s="140"/>
      <c r="F68" s="140"/>
      <c r="G68" s="114"/>
      <c r="H68" s="114"/>
      <c r="I68" s="114"/>
      <c r="J68" s="114"/>
      <c r="K68" s="906"/>
      <c r="L68" s="114"/>
      <c r="M68" s="135"/>
      <c r="N68" s="135"/>
      <c r="O68" s="135"/>
      <c r="P68" s="135"/>
      <c r="Q68" s="135"/>
    </row>
    <row r="69" spans="1:17">
      <c r="A69" s="140">
        <f>A67+1</f>
        <v>35</v>
      </c>
      <c r="B69" s="114"/>
      <c r="C69" s="114" t="s">
        <v>1155</v>
      </c>
      <c r="D69" s="114"/>
      <c r="E69" s="140" t="s">
        <v>525</v>
      </c>
      <c r="F69" s="140"/>
      <c r="G69" s="902">
        <v>1.0325728182266571</v>
      </c>
      <c r="H69" s="114"/>
      <c r="I69" s="902">
        <v>1.0520129627127723</v>
      </c>
      <c r="J69" s="114"/>
      <c r="K69" s="906">
        <f>I69-G69</f>
        <v>1.9440144486115196E-2</v>
      </c>
      <c r="L69" s="114"/>
      <c r="M69" s="135">
        <v>360441.67</v>
      </c>
      <c r="N69" s="135"/>
      <c r="O69" s="135">
        <f>K69*M69/100</f>
        <v>70.070381436166528</v>
      </c>
      <c r="P69" s="135"/>
      <c r="Q69" s="135"/>
    </row>
    <row r="70" spans="1:17">
      <c r="A70" s="140">
        <f>A69+1</f>
        <v>36</v>
      </c>
      <c r="B70" s="114"/>
      <c r="C70" s="114" t="s">
        <v>1156</v>
      </c>
      <c r="D70" s="114"/>
      <c r="E70" s="140" t="s">
        <v>525</v>
      </c>
      <c r="F70" s="140"/>
      <c r="G70" s="902">
        <v>0.8645988740145667</v>
      </c>
      <c r="H70" s="114"/>
      <c r="I70" s="902">
        <v>0.87944904743701757</v>
      </c>
      <c r="J70" s="114"/>
      <c r="K70" s="906">
        <f>I70-G70</f>
        <v>1.4850173422450874E-2</v>
      </c>
      <c r="L70" s="114"/>
      <c r="M70" s="923">
        <v>97430.936999999991</v>
      </c>
      <c r="N70" s="135"/>
      <c r="O70" s="923">
        <f>K70*M70/100</f>
        <v>14.468663111618852</v>
      </c>
      <c r="P70" s="135"/>
      <c r="Q70" s="114"/>
    </row>
    <row r="71" spans="1:17">
      <c r="A71" s="140">
        <f>A70+1</f>
        <v>37</v>
      </c>
      <c r="B71" s="114"/>
      <c r="C71" s="114" t="s">
        <v>260</v>
      </c>
      <c r="D71" s="114"/>
      <c r="E71" s="140"/>
      <c r="F71" s="140"/>
      <c r="G71" s="902">
        <v>0</v>
      </c>
      <c r="H71" s="114"/>
      <c r="I71" s="902"/>
      <c r="J71" s="114"/>
      <c r="K71" s="908"/>
      <c r="L71" s="114"/>
      <c r="M71" s="135">
        <f>SUM(M69:M70)</f>
        <v>457872.60699999996</v>
      </c>
      <c r="N71" s="135"/>
      <c r="O71" s="135">
        <f>SUM(O69:O70)</f>
        <v>84.53904454778538</v>
      </c>
      <c r="P71" s="135"/>
      <c r="Q71" s="135">
        <f>SUM(O69:O70)</f>
        <v>84.53904454778538</v>
      </c>
    </row>
    <row r="72" spans="1:17">
      <c r="A72" s="140"/>
      <c r="B72" s="114"/>
      <c r="C72" s="114"/>
      <c r="D72" s="114"/>
      <c r="E72" s="140"/>
      <c r="F72" s="140"/>
      <c r="G72" s="114"/>
      <c r="H72" s="114"/>
      <c r="I72" s="114"/>
      <c r="J72" s="114"/>
      <c r="K72" s="906"/>
      <c r="L72" s="114"/>
      <c r="M72" s="135"/>
      <c r="N72" s="135"/>
      <c r="O72" s="135"/>
      <c r="P72" s="135"/>
      <c r="Q72" s="135"/>
    </row>
    <row r="73" spans="1:17">
      <c r="A73" s="140">
        <f>A71+1</f>
        <v>38</v>
      </c>
      <c r="B73" s="114"/>
      <c r="C73" s="114" t="s">
        <v>529</v>
      </c>
      <c r="D73" s="114"/>
      <c r="E73" s="140" t="s">
        <v>525</v>
      </c>
      <c r="F73" s="140"/>
      <c r="G73" s="902">
        <v>0.25233468088460609</v>
      </c>
      <c r="H73" s="114"/>
      <c r="I73" s="902">
        <v>0.25413285329776653</v>
      </c>
      <c r="J73" s="114"/>
      <c r="K73" s="906">
        <f>I73-G73</f>
        <v>1.7981724131604371E-3</v>
      </c>
      <c r="L73" s="114"/>
      <c r="M73" s="135">
        <v>457872.60700000002</v>
      </c>
      <c r="N73" s="135"/>
      <c r="O73" s="135">
        <f>K73*M73/100</f>
        <v>8.2333389064925058</v>
      </c>
      <c r="P73" s="135"/>
      <c r="Q73" s="135">
        <f>O73</f>
        <v>8.2333389064925058</v>
      </c>
    </row>
    <row r="74" spans="1:17">
      <c r="A74" s="140">
        <f>A73+1</f>
        <v>39</v>
      </c>
      <c r="B74" s="114"/>
      <c r="C74" s="114" t="s">
        <v>1152</v>
      </c>
      <c r="D74" s="114"/>
      <c r="E74" s="140" t="s">
        <v>525</v>
      </c>
      <c r="F74" s="140"/>
      <c r="G74" s="902">
        <v>3.9267443867607112</v>
      </c>
      <c r="H74" s="114"/>
      <c r="I74" s="902">
        <v>3.9288005571729858</v>
      </c>
      <c r="J74" s="114"/>
      <c r="K74" s="906">
        <f>I74-G74</f>
        <v>2.0561704122745716E-3</v>
      </c>
      <c r="L74" s="114"/>
      <c r="M74" s="135">
        <v>44206.339</v>
      </c>
      <c r="N74" s="135"/>
      <c r="O74" s="135">
        <f>K74*M74/100</f>
        <v>0.90895766286779478</v>
      </c>
      <c r="P74" s="135"/>
      <c r="Q74" s="135">
        <f>O74</f>
        <v>0.90895766286779478</v>
      </c>
    </row>
    <row r="75" spans="1:17">
      <c r="A75" s="140">
        <f>A74+1</f>
        <v>40</v>
      </c>
      <c r="B75" s="114"/>
      <c r="C75" s="114" t="s">
        <v>1153</v>
      </c>
      <c r="D75" s="114"/>
      <c r="E75" s="140" t="s">
        <v>525</v>
      </c>
      <c r="F75" s="140"/>
      <c r="G75" s="902">
        <v>0.96972039724946102</v>
      </c>
      <c r="H75" s="114"/>
      <c r="I75" s="902">
        <v>0.98605535726806803</v>
      </c>
      <c r="J75" s="114"/>
      <c r="K75" s="906">
        <f>I75-G75</f>
        <v>1.6334960018607014E-2</v>
      </c>
      <c r="L75" s="114"/>
      <c r="M75" s="135">
        <v>398795.70699999999</v>
      </c>
      <c r="N75" s="135"/>
      <c r="O75" s="135">
        <f>K75*M75/100</f>
        <v>65.143119294371175</v>
      </c>
      <c r="P75" s="135"/>
      <c r="Q75" s="135">
        <f>O75</f>
        <v>65.143119294371175</v>
      </c>
    </row>
    <row r="76" spans="1:17">
      <c r="A76" s="140"/>
      <c r="B76" s="114"/>
      <c r="C76" s="114"/>
      <c r="D76" s="114"/>
      <c r="E76" s="140"/>
      <c r="F76" s="140"/>
      <c r="G76" s="902"/>
      <c r="H76" s="114"/>
      <c r="I76" s="877"/>
      <c r="J76" s="114"/>
      <c r="K76" s="906"/>
      <c r="L76" s="114"/>
      <c r="M76" s="135"/>
      <c r="N76" s="135"/>
      <c r="O76" s="135"/>
      <c r="P76" s="135"/>
      <c r="Q76" s="135"/>
    </row>
    <row r="77" spans="1:17">
      <c r="A77" s="140">
        <f>A75+1</f>
        <v>41</v>
      </c>
      <c r="B77" s="114"/>
      <c r="C77" s="114" t="s">
        <v>270</v>
      </c>
      <c r="D77" s="114"/>
      <c r="E77" s="140" t="s">
        <v>525</v>
      </c>
      <c r="F77" s="140"/>
      <c r="G77" s="902">
        <v>18.339431448884856</v>
      </c>
      <c r="H77" s="114"/>
      <c r="I77" s="902">
        <v>18.340713668541621</v>
      </c>
      <c r="J77" s="114"/>
      <c r="K77" s="906">
        <f>I77-G77</f>
        <v>1.2822196567654487E-3</v>
      </c>
      <c r="L77" s="114"/>
      <c r="M77" s="135">
        <v>39593.22</v>
      </c>
      <c r="N77" s="135"/>
      <c r="O77" s="135">
        <f>K77*M77/100</f>
        <v>0.50767204958638901</v>
      </c>
      <c r="P77" s="135"/>
      <c r="Q77" s="135">
        <f>O77</f>
        <v>0.50767204958638901</v>
      </c>
    </row>
    <row r="78" spans="1:17">
      <c r="A78" s="140"/>
      <c r="B78" s="114"/>
      <c r="C78" s="114"/>
      <c r="D78" s="114"/>
      <c r="E78" s="140"/>
      <c r="F78" s="140"/>
      <c r="G78" s="114"/>
      <c r="H78" s="114"/>
      <c r="I78" s="114"/>
      <c r="J78" s="114"/>
      <c r="K78" s="906"/>
      <c r="L78" s="114"/>
      <c r="M78" s="135"/>
      <c r="N78" s="135"/>
      <c r="O78" s="135"/>
      <c r="P78" s="135"/>
      <c r="Q78" s="135"/>
    </row>
    <row r="79" spans="1:17" ht="12.95" thickBot="1">
      <c r="A79" s="140">
        <f>A77+1</f>
        <v>42</v>
      </c>
      <c r="B79" s="114"/>
      <c r="C79" s="114" t="s">
        <v>285</v>
      </c>
      <c r="D79" s="114"/>
      <c r="E79" s="140"/>
      <c r="F79" s="140"/>
      <c r="G79" s="902"/>
      <c r="H79" s="114"/>
      <c r="I79" s="902"/>
      <c r="J79" s="114"/>
      <c r="K79" s="908"/>
      <c r="L79" s="114"/>
      <c r="M79" s="135"/>
      <c r="N79" s="135"/>
      <c r="O79" s="905">
        <f>O66+O67+O69+O70+O73+O74+O75+O77</f>
        <v>363.53504978355505</v>
      </c>
      <c r="P79" s="135"/>
      <c r="Q79" s="905">
        <f>Q66+Q67+Q69+Q71+Q73+Q74+Q75+Q77</f>
        <v>363.53504978355505</v>
      </c>
    </row>
    <row r="80" spans="1:17" ht="12.95" thickTop="1">
      <c r="A80" s="140"/>
      <c r="B80" s="114"/>
      <c r="C80" s="114"/>
      <c r="D80" s="114"/>
      <c r="E80" s="140"/>
      <c r="F80" s="140"/>
      <c r="G80" s="114"/>
      <c r="H80" s="114"/>
      <c r="I80" s="114"/>
      <c r="J80" s="114"/>
      <c r="K80" s="908"/>
      <c r="L80" s="114"/>
      <c r="M80" s="135"/>
      <c r="N80" s="135"/>
      <c r="O80" s="135"/>
      <c r="P80" s="135"/>
      <c r="Q80" s="135"/>
    </row>
    <row r="81" spans="1:17">
      <c r="A81" s="140"/>
      <c r="B81" s="114"/>
      <c r="C81" s="875" t="s">
        <v>131</v>
      </c>
      <c r="D81" s="114"/>
      <c r="E81" s="140"/>
      <c r="F81" s="140"/>
      <c r="G81" s="114"/>
      <c r="H81" s="114"/>
      <c r="I81" s="114"/>
      <c r="J81" s="114"/>
      <c r="K81" s="906"/>
      <c r="L81" s="114"/>
      <c r="M81" s="135"/>
      <c r="N81" s="135"/>
      <c r="O81" s="135"/>
      <c r="P81" s="135"/>
      <c r="Q81" s="135"/>
    </row>
    <row r="82" spans="1:17">
      <c r="A82" s="140">
        <f>A79+1</f>
        <v>43</v>
      </c>
      <c r="B82" s="114"/>
      <c r="C82" s="114" t="s">
        <v>258</v>
      </c>
      <c r="D82" s="114"/>
      <c r="E82" s="140" t="s">
        <v>523</v>
      </c>
      <c r="F82" s="140"/>
      <c r="G82" s="99">
        <v>681.10851778541416</v>
      </c>
      <c r="H82" s="914"/>
      <c r="I82" s="99">
        <v>699.72000319840947</v>
      </c>
      <c r="J82" s="914"/>
      <c r="K82" s="99">
        <f>I82-G82</f>
        <v>18.611485412995307</v>
      </c>
      <c r="L82" s="114"/>
      <c r="M82" s="135">
        <v>88.000191503820815</v>
      </c>
      <c r="N82" s="135"/>
      <c r="O82" s="135">
        <f>K82*M82/1000</f>
        <v>1.6378142805141547</v>
      </c>
      <c r="P82" s="135"/>
      <c r="Q82" s="135"/>
    </row>
    <row r="83" spans="1:17">
      <c r="A83" s="140">
        <f>A82+1</f>
        <v>44</v>
      </c>
      <c r="B83" s="114"/>
      <c r="C83" s="114" t="s">
        <v>280</v>
      </c>
      <c r="D83" s="114"/>
      <c r="E83" s="140" t="s">
        <v>540</v>
      </c>
      <c r="F83" s="140"/>
      <c r="G83" s="902">
        <v>27.124262553809189</v>
      </c>
      <c r="H83" s="114"/>
      <c r="I83" s="902">
        <v>27.865440800265233</v>
      </c>
      <c r="J83" s="114"/>
      <c r="K83" s="906">
        <f>I83-G83</f>
        <v>0.74117824645604458</v>
      </c>
      <c r="L83" s="114"/>
      <c r="M83" s="135">
        <v>4826.9399999999996</v>
      </c>
      <c r="N83" s="135"/>
      <c r="O83" s="135">
        <f>K83*M83/100</f>
        <v>35.776229249485397</v>
      </c>
      <c r="P83" s="135"/>
      <c r="Q83" s="135">
        <f>SUM(O82:O83)</f>
        <v>37.414043529999553</v>
      </c>
    </row>
    <row r="84" spans="1:17">
      <c r="A84" s="140"/>
      <c r="B84" s="114"/>
      <c r="C84" s="114" t="s">
        <v>260</v>
      </c>
      <c r="D84" s="114"/>
      <c r="E84" s="140"/>
      <c r="F84" s="140"/>
      <c r="G84" s="114"/>
      <c r="H84" s="114"/>
      <c r="I84" s="114"/>
      <c r="J84" s="114"/>
      <c r="K84" s="906"/>
      <c r="L84" s="114"/>
      <c r="M84" s="135"/>
      <c r="N84" s="135"/>
      <c r="O84" s="135"/>
      <c r="P84" s="135"/>
      <c r="Q84" s="135"/>
    </row>
    <row r="85" spans="1:17">
      <c r="A85" s="140">
        <f>A83+1</f>
        <v>45</v>
      </c>
      <c r="B85" s="114"/>
      <c r="C85" s="114" t="s">
        <v>1155</v>
      </c>
      <c r="D85" s="114"/>
      <c r="E85" s="140" t="s">
        <v>525</v>
      </c>
      <c r="F85" s="140"/>
      <c r="G85" s="902">
        <v>0.67077638089742209</v>
      </c>
      <c r="H85" s="114"/>
      <c r="I85" s="902">
        <v>0.58765268035199791</v>
      </c>
      <c r="J85" s="114"/>
      <c r="K85" s="906">
        <f>I85-G85</f>
        <v>-8.3123700545424173E-2</v>
      </c>
      <c r="L85" s="114"/>
      <c r="M85" s="135">
        <v>49806.136999999995</v>
      </c>
      <c r="N85" s="135"/>
      <c r="O85" s="135">
        <f>K85*M85/100</f>
        <v>-41.400704173123707</v>
      </c>
      <c r="P85" s="135"/>
      <c r="Q85" s="135"/>
    </row>
    <row r="86" spans="1:17">
      <c r="A86" s="140">
        <f>A85+1</f>
        <v>46</v>
      </c>
      <c r="B86" s="114"/>
      <c r="C86" s="114" t="s">
        <v>1156</v>
      </c>
      <c r="D86" s="114"/>
      <c r="E86" s="140" t="s">
        <v>525</v>
      </c>
      <c r="F86" s="140"/>
      <c r="G86" s="902">
        <v>0.5682897741756695</v>
      </c>
      <c r="H86" s="114"/>
      <c r="I86" s="902">
        <v>0.48236567029360028</v>
      </c>
      <c r="J86" s="114"/>
      <c r="K86" s="906">
        <f>I86-G86</f>
        <v>-8.5924103882069225E-2</v>
      </c>
      <c r="L86" s="114"/>
      <c r="M86" s="923">
        <v>86339.013999999996</v>
      </c>
      <c r="N86" s="135"/>
      <c r="O86" s="923">
        <f>K86*M86/100</f>
        <v>-74.186024080114279</v>
      </c>
      <c r="P86" s="135"/>
      <c r="Q86" s="114"/>
    </row>
    <row r="87" spans="1:17">
      <c r="A87" s="140">
        <f>A86+1</f>
        <v>47</v>
      </c>
      <c r="B87" s="114"/>
      <c r="C87" s="114" t="s">
        <v>260</v>
      </c>
      <c r="D87" s="114"/>
      <c r="E87" s="140"/>
      <c r="F87" s="140"/>
      <c r="G87" s="902"/>
      <c r="H87" s="114"/>
      <c r="I87" s="902"/>
      <c r="J87" s="114"/>
      <c r="K87" s="908"/>
      <c r="L87" s="114"/>
      <c r="M87" s="135">
        <f>SUM(M85:M86)</f>
        <v>136145.15099999998</v>
      </c>
      <c r="N87" s="135"/>
      <c r="O87" s="135">
        <f>SUM(O85:O86)</f>
        <v>-115.58672825323799</v>
      </c>
      <c r="P87" s="135"/>
      <c r="Q87" s="135">
        <f>SUM(O85:O86)</f>
        <v>-115.58672825323799</v>
      </c>
    </row>
    <row r="88" spans="1:17">
      <c r="A88" s="140"/>
      <c r="B88" s="114"/>
      <c r="C88" s="114"/>
      <c r="D88" s="114"/>
      <c r="E88" s="140"/>
      <c r="F88" s="140"/>
      <c r="G88" s="114"/>
      <c r="H88" s="114"/>
      <c r="I88" s="114"/>
      <c r="J88" s="114"/>
      <c r="K88" s="906"/>
      <c r="L88" s="114"/>
      <c r="M88" s="114"/>
      <c r="N88" s="135"/>
      <c r="O88" s="135"/>
      <c r="P88" s="135"/>
      <c r="Q88" s="135"/>
    </row>
    <row r="89" spans="1:17">
      <c r="A89" s="140">
        <f>A87+1</f>
        <v>48</v>
      </c>
      <c r="B89" s="114"/>
      <c r="C89" s="114" t="s">
        <v>529</v>
      </c>
      <c r="D89" s="114"/>
      <c r="E89" s="140" t="s">
        <v>525</v>
      </c>
      <c r="F89" s="140"/>
      <c r="G89" s="902">
        <v>9.4794584882729044E-2</v>
      </c>
      <c r="H89" s="114"/>
      <c r="I89" s="902">
        <v>9.5366474611454824E-2</v>
      </c>
      <c r="J89" s="114"/>
      <c r="K89" s="906">
        <f>I89-G89</f>
        <v>5.7188972872578014E-4</v>
      </c>
      <c r="L89" s="114"/>
      <c r="M89" s="135">
        <v>136145.15099999998</v>
      </c>
      <c r="N89" s="135"/>
      <c r="O89" s="135">
        <f>K89*M89/100</f>
        <v>0.77860013472720369</v>
      </c>
      <c r="P89" s="135"/>
      <c r="Q89" s="135">
        <f>O89</f>
        <v>0.77860013472720369</v>
      </c>
    </row>
    <row r="90" spans="1:17">
      <c r="A90" s="140">
        <f>A89+1</f>
        <v>49</v>
      </c>
      <c r="B90" s="114"/>
      <c r="C90" s="114" t="s">
        <v>1152</v>
      </c>
      <c r="D90" s="114"/>
      <c r="E90" s="140" t="s">
        <v>525</v>
      </c>
      <c r="F90" s="140"/>
      <c r="G90" s="902">
        <v>3.9267453785808999</v>
      </c>
      <c r="H90" s="114"/>
      <c r="I90" s="902">
        <v>3.9288023288017504</v>
      </c>
      <c r="J90" s="114"/>
      <c r="K90" s="906">
        <f>I90-G90</f>
        <v>2.0569502208505064E-3</v>
      </c>
      <c r="L90" s="114"/>
      <c r="M90" s="135">
        <v>755.53499999999997</v>
      </c>
      <c r="N90" s="135"/>
      <c r="O90" s="135">
        <f>K90*M90/100</f>
        <v>1.5540978851102873E-2</v>
      </c>
      <c r="P90" s="135"/>
      <c r="Q90" s="135">
        <f>O90</f>
        <v>1.5540978851102873E-2</v>
      </c>
    </row>
    <row r="91" spans="1:17">
      <c r="A91" s="140">
        <f>A90+1</f>
        <v>50</v>
      </c>
      <c r="B91" s="114"/>
      <c r="C91" s="114" t="s">
        <v>1153</v>
      </c>
      <c r="D91" s="114"/>
      <c r="E91" s="140" t="s">
        <v>525</v>
      </c>
      <c r="F91" s="140"/>
      <c r="G91" s="902">
        <v>0.96972045424185205</v>
      </c>
      <c r="H91" s="114"/>
      <c r="I91" s="902">
        <v>0.98605543239586568</v>
      </c>
      <c r="J91" s="114"/>
      <c r="K91" s="906">
        <f>I91-G91</f>
        <v>1.6334978154013635E-2</v>
      </c>
      <c r="L91" s="114"/>
      <c r="M91" s="135">
        <v>88937.574000000008</v>
      </c>
      <c r="N91" s="135"/>
      <c r="O91" s="135">
        <f>K91*M91/100</f>
        <v>14.527933283609711</v>
      </c>
      <c r="P91" s="135"/>
      <c r="Q91" s="135">
        <f>O91</f>
        <v>14.527933283609711</v>
      </c>
    </row>
    <row r="92" spans="1:17">
      <c r="A92" s="140"/>
      <c r="B92" s="114"/>
      <c r="C92" s="114"/>
      <c r="D92" s="114"/>
      <c r="E92" s="140"/>
      <c r="F92" s="140"/>
      <c r="G92" s="902"/>
      <c r="H92" s="114"/>
      <c r="I92" s="877"/>
      <c r="J92" s="114"/>
      <c r="K92" s="906"/>
      <c r="L92" s="114"/>
      <c r="M92" s="135"/>
      <c r="N92" s="135"/>
      <c r="O92" s="135"/>
      <c r="P92" s="135"/>
      <c r="Q92" s="135"/>
    </row>
    <row r="93" spans="1:17">
      <c r="A93" s="140">
        <f>A91+1</f>
        <v>51</v>
      </c>
      <c r="B93" s="114"/>
      <c r="C93" s="114" t="s">
        <v>270</v>
      </c>
      <c r="D93" s="114"/>
      <c r="E93" s="140" t="s">
        <v>525</v>
      </c>
      <c r="F93" s="140"/>
      <c r="G93" s="902">
        <v>18.339431448884856</v>
      </c>
      <c r="H93" s="114"/>
      <c r="I93" s="902">
        <v>18.340713668541625</v>
      </c>
      <c r="J93" s="114"/>
      <c r="K93" s="906">
        <f>I93-G93</f>
        <v>1.2822196567690014E-3</v>
      </c>
      <c r="L93" s="114"/>
      <c r="M93" s="135">
        <v>755.53499999999997</v>
      </c>
      <c r="N93" s="135"/>
      <c r="O93" s="135">
        <f>K93*M93/100</f>
        <v>9.6876182837696747E-3</v>
      </c>
      <c r="P93" s="135"/>
      <c r="Q93" s="135">
        <f>O93</f>
        <v>9.6876182837696747E-3</v>
      </c>
    </row>
    <row r="94" spans="1:17">
      <c r="A94" s="140"/>
      <c r="B94" s="114"/>
      <c r="C94" s="114"/>
      <c r="D94" s="114"/>
      <c r="E94" s="140"/>
      <c r="F94" s="140"/>
      <c r="G94" s="114"/>
      <c r="H94" s="114"/>
      <c r="I94" s="114"/>
      <c r="J94" s="114"/>
      <c r="K94" s="906"/>
      <c r="L94" s="114"/>
      <c r="M94" s="135"/>
      <c r="N94" s="135"/>
      <c r="O94" s="135"/>
      <c r="P94" s="135"/>
      <c r="Q94" s="135"/>
    </row>
    <row r="95" spans="1:17" ht="12.95" thickBot="1">
      <c r="A95" s="140">
        <f>A93+1</f>
        <v>52</v>
      </c>
      <c r="B95" s="114"/>
      <c r="C95" s="114" t="s">
        <v>286</v>
      </c>
      <c r="D95" s="114"/>
      <c r="E95" s="140"/>
      <c r="F95" s="140"/>
      <c r="G95" s="902"/>
      <c r="H95" s="114"/>
      <c r="I95" s="902"/>
      <c r="J95" s="114"/>
      <c r="K95" s="908"/>
      <c r="L95" s="114"/>
      <c r="M95" s="135"/>
      <c r="N95" s="135"/>
      <c r="O95" s="905">
        <f>O82+O83+O85+O86+O89+O90+O91</f>
        <v>-62.850610326050415</v>
      </c>
      <c r="P95" s="135"/>
      <c r="Q95" s="905">
        <f>Q82+Q83+Q85+Q87+Q89+Q90+Q91</f>
        <v>-62.850610326050415</v>
      </c>
    </row>
    <row r="96" spans="1:17" ht="12.95" thickTop="1">
      <c r="A96" s="140"/>
      <c r="B96" s="114"/>
      <c r="C96" s="114"/>
      <c r="D96" s="114"/>
      <c r="E96" s="140"/>
      <c r="F96" s="140"/>
      <c r="G96" s="114"/>
      <c r="H96" s="114"/>
      <c r="I96" s="114"/>
      <c r="J96" s="114"/>
      <c r="K96" s="906"/>
      <c r="L96" s="114"/>
      <c r="M96" s="135"/>
      <c r="N96" s="135"/>
      <c r="O96" s="135"/>
      <c r="P96" s="135"/>
      <c r="Q96" s="135"/>
    </row>
    <row r="97" spans="1:17">
      <c r="A97" s="140"/>
      <c r="B97" s="114"/>
      <c r="C97" s="114"/>
      <c r="D97" s="114"/>
      <c r="E97" s="140"/>
      <c r="F97" s="140"/>
      <c r="G97" s="114"/>
      <c r="H97" s="114"/>
      <c r="I97" s="114"/>
      <c r="J97" s="114"/>
      <c r="K97" s="906"/>
      <c r="L97" s="114"/>
      <c r="M97" s="135"/>
      <c r="N97" s="135"/>
      <c r="O97" s="135"/>
      <c r="P97" s="135"/>
      <c r="Q97" s="135"/>
    </row>
    <row r="98" spans="1:17">
      <c r="A98" s="140"/>
      <c r="B98" s="114"/>
      <c r="C98" s="114"/>
      <c r="D98" s="114"/>
      <c r="E98" s="140"/>
      <c r="F98" s="140"/>
      <c r="G98" s="114"/>
      <c r="H98" s="114"/>
      <c r="I98" s="114"/>
      <c r="J98" s="114"/>
      <c r="K98" s="906"/>
      <c r="L98" s="114"/>
      <c r="M98" s="135"/>
      <c r="N98" s="135"/>
      <c r="O98" s="135"/>
      <c r="P98" s="135"/>
      <c r="Q98" s="135"/>
    </row>
    <row r="99" spans="1:17">
      <c r="A99" s="140"/>
      <c r="B99" s="114"/>
      <c r="C99" s="114"/>
      <c r="D99" s="114"/>
      <c r="E99" s="140"/>
      <c r="F99" s="140"/>
      <c r="G99" s="114"/>
      <c r="H99" s="114"/>
      <c r="I99" s="114"/>
      <c r="J99" s="114"/>
      <c r="K99" s="906"/>
      <c r="L99" s="114"/>
      <c r="M99" s="135"/>
      <c r="N99" s="135"/>
      <c r="O99" s="135"/>
      <c r="P99" s="135"/>
      <c r="Q99" s="135"/>
    </row>
    <row r="100" spans="1:17">
      <c r="A100" s="140"/>
      <c r="B100" s="114"/>
      <c r="C100" s="114"/>
      <c r="D100" s="114"/>
      <c r="E100" s="140"/>
      <c r="F100" s="140"/>
      <c r="G100" s="114"/>
      <c r="H100" s="114"/>
      <c r="I100" s="114"/>
      <c r="J100" s="114"/>
      <c r="K100" s="906"/>
      <c r="L100" s="114"/>
      <c r="M100" s="135"/>
      <c r="N100" s="135"/>
      <c r="O100" s="135"/>
      <c r="P100" s="135"/>
      <c r="Q100" s="135"/>
    </row>
    <row r="101" spans="1:17">
      <c r="A101" s="140"/>
      <c r="B101" s="114"/>
      <c r="C101" s="114"/>
      <c r="D101" s="114"/>
      <c r="E101" s="140"/>
      <c r="F101" s="140"/>
      <c r="G101" s="114"/>
      <c r="H101" s="114"/>
      <c r="I101" s="114"/>
      <c r="J101" s="114"/>
      <c r="K101" s="906"/>
      <c r="L101" s="114"/>
      <c r="M101" s="135"/>
      <c r="N101" s="135"/>
      <c r="O101" s="135"/>
      <c r="P101" s="135"/>
      <c r="Q101" s="135"/>
    </row>
    <row r="102" spans="1:17">
      <c r="A102" s="140"/>
      <c r="B102" s="114"/>
      <c r="C102" s="114"/>
      <c r="D102" s="114"/>
      <c r="E102" s="140"/>
      <c r="F102" s="140"/>
      <c r="G102" s="114"/>
      <c r="H102" s="114"/>
      <c r="I102" s="114"/>
      <c r="J102" s="114"/>
      <c r="K102" s="906"/>
      <c r="L102" s="114"/>
      <c r="M102" s="135"/>
      <c r="N102" s="135"/>
      <c r="O102" s="135"/>
      <c r="P102" s="135"/>
      <c r="Q102" s="135"/>
    </row>
    <row r="103" spans="1:17">
      <c r="A103" s="140"/>
      <c r="B103" s="114"/>
      <c r="C103" s="114"/>
      <c r="D103" s="114"/>
      <c r="E103" s="140"/>
      <c r="F103" s="140"/>
      <c r="G103" s="114"/>
      <c r="H103" s="114"/>
      <c r="I103" s="114"/>
      <c r="J103" s="114"/>
      <c r="K103" s="906"/>
      <c r="L103" s="114"/>
      <c r="M103" s="135"/>
      <c r="N103" s="135"/>
      <c r="O103" s="135"/>
      <c r="P103" s="135"/>
      <c r="Q103" s="135"/>
    </row>
    <row r="104" spans="1:17">
      <c r="A104" s="1187" t="s">
        <v>1138</v>
      </c>
      <c r="B104" s="1188"/>
      <c r="C104" s="1188"/>
      <c r="D104" s="1188"/>
      <c r="E104" s="1188"/>
      <c r="F104" s="1188"/>
      <c r="G104" s="1188"/>
      <c r="H104" s="1188"/>
      <c r="I104" s="1188"/>
      <c r="J104" s="1188"/>
      <c r="K104" s="1188"/>
      <c r="L104" s="1188"/>
      <c r="M104" s="1188"/>
      <c r="N104" s="1188"/>
      <c r="O104" s="1188"/>
      <c r="P104" s="1188"/>
      <c r="Q104" s="1188"/>
    </row>
    <row r="105" spans="1:17">
      <c r="A105" s="1187" t="s">
        <v>1157</v>
      </c>
      <c r="B105" s="1187"/>
      <c r="C105" s="1187"/>
      <c r="D105" s="1187"/>
      <c r="E105" s="1187"/>
      <c r="F105" s="1187"/>
      <c r="G105" s="1187"/>
      <c r="H105" s="1187"/>
      <c r="I105" s="1187"/>
      <c r="J105" s="1187"/>
      <c r="K105" s="1187"/>
      <c r="L105" s="1187"/>
      <c r="M105" s="1187"/>
      <c r="N105" s="1187"/>
      <c r="O105" s="1187"/>
      <c r="P105" s="1187"/>
      <c r="Q105" s="1187"/>
    </row>
    <row r="106" spans="1:17">
      <c r="A106" s="140"/>
      <c r="B106" s="114"/>
      <c r="C106" s="114"/>
      <c r="D106" s="114"/>
      <c r="E106" s="114"/>
      <c r="F106" s="114"/>
      <c r="G106" s="114"/>
      <c r="H106" s="114"/>
      <c r="I106" s="114"/>
      <c r="J106" s="114"/>
      <c r="K106" s="114"/>
      <c r="L106" s="114"/>
      <c r="M106" s="114"/>
      <c r="N106" s="114"/>
      <c r="O106" s="114"/>
      <c r="P106" s="114"/>
      <c r="Q106" s="114"/>
    </row>
    <row r="107" spans="1:17">
      <c r="A107" s="140"/>
      <c r="B107" s="114"/>
      <c r="C107" s="114"/>
      <c r="D107" s="114"/>
      <c r="E107" s="114"/>
      <c r="F107" s="114"/>
      <c r="G107" s="114"/>
      <c r="H107" s="114"/>
      <c r="I107" s="114"/>
      <c r="J107" s="114"/>
      <c r="K107" s="114"/>
      <c r="L107" s="114"/>
      <c r="M107" s="114"/>
      <c r="N107" s="114"/>
      <c r="O107" s="140" t="s">
        <v>103</v>
      </c>
      <c r="P107" s="114"/>
      <c r="Q107" s="140" t="s">
        <v>1140</v>
      </c>
    </row>
    <row r="108" spans="1:17">
      <c r="A108" s="140" t="s">
        <v>56</v>
      </c>
      <c r="B108" s="114"/>
      <c r="C108" s="114"/>
      <c r="D108" s="114"/>
      <c r="E108" s="114"/>
      <c r="F108" s="114"/>
      <c r="G108" s="140" t="s">
        <v>1144</v>
      </c>
      <c r="H108" s="114"/>
      <c r="I108" s="140" t="s">
        <v>102</v>
      </c>
      <c r="J108" s="114"/>
      <c r="K108" s="140" t="s">
        <v>1145</v>
      </c>
      <c r="L108" s="114"/>
      <c r="M108" s="140" t="s">
        <v>1146</v>
      </c>
      <c r="N108" s="114"/>
      <c r="O108" s="140" t="s">
        <v>1147</v>
      </c>
      <c r="P108" s="114"/>
      <c r="Q108" s="140" t="s">
        <v>1148</v>
      </c>
    </row>
    <row r="109" spans="1:17">
      <c r="A109" s="199" t="s">
        <v>57</v>
      </c>
      <c r="B109" s="114"/>
      <c r="C109" s="433" t="s">
        <v>194</v>
      </c>
      <c r="D109" s="114"/>
      <c r="E109" s="199" t="s">
        <v>245</v>
      </c>
      <c r="F109" s="140"/>
      <c r="G109" s="199" t="s">
        <v>235</v>
      </c>
      <c r="H109" s="114"/>
      <c r="I109" s="199" t="s">
        <v>1149</v>
      </c>
      <c r="J109" s="114"/>
      <c r="K109" s="199" t="s">
        <v>1147</v>
      </c>
      <c r="L109" s="114"/>
      <c r="M109" s="199" t="s">
        <v>1150</v>
      </c>
      <c r="N109" s="114"/>
      <c r="O109" s="199" t="s">
        <v>248</v>
      </c>
      <c r="P109" s="114"/>
      <c r="Q109" s="199" t="s">
        <v>248</v>
      </c>
    </row>
    <row r="110" spans="1:17">
      <c r="A110" s="140"/>
      <c r="B110" s="114"/>
      <c r="C110" s="114"/>
      <c r="D110" s="114"/>
      <c r="E110" s="114"/>
      <c r="F110" s="114"/>
      <c r="G110" s="202" t="s">
        <v>9</v>
      </c>
      <c r="H110" s="140"/>
      <c r="I110" s="202" t="s">
        <v>10</v>
      </c>
      <c r="J110" s="140"/>
      <c r="K110" s="202" t="s">
        <v>846</v>
      </c>
      <c r="L110" s="114"/>
      <c r="M110" s="202" t="s">
        <v>12</v>
      </c>
      <c r="N110" s="114"/>
      <c r="O110" s="202" t="s">
        <v>1151</v>
      </c>
      <c r="P110" s="114"/>
      <c r="Q110" s="140" t="s">
        <v>115</v>
      </c>
    </row>
    <row r="111" spans="1:17">
      <c r="A111" s="140"/>
      <c r="B111" s="114"/>
      <c r="C111" s="114"/>
      <c r="D111" s="114"/>
      <c r="E111" s="140"/>
      <c r="F111" s="140"/>
      <c r="G111" s="114"/>
      <c r="H111" s="114"/>
      <c r="I111" s="114"/>
      <c r="J111" s="114"/>
      <c r="K111" s="906"/>
      <c r="L111" s="114"/>
      <c r="M111" s="135"/>
      <c r="N111" s="135"/>
      <c r="O111" s="135"/>
      <c r="P111" s="135"/>
      <c r="Q111" s="135"/>
    </row>
    <row r="112" spans="1:17">
      <c r="A112" s="140"/>
      <c r="B112" s="114"/>
      <c r="C112" s="875" t="s">
        <v>132</v>
      </c>
      <c r="D112" s="114"/>
      <c r="E112" s="140"/>
      <c r="F112" s="140"/>
      <c r="G112" s="114"/>
      <c r="H112" s="114"/>
      <c r="I112" s="114"/>
      <c r="J112" s="114"/>
      <c r="K112" s="906"/>
      <c r="L112" s="114"/>
      <c r="M112" s="135"/>
      <c r="N112" s="135"/>
      <c r="O112" s="135"/>
      <c r="P112" s="135"/>
      <c r="Q112" s="135"/>
    </row>
    <row r="113" spans="1:17">
      <c r="A113" s="140">
        <f>A95+1</f>
        <v>53</v>
      </c>
      <c r="B113" s="114"/>
      <c r="C113" s="114" t="s">
        <v>258</v>
      </c>
      <c r="D113" s="114"/>
      <c r="E113" s="140" t="s">
        <v>523</v>
      </c>
      <c r="F113" s="140"/>
      <c r="G113" s="99">
        <v>546.96967474977816</v>
      </c>
      <c r="H113" s="914"/>
      <c r="I113" s="99">
        <v>561.91577784074468</v>
      </c>
      <c r="J113" s="914"/>
      <c r="K113" s="99">
        <f>I113-G113</f>
        <v>14.946103090966517</v>
      </c>
      <c r="L113" s="114"/>
      <c r="M113" s="135">
        <v>16.000009514245104</v>
      </c>
      <c r="N113" s="135"/>
      <c r="O113" s="135">
        <f>K113*M113/1000</f>
        <v>0.23913779165635243</v>
      </c>
      <c r="P113" s="135"/>
      <c r="Q113" s="135"/>
    </row>
    <row r="114" spans="1:17">
      <c r="A114" s="140"/>
      <c r="B114" s="114"/>
      <c r="C114" s="114"/>
      <c r="D114" s="114"/>
      <c r="E114" s="140"/>
      <c r="F114" s="140"/>
      <c r="G114" s="114"/>
      <c r="H114" s="114"/>
      <c r="I114" s="114"/>
      <c r="J114" s="114"/>
      <c r="K114" s="906"/>
      <c r="L114" s="114"/>
      <c r="M114" s="135"/>
      <c r="N114" s="135"/>
      <c r="O114" s="135"/>
      <c r="P114" s="135"/>
      <c r="Q114" s="135"/>
    </row>
    <row r="115" spans="1:17">
      <c r="A115" s="140">
        <f>A113+1</f>
        <v>54</v>
      </c>
      <c r="B115" s="114"/>
      <c r="C115" s="114" t="s">
        <v>280</v>
      </c>
      <c r="D115" s="114"/>
      <c r="E115" s="140" t="s">
        <v>540</v>
      </c>
      <c r="F115" s="140"/>
      <c r="G115" s="902">
        <v>11.212672899678186</v>
      </c>
      <c r="H115" s="114"/>
      <c r="I115" s="902">
        <v>11.522380394031693</v>
      </c>
      <c r="J115" s="114"/>
      <c r="K115" s="906">
        <f>I115-G115</f>
        <v>0.30970749435350697</v>
      </c>
      <c r="L115" s="114"/>
      <c r="M115" s="135">
        <v>37041.428</v>
      </c>
      <c r="N115" s="135"/>
      <c r="O115" s="135">
        <f>K115*M115/100</f>
        <v>114.72007853155836</v>
      </c>
      <c r="P115" s="135"/>
      <c r="Q115" s="135">
        <f>O113+O115</f>
        <v>114.9592163232147</v>
      </c>
    </row>
    <row r="116" spans="1:17">
      <c r="A116" s="140"/>
      <c r="B116" s="114"/>
      <c r="C116" s="114"/>
      <c r="D116" s="114"/>
      <c r="E116" s="140"/>
      <c r="F116" s="140"/>
      <c r="G116" s="114"/>
      <c r="H116" s="114"/>
      <c r="I116" s="114"/>
      <c r="J116" s="114"/>
      <c r="K116" s="906"/>
      <c r="L116" s="114"/>
      <c r="M116" s="135"/>
      <c r="N116" s="135"/>
      <c r="O116" s="135"/>
      <c r="P116" s="135"/>
      <c r="Q116" s="135"/>
    </row>
    <row r="117" spans="1:17">
      <c r="A117" s="140">
        <f>A115+1</f>
        <v>55</v>
      </c>
      <c r="B117" s="114"/>
      <c r="C117" s="114" t="s">
        <v>287</v>
      </c>
      <c r="D117" s="114"/>
      <c r="E117" s="140" t="s">
        <v>540</v>
      </c>
      <c r="F117" s="140"/>
      <c r="G117" s="114">
        <v>20.749300000000002</v>
      </c>
      <c r="H117" s="114"/>
      <c r="I117" s="902">
        <v>25.320264229554823</v>
      </c>
      <c r="J117" s="114"/>
      <c r="K117" s="906">
        <f>I117-G117</f>
        <v>4.5709642295548214</v>
      </c>
      <c r="L117" s="114"/>
      <c r="M117" s="135">
        <v>945</v>
      </c>
      <c r="N117" s="135"/>
      <c r="O117" s="135">
        <f>K117*M117/100</f>
        <v>43.195611969293061</v>
      </c>
      <c r="P117" s="135"/>
      <c r="Q117" s="135">
        <f>O117</f>
        <v>43.195611969293061</v>
      </c>
    </row>
    <row r="118" spans="1:17">
      <c r="A118" s="140"/>
      <c r="B118" s="114"/>
      <c r="C118" s="114"/>
      <c r="D118" s="114"/>
      <c r="E118" s="140"/>
      <c r="F118" s="140"/>
      <c r="G118" s="114"/>
      <c r="H118" s="114"/>
      <c r="I118" s="114"/>
      <c r="J118" s="114"/>
      <c r="K118" s="906"/>
      <c r="L118" s="114"/>
      <c r="M118" s="135"/>
      <c r="N118" s="135"/>
      <c r="O118" s="135"/>
      <c r="P118" s="135"/>
      <c r="Q118" s="135"/>
    </row>
    <row r="119" spans="1:17" ht="12.95" thickBot="1">
      <c r="A119" s="140">
        <f>A117+1</f>
        <v>56</v>
      </c>
      <c r="B119" s="114"/>
      <c r="C119" s="114" t="s">
        <v>288</v>
      </c>
      <c r="D119" s="114"/>
      <c r="E119" s="140"/>
      <c r="F119" s="140"/>
      <c r="G119" s="902"/>
      <c r="H119" s="114"/>
      <c r="I119" s="902"/>
      <c r="J119" s="114"/>
      <c r="K119" s="908"/>
      <c r="L119" s="114"/>
      <c r="M119" s="135"/>
      <c r="N119" s="135"/>
      <c r="O119" s="905">
        <f>SUM(O113:O117)</f>
        <v>158.15482829250777</v>
      </c>
      <c r="P119" s="135"/>
      <c r="Q119" s="905">
        <f>SUM(Q113:Q117)</f>
        <v>158.15482829250777</v>
      </c>
    </row>
    <row r="120" spans="1:17" ht="12.95" thickTop="1">
      <c r="A120" s="114"/>
      <c r="B120" s="114"/>
      <c r="C120" s="114"/>
      <c r="D120" s="114"/>
      <c r="E120" s="114"/>
      <c r="F120" s="114"/>
      <c r="G120" s="114"/>
      <c r="H120" s="114"/>
      <c r="I120" s="114"/>
      <c r="J120" s="114"/>
      <c r="K120" s="114"/>
      <c r="L120" s="114"/>
      <c r="M120" s="114"/>
      <c r="N120" s="114"/>
      <c r="O120" s="114"/>
      <c r="P120" s="114"/>
      <c r="Q120" s="114"/>
    </row>
    <row r="121" spans="1:17">
      <c r="A121" s="140"/>
      <c r="B121" s="114"/>
      <c r="C121" s="875" t="s">
        <v>133</v>
      </c>
      <c r="D121" s="114"/>
      <c r="E121" s="140"/>
      <c r="F121" s="140"/>
      <c r="G121" s="114"/>
      <c r="H121" s="114"/>
      <c r="I121" s="114"/>
      <c r="J121" s="114"/>
      <c r="K121" s="906"/>
      <c r="L121" s="114"/>
      <c r="M121" s="135"/>
      <c r="N121" s="135"/>
      <c r="O121" s="135"/>
      <c r="P121" s="135"/>
      <c r="Q121" s="135"/>
    </row>
    <row r="122" spans="1:17">
      <c r="A122" s="140"/>
      <c r="B122" s="114"/>
      <c r="C122" s="114" t="s">
        <v>289</v>
      </c>
      <c r="D122" s="114"/>
      <c r="E122" s="140"/>
      <c r="F122" s="140"/>
      <c r="G122" s="114"/>
      <c r="H122" s="114"/>
      <c r="I122" s="114"/>
      <c r="J122" s="114"/>
      <c r="K122" s="906"/>
      <c r="L122" s="114"/>
      <c r="M122" s="135"/>
      <c r="N122" s="135"/>
      <c r="O122" s="135"/>
      <c r="P122" s="135"/>
      <c r="Q122" s="135"/>
    </row>
    <row r="123" spans="1:17">
      <c r="A123" s="140">
        <f>A119+1</f>
        <v>57</v>
      </c>
      <c r="B123" s="114"/>
      <c r="C123" s="114" t="s">
        <v>1158</v>
      </c>
      <c r="D123" s="114"/>
      <c r="E123" s="140" t="s">
        <v>523</v>
      </c>
      <c r="F123" s="140"/>
      <c r="G123" s="99">
        <v>125.890540340409</v>
      </c>
      <c r="H123" s="914"/>
      <c r="I123" s="99">
        <v>129.33053542782588</v>
      </c>
      <c r="J123" s="914"/>
      <c r="K123" s="99">
        <f>I123-G123</f>
        <v>3.4399950874168752</v>
      </c>
      <c r="L123" s="114"/>
      <c r="M123" s="203">
        <v>122.99947206620826</v>
      </c>
      <c r="N123" s="135"/>
      <c r="O123" s="135">
        <f>K123*M123/1000</f>
        <v>0.42311757966262559</v>
      </c>
      <c r="P123" s="135"/>
      <c r="Q123" s="135"/>
    </row>
    <row r="124" spans="1:17">
      <c r="A124" s="140"/>
      <c r="B124" s="114"/>
      <c r="C124" s="114" t="s">
        <v>1159</v>
      </c>
      <c r="D124" s="114"/>
      <c r="E124" s="140"/>
      <c r="F124" s="140"/>
      <c r="G124" s="114"/>
      <c r="H124" s="114"/>
      <c r="I124" s="114"/>
      <c r="J124" s="114"/>
      <c r="K124" s="906"/>
      <c r="L124" s="114"/>
      <c r="M124" s="135"/>
      <c r="N124" s="135"/>
      <c r="O124" s="135"/>
      <c r="P124" s="135"/>
      <c r="Q124" s="135"/>
    </row>
    <row r="125" spans="1:17">
      <c r="A125" s="140">
        <f>A123+1</f>
        <v>58</v>
      </c>
      <c r="B125" s="114"/>
      <c r="C125" s="114" t="s">
        <v>1160</v>
      </c>
      <c r="D125" s="114"/>
      <c r="E125" s="140" t="s">
        <v>525</v>
      </c>
      <c r="F125" s="140"/>
      <c r="G125" s="902">
        <v>8.7071583280414799</v>
      </c>
      <c r="H125" s="114"/>
      <c r="I125" s="902">
        <v>10.286209456190095</v>
      </c>
      <c r="J125" s="114"/>
      <c r="K125" s="906">
        <f>I125-G125</f>
        <v>1.579051128148615</v>
      </c>
      <c r="L125" s="114"/>
      <c r="M125" s="135">
        <v>81.460000000000008</v>
      </c>
      <c r="N125" s="135"/>
      <c r="O125" s="135">
        <f>K125*M125/100</f>
        <v>1.2862950489898619</v>
      </c>
      <c r="P125" s="135"/>
      <c r="Q125" s="135"/>
    </row>
    <row r="126" spans="1:17">
      <c r="A126" s="140">
        <f>A125+1</f>
        <v>59</v>
      </c>
      <c r="B126" s="114"/>
      <c r="C126" s="114" t="s">
        <v>1161</v>
      </c>
      <c r="D126" s="114"/>
      <c r="E126" s="140" t="s">
        <v>525</v>
      </c>
      <c r="F126" s="140"/>
      <c r="G126" s="902">
        <v>7.2307643883583737</v>
      </c>
      <c r="H126" s="114"/>
      <c r="I126" s="902">
        <v>8.7694662297208943</v>
      </c>
      <c r="J126" s="114"/>
      <c r="K126" s="906">
        <f>I126-G126</f>
        <v>1.5387018413625206</v>
      </c>
      <c r="L126" s="114"/>
      <c r="M126" s="135">
        <v>256.63600000000002</v>
      </c>
      <c r="N126" s="135"/>
      <c r="O126" s="135">
        <f>K126*M126/100</f>
        <v>3.9488628575991185</v>
      </c>
      <c r="P126" s="135"/>
      <c r="Q126" s="135"/>
    </row>
    <row r="127" spans="1:17">
      <c r="A127" s="140">
        <f>A126+1</f>
        <v>60</v>
      </c>
      <c r="B127" s="114"/>
      <c r="C127" s="114" t="s">
        <v>1162</v>
      </c>
      <c r="D127" s="114"/>
      <c r="E127" s="140" t="s">
        <v>525</v>
      </c>
      <c r="F127" s="140"/>
      <c r="G127" s="902">
        <v>6.6456319318883716</v>
      </c>
      <c r="H127" s="114"/>
      <c r="I127" s="902">
        <v>8.168347022650936</v>
      </c>
      <c r="J127" s="114"/>
      <c r="K127" s="906">
        <f>I127-G127</f>
        <v>1.5227150907625644</v>
      </c>
      <c r="L127" s="114"/>
      <c r="M127" s="923">
        <v>61.711999999999996</v>
      </c>
      <c r="N127" s="135"/>
      <c r="O127" s="923">
        <f>K127*M127/100</f>
        <v>0.93969793681139369</v>
      </c>
      <c r="P127" s="135"/>
      <c r="Q127" s="114"/>
    </row>
    <row r="128" spans="1:17">
      <c r="A128" s="140">
        <f>A127+1</f>
        <v>61</v>
      </c>
      <c r="B128" s="114"/>
      <c r="C128" s="114" t="s">
        <v>260</v>
      </c>
      <c r="D128" s="114"/>
      <c r="E128" s="140"/>
      <c r="F128" s="140"/>
      <c r="G128" s="902"/>
      <c r="H128" s="114"/>
      <c r="I128" s="902"/>
      <c r="J128" s="114"/>
      <c r="K128" s="906"/>
      <c r="L128" s="114"/>
      <c r="M128" s="135">
        <f>SUM(M125:M127)</f>
        <v>399.80799999999999</v>
      </c>
      <c r="N128" s="135"/>
      <c r="O128" s="135">
        <f>SUM(O125:O127)</f>
        <v>6.1748558434003744</v>
      </c>
      <c r="P128" s="135"/>
      <c r="Q128" s="135">
        <f>SUM(O123:O127)</f>
        <v>6.5979734230629994</v>
      </c>
    </row>
    <row r="129" spans="1:17">
      <c r="A129" s="140"/>
      <c r="B129" s="114"/>
      <c r="C129" s="114"/>
      <c r="D129" s="114"/>
      <c r="E129" s="114"/>
      <c r="F129" s="114"/>
      <c r="G129" s="114"/>
      <c r="H129" s="114"/>
      <c r="I129" s="114"/>
      <c r="J129" s="114"/>
      <c r="K129" s="114"/>
      <c r="L129" s="114"/>
      <c r="M129" s="114"/>
      <c r="N129" s="114"/>
      <c r="O129" s="114"/>
      <c r="P129" s="114"/>
      <c r="Q129" s="114"/>
    </row>
    <row r="130" spans="1:17">
      <c r="A130" s="140"/>
      <c r="B130" s="114"/>
      <c r="C130" s="114" t="s">
        <v>293</v>
      </c>
      <c r="D130" s="114"/>
      <c r="E130" s="140"/>
      <c r="F130" s="140"/>
      <c r="G130" s="114"/>
      <c r="H130" s="114"/>
      <c r="I130" s="114"/>
      <c r="J130" s="114"/>
      <c r="K130" s="906"/>
      <c r="L130" s="114"/>
      <c r="M130" s="135"/>
      <c r="N130" s="135"/>
      <c r="O130" s="135"/>
      <c r="P130" s="135"/>
      <c r="Q130" s="135"/>
    </row>
    <row r="131" spans="1:17">
      <c r="A131" s="140">
        <f>A128+1</f>
        <v>62</v>
      </c>
      <c r="B131" s="114"/>
      <c r="C131" s="114" t="s">
        <v>1158</v>
      </c>
      <c r="D131" s="114"/>
      <c r="E131" s="140" t="s">
        <v>523</v>
      </c>
      <c r="F131" s="140"/>
      <c r="G131" s="99">
        <v>125.890540340409</v>
      </c>
      <c r="H131" s="914"/>
      <c r="I131" s="99">
        <v>129.33053542782588</v>
      </c>
      <c r="J131" s="914"/>
      <c r="K131" s="99">
        <f>I131-G131</f>
        <v>3.4399950874168752</v>
      </c>
      <c r="L131" s="114"/>
      <c r="M131" s="203">
        <v>40.999824022069419</v>
      </c>
      <c r="N131" s="135"/>
      <c r="O131" s="135">
        <f>K131*M131/1000</f>
        <v>0.14103919322087519</v>
      </c>
      <c r="P131" s="135"/>
      <c r="Q131" s="135"/>
    </row>
    <row r="132" spans="1:17">
      <c r="A132" s="140"/>
      <c r="B132" s="114"/>
      <c r="C132" s="114" t="s">
        <v>1159</v>
      </c>
      <c r="D132" s="114"/>
      <c r="E132" s="140"/>
      <c r="F132" s="140"/>
      <c r="G132" s="114"/>
      <c r="H132" s="114"/>
      <c r="I132" s="114"/>
      <c r="J132" s="114"/>
      <c r="K132" s="906"/>
      <c r="L132" s="114"/>
      <c r="M132" s="135"/>
      <c r="N132" s="135"/>
      <c r="O132" s="135"/>
      <c r="P132" s="135"/>
      <c r="Q132" s="135"/>
    </row>
    <row r="133" spans="1:17">
      <c r="A133" s="140">
        <f>A131+1</f>
        <v>63</v>
      </c>
      <c r="B133" s="114"/>
      <c r="C133" s="114" t="s">
        <v>1160</v>
      </c>
      <c r="D133" s="114"/>
      <c r="E133" s="140" t="s">
        <v>525</v>
      </c>
      <c r="F133" s="140"/>
      <c r="G133" s="902">
        <v>3.0187054350434206</v>
      </c>
      <c r="H133" s="114"/>
      <c r="I133" s="902">
        <v>4.4423172609961137</v>
      </c>
      <c r="J133" s="114"/>
      <c r="K133" s="906">
        <f>I133-G133</f>
        <v>1.4236118259526931</v>
      </c>
      <c r="L133" s="114"/>
      <c r="M133" s="135">
        <v>354.75</v>
      </c>
      <c r="N133" s="135"/>
      <c r="O133" s="135">
        <f>K133*M133/100</f>
        <v>5.0502629525671789</v>
      </c>
      <c r="P133" s="135"/>
      <c r="Q133" s="135"/>
    </row>
    <row r="134" spans="1:17">
      <c r="A134" s="140">
        <f>A133+1</f>
        <v>64</v>
      </c>
      <c r="B134" s="114"/>
      <c r="C134" s="114" t="s">
        <v>1161</v>
      </c>
      <c r="D134" s="114"/>
      <c r="E134" s="140" t="s">
        <v>525</v>
      </c>
      <c r="F134" s="140"/>
      <c r="G134" s="902">
        <v>2.1834219027636586</v>
      </c>
      <c r="H134" s="114"/>
      <c r="I134" s="902">
        <v>3.5842098893342134</v>
      </c>
      <c r="J134" s="114"/>
      <c r="K134" s="906">
        <f>I134-G134</f>
        <v>1.4007879865705548</v>
      </c>
      <c r="L134" s="114"/>
      <c r="M134" s="135">
        <v>386.06799999999998</v>
      </c>
      <c r="N134" s="135"/>
      <c r="O134" s="135">
        <f>K134*M134/100</f>
        <v>5.4079941639932088</v>
      </c>
      <c r="P134" s="135"/>
      <c r="Q134" s="135"/>
    </row>
    <row r="135" spans="1:17">
      <c r="A135" s="140">
        <f>A134+1</f>
        <v>65</v>
      </c>
      <c r="B135" s="114"/>
      <c r="C135" s="114" t="s">
        <v>1162</v>
      </c>
      <c r="D135" s="114"/>
      <c r="E135" s="140" t="s">
        <v>525</v>
      </c>
      <c r="F135" s="140"/>
      <c r="G135" s="902">
        <v>1.9276317065247057</v>
      </c>
      <c r="H135" s="114"/>
      <c r="I135" s="902">
        <v>3.321430163044031</v>
      </c>
      <c r="J135" s="114"/>
      <c r="K135" s="906">
        <f>I135-G135</f>
        <v>1.3937984565193253</v>
      </c>
      <c r="L135" s="114"/>
      <c r="M135" s="923">
        <v>408.79199999999997</v>
      </c>
      <c r="N135" s="135"/>
      <c r="O135" s="923">
        <f>K135*M135/100</f>
        <v>5.6977365863744796</v>
      </c>
      <c r="P135" s="135"/>
      <c r="Q135" s="114"/>
    </row>
    <row r="136" spans="1:17">
      <c r="A136" s="140">
        <f>A135+1</f>
        <v>66</v>
      </c>
      <c r="B136" s="114"/>
      <c r="C136" s="114" t="s">
        <v>260</v>
      </c>
      <c r="D136" s="114"/>
      <c r="E136" s="140"/>
      <c r="F136" s="140"/>
      <c r="G136" s="902"/>
      <c r="H136" s="114"/>
      <c r="I136" s="902"/>
      <c r="J136" s="114"/>
      <c r="K136" s="908"/>
      <c r="L136" s="114"/>
      <c r="M136" s="135">
        <f>SUM(M133:M135)</f>
        <v>1149.6099999999999</v>
      </c>
      <c r="N136" s="135"/>
      <c r="O136" s="135">
        <f>SUM(O133:O135)</f>
        <v>16.155993702934868</v>
      </c>
      <c r="P136" s="135"/>
      <c r="Q136" s="135">
        <f>SUM(O131:O135)</f>
        <v>16.297032896155741</v>
      </c>
    </row>
    <row r="137" spans="1:17">
      <c r="A137" s="140"/>
      <c r="B137" s="114"/>
      <c r="C137" s="114"/>
      <c r="D137" s="114"/>
      <c r="E137" s="140"/>
      <c r="F137" s="140"/>
      <c r="G137" s="114"/>
      <c r="H137" s="114"/>
      <c r="I137" s="114"/>
      <c r="J137" s="114"/>
      <c r="K137" s="906"/>
      <c r="L137" s="114"/>
      <c r="M137" s="135"/>
      <c r="N137" s="135"/>
      <c r="O137" s="135"/>
      <c r="P137" s="135"/>
      <c r="Q137" s="135"/>
    </row>
    <row r="138" spans="1:17">
      <c r="A138" s="140">
        <f>A136+1</f>
        <v>67</v>
      </c>
      <c r="B138" s="114"/>
      <c r="C138" s="114" t="s">
        <v>529</v>
      </c>
      <c r="D138" s="114"/>
      <c r="E138" s="140" t="s">
        <v>525</v>
      </c>
      <c r="F138" s="140"/>
      <c r="G138" s="907">
        <v>0</v>
      </c>
      <c r="H138" s="114"/>
      <c r="I138" s="902">
        <v>0</v>
      </c>
      <c r="J138" s="114"/>
      <c r="K138" s="906">
        <f>I138-G138</f>
        <v>0</v>
      </c>
      <c r="L138" s="114"/>
      <c r="M138" s="135">
        <v>1549.4179999999999</v>
      </c>
      <c r="N138" s="135"/>
      <c r="O138" s="135">
        <f>K138*M138/100</f>
        <v>0</v>
      </c>
      <c r="P138" s="135"/>
      <c r="Q138" s="921">
        <f>O138</f>
        <v>0</v>
      </c>
    </row>
    <row r="139" spans="1:17">
      <c r="A139" s="140">
        <f>A138+1</f>
        <v>68</v>
      </c>
      <c r="B139" s="114"/>
      <c r="C139" s="114" t="s">
        <v>1152</v>
      </c>
      <c r="D139" s="114"/>
      <c r="E139" s="140" t="s">
        <v>525</v>
      </c>
      <c r="F139" s="140"/>
      <c r="G139" s="902">
        <v>3.9267447076426962</v>
      </c>
      <c r="H139" s="114"/>
      <c r="I139" s="902">
        <v>3.9288011302638934</v>
      </c>
      <c r="J139" s="114"/>
      <c r="K139" s="906">
        <f>I139-G139</f>
        <v>2.056422621197207E-3</v>
      </c>
      <c r="L139" s="114"/>
      <c r="M139" s="135">
        <v>337.80499999999995</v>
      </c>
      <c r="N139" s="135"/>
      <c r="O139" s="135">
        <f>K139*M139/100</f>
        <v>6.9466984355352236E-3</v>
      </c>
      <c r="P139" s="135"/>
      <c r="Q139" s="135">
        <f>O139</f>
        <v>6.9466984355352236E-3</v>
      </c>
    </row>
    <row r="140" spans="1:17">
      <c r="A140" s="140">
        <f>A139+1</f>
        <v>69</v>
      </c>
      <c r="B140" s="114"/>
      <c r="C140" s="114" t="s">
        <v>1153</v>
      </c>
      <c r="D140" s="114"/>
      <c r="E140" s="140" t="s">
        <v>525</v>
      </c>
      <c r="F140" s="140"/>
      <c r="G140" s="902">
        <v>0.96972153366292246</v>
      </c>
      <c r="H140" s="114"/>
      <c r="I140" s="902">
        <v>0.98605685529682352</v>
      </c>
      <c r="J140" s="114"/>
      <c r="K140" s="906">
        <f>I140-G140</f>
        <v>1.6335321633901057E-2</v>
      </c>
      <c r="L140" s="114"/>
      <c r="M140" s="135">
        <v>1211.6110000000001</v>
      </c>
      <c r="N140" s="135"/>
      <c r="O140" s="135">
        <f>K140*M140/100</f>
        <v>0.19792055380172496</v>
      </c>
      <c r="P140" s="135"/>
      <c r="Q140" s="135">
        <f>O140</f>
        <v>0.19792055380172496</v>
      </c>
    </row>
    <row r="141" spans="1:17">
      <c r="A141" s="140"/>
      <c r="B141" s="114"/>
      <c r="C141" s="114"/>
      <c r="D141" s="114"/>
      <c r="E141" s="140"/>
      <c r="F141" s="140"/>
      <c r="G141" s="902"/>
      <c r="H141" s="114"/>
      <c r="I141" s="877"/>
      <c r="J141" s="114"/>
      <c r="K141" s="906"/>
      <c r="L141" s="114"/>
      <c r="M141" s="135"/>
      <c r="N141" s="135"/>
      <c r="O141" s="135"/>
      <c r="P141" s="135"/>
      <c r="Q141" s="135"/>
    </row>
    <row r="142" spans="1:17">
      <c r="A142" s="140">
        <f>A140+1</f>
        <v>70</v>
      </c>
      <c r="B142" s="114"/>
      <c r="C142" s="114" t="s">
        <v>270</v>
      </c>
      <c r="D142" s="114"/>
      <c r="E142" s="140" t="s">
        <v>525</v>
      </c>
      <c r="F142" s="140"/>
      <c r="G142" s="902">
        <v>18.34709332635693</v>
      </c>
      <c r="H142" s="114"/>
      <c r="I142" s="902">
        <v>18.348586160393797</v>
      </c>
      <c r="J142" s="114"/>
      <c r="K142" s="906">
        <f>I142-G142</f>
        <v>1.4928340368669524E-3</v>
      </c>
      <c r="L142" s="114"/>
      <c r="M142" s="135">
        <v>337.80499999999995</v>
      </c>
      <c r="N142" s="135"/>
      <c r="O142" s="135">
        <f>K142*M142/100</f>
        <v>5.042868018238408E-3</v>
      </c>
      <c r="P142" s="135"/>
      <c r="Q142" s="135">
        <f>O142</f>
        <v>5.042868018238408E-3</v>
      </c>
    </row>
    <row r="143" spans="1:17">
      <c r="A143" s="140"/>
      <c r="B143" s="114"/>
      <c r="C143" s="114"/>
      <c r="D143" s="114"/>
      <c r="E143" s="140"/>
      <c r="F143" s="140"/>
      <c r="G143" s="114"/>
      <c r="H143" s="114"/>
      <c r="I143" s="114"/>
      <c r="J143" s="114"/>
      <c r="K143" s="906"/>
      <c r="L143" s="114"/>
      <c r="M143" s="135"/>
      <c r="N143" s="135"/>
      <c r="O143" s="135"/>
      <c r="P143" s="135"/>
      <c r="Q143" s="135"/>
    </row>
    <row r="144" spans="1:17">
      <c r="A144" s="140">
        <f>A142+1</f>
        <v>71</v>
      </c>
      <c r="B144" s="114"/>
      <c r="C144" s="114" t="s">
        <v>294</v>
      </c>
      <c r="D144" s="114"/>
      <c r="E144" s="140" t="s">
        <v>525</v>
      </c>
      <c r="F144" s="140"/>
      <c r="G144" s="902">
        <v>-77</v>
      </c>
      <c r="H144" s="114"/>
      <c r="I144" s="902">
        <v>-77</v>
      </c>
      <c r="J144" s="114"/>
      <c r="K144" s="906">
        <f>I144-G144</f>
        <v>0</v>
      </c>
      <c r="L144" s="114"/>
      <c r="M144" s="135">
        <v>432.0085578856079</v>
      </c>
      <c r="N144" s="135"/>
      <c r="O144" s="135">
        <f>K144*M144/100</f>
        <v>0</v>
      </c>
      <c r="P144" s="135"/>
      <c r="Q144" s="921">
        <f>O144</f>
        <v>0</v>
      </c>
    </row>
    <row r="145" spans="1:17">
      <c r="A145" s="140"/>
      <c r="B145" s="114"/>
      <c r="C145" s="114"/>
      <c r="D145" s="114"/>
      <c r="E145" s="140"/>
      <c r="F145" s="140"/>
      <c r="G145" s="114"/>
      <c r="H145" s="114"/>
      <c r="I145" s="114"/>
      <c r="J145" s="114"/>
      <c r="K145" s="906"/>
      <c r="L145" s="114"/>
      <c r="M145" s="135"/>
      <c r="N145" s="135"/>
      <c r="O145" s="135"/>
      <c r="P145" s="135"/>
      <c r="Q145" s="135"/>
    </row>
    <row r="146" spans="1:17" ht="12.95" thickBot="1">
      <c r="A146" s="140">
        <f>A144+1</f>
        <v>72</v>
      </c>
      <c r="B146" s="114"/>
      <c r="C146" s="114" t="s">
        <v>295</v>
      </c>
      <c r="D146" s="114"/>
      <c r="E146" s="140"/>
      <c r="F146" s="140"/>
      <c r="G146" s="902"/>
      <c r="H146" s="114"/>
      <c r="I146" s="902"/>
      <c r="J146" s="114"/>
      <c r="K146" s="930"/>
      <c r="L146" s="114"/>
      <c r="M146" s="203"/>
      <c r="N146" s="203"/>
      <c r="O146" s="929">
        <f>O123+O125+O126+O127+O131+O133+O134+O135+O138+O139+O140+O142+O144</f>
        <v>23.104916439474241</v>
      </c>
      <c r="P146" s="135"/>
      <c r="Q146" s="929">
        <f>Q123+Q125+Q126+Q128+Q131+Q133+Q134+Q136+Q138+Q139+Q140+Q142+Q144</f>
        <v>23.104916439474241</v>
      </c>
    </row>
    <row r="147" spans="1:17" ht="12.95" thickTop="1">
      <c r="A147" s="140"/>
      <c r="B147" s="114"/>
      <c r="C147" s="114"/>
      <c r="D147" s="114"/>
      <c r="E147" s="140"/>
      <c r="F147" s="140"/>
      <c r="G147" s="114"/>
      <c r="H147" s="114"/>
      <c r="I147" s="114"/>
      <c r="J147" s="114"/>
      <c r="K147" s="906"/>
      <c r="L147" s="114"/>
      <c r="M147" s="135"/>
      <c r="N147" s="135"/>
      <c r="O147" s="135"/>
      <c r="P147" s="135"/>
      <c r="Q147" s="135"/>
    </row>
    <row r="148" spans="1:17">
      <c r="A148" s="140"/>
      <c r="B148" s="114"/>
      <c r="C148" s="875" t="s">
        <v>134</v>
      </c>
      <c r="D148" s="114"/>
      <c r="E148" s="140"/>
      <c r="F148" s="140"/>
      <c r="G148" s="114"/>
      <c r="H148" s="114"/>
      <c r="I148" s="114"/>
      <c r="J148" s="114"/>
      <c r="K148" s="906"/>
      <c r="L148" s="114"/>
      <c r="M148" s="135"/>
      <c r="N148" s="135"/>
      <c r="O148" s="135"/>
      <c r="P148" s="135"/>
      <c r="Q148" s="135"/>
    </row>
    <row r="149" spans="1:17">
      <c r="A149" s="140">
        <f>A146+1</f>
        <v>73</v>
      </c>
      <c r="B149" s="114"/>
      <c r="C149" s="114" t="s">
        <v>258</v>
      </c>
      <c r="D149" s="114"/>
      <c r="E149" s="140" t="s">
        <v>523</v>
      </c>
      <c r="F149" s="140"/>
      <c r="G149" s="99">
        <v>134.92647936727528</v>
      </c>
      <c r="H149" s="914"/>
      <c r="I149" s="99">
        <v>138.61338407775489</v>
      </c>
      <c r="J149" s="914"/>
      <c r="K149" s="99">
        <f>I149-G149</f>
        <v>3.6869047104796095</v>
      </c>
      <c r="L149" s="114"/>
      <c r="M149" s="135">
        <v>64.001669950149449</v>
      </c>
      <c r="N149" s="135"/>
      <c r="O149" s="135">
        <f>K149*M149/1000</f>
        <v>0.23596805841776727</v>
      </c>
      <c r="P149" s="135"/>
      <c r="Q149" s="135"/>
    </row>
    <row r="150" spans="1:17">
      <c r="A150" s="140">
        <f>A149+1</f>
        <v>74</v>
      </c>
      <c r="B150" s="114"/>
      <c r="C150" s="114" t="s">
        <v>280</v>
      </c>
      <c r="D150" s="114"/>
      <c r="E150" s="140" t="s">
        <v>540</v>
      </c>
      <c r="F150" s="140"/>
      <c r="G150" s="902">
        <v>9.0517208463813486</v>
      </c>
      <c r="H150" s="114"/>
      <c r="I150" s="902">
        <v>9.2990617121844785</v>
      </c>
      <c r="J150" s="114"/>
      <c r="K150" s="906">
        <f>I150-G150</f>
        <v>0.24734086580312997</v>
      </c>
      <c r="L150" s="114"/>
      <c r="M150" s="135">
        <v>2046.16</v>
      </c>
      <c r="N150" s="135"/>
      <c r="O150" s="135">
        <f>K150*M150/100</f>
        <v>5.0609898597173242</v>
      </c>
      <c r="P150" s="135"/>
      <c r="Q150" s="135">
        <f>SUM(O149:O150)</f>
        <v>5.2969579181350914</v>
      </c>
    </row>
    <row r="151" spans="1:17">
      <c r="A151" s="140"/>
      <c r="B151" s="114"/>
      <c r="C151" s="114" t="s">
        <v>260</v>
      </c>
      <c r="D151" s="114"/>
      <c r="E151" s="140"/>
      <c r="F151" s="140"/>
      <c r="G151" s="114"/>
      <c r="H151" s="114"/>
      <c r="I151" s="114"/>
      <c r="J151" s="114"/>
      <c r="K151" s="906"/>
      <c r="L151" s="114"/>
      <c r="M151" s="135"/>
      <c r="N151" s="135"/>
      <c r="O151" s="135"/>
      <c r="P151" s="135"/>
      <c r="Q151" s="135"/>
    </row>
    <row r="152" spans="1:17">
      <c r="A152" s="140">
        <f>A150+1</f>
        <v>75</v>
      </c>
      <c r="B152" s="114"/>
      <c r="C152" s="114" t="s">
        <v>1160</v>
      </c>
      <c r="D152" s="114"/>
      <c r="E152" s="140" t="s">
        <v>525</v>
      </c>
      <c r="F152" s="140"/>
      <c r="G152" s="902">
        <v>7.4823219899090896</v>
      </c>
      <c r="H152" s="114"/>
      <c r="I152" s="902">
        <v>2.4147580038194714</v>
      </c>
      <c r="J152" s="114"/>
      <c r="K152" s="906">
        <f>I152-G152</f>
        <v>-5.0675639860896187</v>
      </c>
      <c r="L152" s="114"/>
      <c r="M152" s="135">
        <v>874.43599999999992</v>
      </c>
      <c r="N152" s="135"/>
      <c r="O152" s="135">
        <f>K152*M152/100</f>
        <v>-44.312603817402618</v>
      </c>
      <c r="P152" s="135"/>
      <c r="Q152" s="135"/>
    </row>
    <row r="153" spans="1:17">
      <c r="A153" s="140">
        <f>A152+1</f>
        <v>76</v>
      </c>
      <c r="B153" s="114"/>
      <c r="C153" s="114" t="s">
        <v>1161</v>
      </c>
      <c r="D153" s="114"/>
      <c r="E153" s="140" t="s">
        <v>525</v>
      </c>
      <c r="F153" s="140"/>
      <c r="G153" s="902">
        <v>6.1080928904752776</v>
      </c>
      <c r="H153" s="114"/>
      <c r="I153" s="902">
        <v>2.4147041779374661</v>
      </c>
      <c r="J153" s="114"/>
      <c r="K153" s="906">
        <f>I153-G153</f>
        <v>-3.6933887125378115</v>
      </c>
      <c r="L153" s="114"/>
      <c r="M153" s="135">
        <v>1708.8330000000001</v>
      </c>
      <c r="N153" s="135"/>
      <c r="O153" s="135">
        <f>K153*M153/100</f>
        <v>-63.113845138121263</v>
      </c>
      <c r="P153" s="135"/>
      <c r="Q153" s="135"/>
    </row>
    <row r="154" spans="1:17">
      <c r="A154" s="140">
        <f>A153+1</f>
        <v>77</v>
      </c>
      <c r="B154" s="114"/>
      <c r="C154" s="114" t="s">
        <v>1162</v>
      </c>
      <c r="D154" s="114"/>
      <c r="E154" s="140" t="s">
        <v>525</v>
      </c>
      <c r="F154" s="140"/>
      <c r="G154" s="902">
        <v>5.542619907675042</v>
      </c>
      <c r="H154" s="114"/>
      <c r="I154" s="902">
        <v>2.4147376761395267</v>
      </c>
      <c r="J154" s="114"/>
      <c r="K154" s="908">
        <f>I154-G154</f>
        <v>-3.1278822315355153</v>
      </c>
      <c r="L154" s="114"/>
      <c r="M154" s="923">
        <v>4973.7969999999996</v>
      </c>
      <c r="N154" s="135"/>
      <c r="O154" s="923">
        <f>K154*M154/100</f>
        <v>-155.5745125956465</v>
      </c>
      <c r="P154" s="135"/>
      <c r="Q154" s="114"/>
    </row>
    <row r="155" spans="1:17">
      <c r="A155" s="140">
        <f>A154+1</f>
        <v>78</v>
      </c>
      <c r="B155" s="114"/>
      <c r="C155" s="114" t="s">
        <v>260</v>
      </c>
      <c r="D155" s="114"/>
      <c r="E155" s="140"/>
      <c r="F155" s="140"/>
      <c r="G155" s="902"/>
      <c r="H155" s="114"/>
      <c r="I155" s="902"/>
      <c r="J155" s="114"/>
      <c r="K155" s="908"/>
      <c r="L155" s="114"/>
      <c r="M155" s="135">
        <f>SUM(M152:M154)</f>
        <v>7557.0659999999998</v>
      </c>
      <c r="N155" s="135"/>
      <c r="O155" s="135">
        <f>SUM(O152:O154)</f>
        <v>-263.00096155117035</v>
      </c>
      <c r="P155" s="135"/>
      <c r="Q155" s="135">
        <f>SUM(O152:O154)</f>
        <v>-263.00096155117035</v>
      </c>
    </row>
    <row r="156" spans="1:17">
      <c r="A156" s="140"/>
      <c r="B156" s="114"/>
      <c r="C156" s="114"/>
      <c r="D156" s="114"/>
      <c r="E156" s="140"/>
      <c r="F156" s="140"/>
      <c r="G156" s="114"/>
      <c r="H156" s="114"/>
      <c r="I156" s="114"/>
      <c r="J156" s="114"/>
      <c r="K156" s="906"/>
      <c r="L156" s="114"/>
      <c r="M156" s="135"/>
      <c r="N156" s="135"/>
      <c r="O156" s="135"/>
      <c r="P156" s="135"/>
      <c r="Q156" s="135"/>
    </row>
    <row r="157" spans="1:17">
      <c r="A157" s="140">
        <f>A155+1</f>
        <v>79</v>
      </c>
      <c r="B157" s="114"/>
      <c r="C157" s="114" t="s">
        <v>529</v>
      </c>
      <c r="D157" s="114"/>
      <c r="E157" s="140" t="s">
        <v>525</v>
      </c>
      <c r="F157" s="140"/>
      <c r="G157" s="902">
        <v>0.56728392094566971</v>
      </c>
      <c r="H157" s="114"/>
      <c r="I157" s="902">
        <v>0.57115828503117105</v>
      </c>
      <c r="J157" s="114"/>
      <c r="K157" s="906">
        <f>I157-G157</f>
        <v>3.8743640855013473E-3</v>
      </c>
      <c r="L157" s="114"/>
      <c r="M157" s="135">
        <v>7557.0659999999998</v>
      </c>
      <c r="N157" s="135"/>
      <c r="O157" s="135">
        <f>K157*M157/100</f>
        <v>0.29278825102163325</v>
      </c>
      <c r="P157" s="135"/>
      <c r="Q157" s="135">
        <f>O157</f>
        <v>0.29278825102163325</v>
      </c>
    </row>
    <row r="158" spans="1:17">
      <c r="A158" s="140">
        <f>A157+1</f>
        <v>80</v>
      </c>
      <c r="B158" s="114"/>
      <c r="C158" s="114" t="s">
        <v>1152</v>
      </c>
      <c r="D158" s="114"/>
      <c r="E158" s="140" t="s">
        <v>525</v>
      </c>
      <c r="F158" s="140"/>
      <c r="G158" s="902">
        <v>3.9267458432309148</v>
      </c>
      <c r="H158" s="114"/>
      <c r="I158" s="902">
        <v>3.9288031588344272</v>
      </c>
      <c r="J158" s="114"/>
      <c r="K158" s="906">
        <f>I158-G158</f>
        <v>2.0573156035124107E-3</v>
      </c>
      <c r="L158" s="114"/>
      <c r="M158" s="135">
        <v>313.32499999999999</v>
      </c>
      <c r="N158" s="135"/>
      <c r="O158" s="135">
        <f>K158*M158/100</f>
        <v>6.4460841147052604E-3</v>
      </c>
      <c r="P158" s="135"/>
      <c r="Q158" s="135">
        <f>O158</f>
        <v>6.4460841147052604E-3</v>
      </c>
    </row>
    <row r="159" spans="1:17" ht="13.5" customHeight="1">
      <c r="A159" s="140">
        <f>A158+1</f>
        <v>81</v>
      </c>
      <c r="B159" s="114"/>
      <c r="C159" s="114" t="s">
        <v>1153</v>
      </c>
      <c r="D159" s="114"/>
      <c r="E159" s="140" t="s">
        <v>525</v>
      </c>
      <c r="F159" s="140"/>
      <c r="G159" s="902">
        <v>0.96971985302412911</v>
      </c>
      <c r="H159" s="114"/>
      <c r="I159" s="902">
        <v>0.98605463986615005</v>
      </c>
      <c r="J159" s="114"/>
      <c r="K159" s="906">
        <f>I159-G159</f>
        <v>1.6334786842020943E-2</v>
      </c>
      <c r="L159" s="114"/>
      <c r="M159" s="135">
        <v>7243.741</v>
      </c>
      <c r="N159" s="135"/>
      <c r="O159" s="135">
        <f>K159*M159/100</f>
        <v>1.1832496517380762</v>
      </c>
      <c r="P159" s="135"/>
      <c r="Q159" s="135">
        <f>O159</f>
        <v>1.1832496517380762</v>
      </c>
    </row>
    <row r="160" spans="1:17">
      <c r="A160" s="140"/>
      <c r="B160" s="114"/>
      <c r="C160" s="114"/>
      <c r="D160" s="114"/>
      <c r="E160" s="140"/>
      <c r="F160" s="140"/>
      <c r="G160" s="902"/>
      <c r="H160" s="114"/>
      <c r="I160" s="877"/>
      <c r="J160" s="114"/>
      <c r="K160" s="906"/>
      <c r="L160" s="114"/>
      <c r="M160" s="135"/>
      <c r="N160" s="135"/>
      <c r="O160" s="135"/>
      <c r="P160" s="135"/>
      <c r="Q160" s="135"/>
    </row>
    <row r="161" spans="1:36">
      <c r="A161" s="140">
        <f>A159+1</f>
        <v>82</v>
      </c>
      <c r="B161" s="114"/>
      <c r="C161" s="114" t="s">
        <v>270</v>
      </c>
      <c r="D161" s="114"/>
      <c r="E161" s="140" t="s">
        <v>525</v>
      </c>
      <c r="F161" s="140"/>
      <c r="G161" s="902">
        <v>18.343372330048751</v>
      </c>
      <c r="H161" s="114"/>
      <c r="I161" s="902">
        <v>18.344763020650749</v>
      </c>
      <c r="J161" s="114"/>
      <c r="K161" s="906">
        <f>I161-G161</f>
        <v>1.3906906019975906E-3</v>
      </c>
      <c r="L161" s="114"/>
      <c r="M161" s="135">
        <v>313.32499999999999</v>
      </c>
      <c r="N161" s="135"/>
      <c r="O161" s="135">
        <f>K161*M161/100</f>
        <v>4.3573813287089511E-3</v>
      </c>
      <c r="P161" s="135"/>
      <c r="Q161" s="135">
        <f>O161</f>
        <v>4.3573813287089511E-3</v>
      </c>
    </row>
    <row r="162" spans="1:36">
      <c r="A162" s="140"/>
      <c r="B162" s="114"/>
      <c r="C162" s="114"/>
      <c r="D162" s="114"/>
      <c r="E162" s="140"/>
      <c r="F162" s="140"/>
      <c r="G162" s="114"/>
      <c r="H162" s="114"/>
      <c r="I162" s="114"/>
      <c r="J162" s="114"/>
      <c r="K162" s="906"/>
      <c r="L162" s="114"/>
      <c r="M162" s="135"/>
      <c r="N162" s="135"/>
      <c r="O162" s="135"/>
      <c r="P162" s="135"/>
      <c r="Q162" s="135"/>
    </row>
    <row r="163" spans="1:36">
      <c r="A163" s="140">
        <f>A161+1</f>
        <v>83</v>
      </c>
      <c r="B163" s="114"/>
      <c r="C163" s="114" t="s">
        <v>294</v>
      </c>
      <c r="D163" s="114"/>
      <c r="E163" s="140" t="s">
        <v>525</v>
      </c>
      <c r="F163" s="140"/>
      <c r="G163" s="909">
        <v>-50</v>
      </c>
      <c r="H163" s="203"/>
      <c r="I163" s="909">
        <v>-50</v>
      </c>
      <c r="J163" s="114"/>
      <c r="K163" s="906">
        <f>I163-G163</f>
        <v>0</v>
      </c>
      <c r="L163" s="114"/>
      <c r="M163" s="135">
        <v>129.15341999999998</v>
      </c>
      <c r="N163" s="135"/>
      <c r="O163" s="135">
        <f>K163*M163/100</f>
        <v>0</v>
      </c>
      <c r="P163" s="135"/>
      <c r="Q163" s="921">
        <f>O163</f>
        <v>0</v>
      </c>
    </row>
    <row r="164" spans="1:36">
      <c r="A164" s="140"/>
      <c r="B164" s="114"/>
      <c r="C164" s="114"/>
      <c r="D164" s="114"/>
      <c r="E164" s="140" t="s">
        <v>525</v>
      </c>
      <c r="F164" s="140"/>
      <c r="G164" s="114"/>
      <c r="H164" s="114"/>
      <c r="I164" s="114"/>
      <c r="J164" s="114"/>
      <c r="K164" s="906"/>
      <c r="L164" s="114"/>
      <c r="M164" s="135"/>
      <c r="N164" s="135"/>
      <c r="O164" s="135"/>
      <c r="P164" s="135"/>
      <c r="Q164" s="135"/>
    </row>
    <row r="165" spans="1:36" ht="12.95" thickBot="1">
      <c r="A165" s="140">
        <f>A163+1</f>
        <v>84</v>
      </c>
      <c r="B165" s="114"/>
      <c r="C165" s="114" t="s">
        <v>298</v>
      </c>
      <c r="D165" s="114"/>
      <c r="E165" s="140"/>
      <c r="F165" s="140"/>
      <c r="G165" s="902"/>
      <c r="H165" s="114"/>
      <c r="I165" s="902"/>
      <c r="J165" s="114"/>
      <c r="K165" s="908"/>
      <c r="L165" s="114"/>
      <c r="M165" s="135"/>
      <c r="N165" s="135"/>
      <c r="O165" s="905">
        <f>O149+O150+O152+O153+O154+O157+O158+O159+O161+O163</f>
        <v>-256.21716226483215</v>
      </c>
      <c r="P165" s="135"/>
      <c r="Q165" s="905">
        <f>Q149+Q150+Q152+Q153+Q155+Q157+Q158+Q159+Q161+Q163</f>
        <v>-256.2171622648321</v>
      </c>
    </row>
    <row r="166" spans="1:36" ht="12.95" thickTop="1">
      <c r="A166" s="140"/>
      <c r="B166" s="114"/>
      <c r="C166" s="114"/>
      <c r="D166" s="114"/>
      <c r="E166" s="140"/>
      <c r="F166" s="140"/>
      <c r="G166" s="114"/>
      <c r="H166" s="114"/>
      <c r="I166" s="114" t="s">
        <v>168</v>
      </c>
      <c r="J166" s="114"/>
      <c r="K166" s="906"/>
      <c r="L166" s="114"/>
      <c r="M166" s="135"/>
      <c r="N166" s="135"/>
      <c r="O166" s="135"/>
      <c r="P166" s="135"/>
      <c r="Q166" s="135"/>
    </row>
    <row r="167" spans="1:36">
      <c r="A167" s="140"/>
      <c r="B167" s="114"/>
      <c r="C167" s="875" t="s">
        <v>135</v>
      </c>
      <c r="D167" s="114"/>
      <c r="E167" s="140"/>
      <c r="F167" s="140"/>
      <c r="G167" s="114"/>
      <c r="H167" s="114"/>
      <c r="I167" s="114"/>
      <c r="J167" s="114"/>
      <c r="K167" s="906"/>
      <c r="L167" s="114"/>
      <c r="M167" s="135"/>
      <c r="N167" s="135"/>
      <c r="O167" s="135"/>
      <c r="P167" s="135"/>
      <c r="Q167" s="135"/>
    </row>
    <row r="168" spans="1:36">
      <c r="A168" s="140">
        <f>A165+1</f>
        <v>85</v>
      </c>
      <c r="B168" s="114"/>
      <c r="C168" s="114" t="s">
        <v>258</v>
      </c>
      <c r="D168" s="114"/>
      <c r="E168" s="140" t="s">
        <v>523</v>
      </c>
      <c r="F168" s="140"/>
      <c r="G168" s="99">
        <v>305.5481997087212</v>
      </c>
      <c r="H168" s="914"/>
      <c r="I168" s="99">
        <v>313.89739181739697</v>
      </c>
      <c r="J168" s="914"/>
      <c r="K168" s="99">
        <f>I168-G168</f>
        <v>8.3491921086757657</v>
      </c>
      <c r="L168" s="114"/>
      <c r="M168" s="135">
        <v>88.000518496370432</v>
      </c>
      <c r="N168" s="135"/>
      <c r="O168" s="135">
        <f>K168*M168/1000</f>
        <v>0.73473323458927176</v>
      </c>
      <c r="P168" s="135"/>
      <c r="Q168" s="135"/>
    </row>
    <row r="169" spans="1:36">
      <c r="A169" s="140">
        <f>A168+1</f>
        <v>86</v>
      </c>
      <c r="B169" s="114"/>
      <c r="C169" s="114" t="s">
        <v>280</v>
      </c>
      <c r="D169" s="114"/>
      <c r="E169" s="140" t="s">
        <v>540</v>
      </c>
      <c r="F169" s="140"/>
      <c r="G169" s="902">
        <v>4.4945119394531865</v>
      </c>
      <c r="H169" s="114"/>
      <c r="I169" s="902">
        <v>4.6173257660540461</v>
      </c>
      <c r="J169" s="114"/>
      <c r="K169" s="906">
        <f>I169-G169</f>
        <v>0.1228138266008596</v>
      </c>
      <c r="L169" s="114"/>
      <c r="M169" s="135">
        <v>10309.255999999999</v>
      </c>
      <c r="N169" s="135"/>
      <c r="O169" s="135">
        <f>K169*M169/100</f>
        <v>12.661191787678712</v>
      </c>
      <c r="P169" s="135"/>
      <c r="Q169" s="135">
        <f>SUM(O168:O169)</f>
        <v>13.395925022267983</v>
      </c>
    </row>
    <row r="170" spans="1:36">
      <c r="A170" s="140"/>
      <c r="B170" s="114"/>
      <c r="C170" s="114" t="s">
        <v>260</v>
      </c>
      <c r="D170" s="114"/>
      <c r="E170" s="140"/>
      <c r="F170" s="140"/>
      <c r="G170" s="114"/>
      <c r="H170" s="114"/>
      <c r="I170" s="114"/>
      <c r="J170" s="114"/>
      <c r="K170" s="906"/>
      <c r="L170" s="114"/>
      <c r="M170" s="135"/>
      <c r="N170" s="135"/>
      <c r="O170" s="135"/>
      <c r="P170" s="135"/>
      <c r="Q170" s="135"/>
      <c r="T170" s="138"/>
      <c r="X170" s="138"/>
      <c r="Y170" s="138"/>
      <c r="Z170" s="114"/>
      <c r="AD170" s="900"/>
      <c r="AF170" s="899"/>
      <c r="AG170" s="899"/>
      <c r="AH170" s="899"/>
      <c r="AI170" s="899"/>
      <c r="AJ170" s="899"/>
    </row>
    <row r="171" spans="1:36">
      <c r="A171" s="140">
        <f>A169+1</f>
        <v>87</v>
      </c>
      <c r="B171" s="114"/>
      <c r="C171" s="114" t="s">
        <v>1155</v>
      </c>
      <c r="D171" s="114"/>
      <c r="E171" s="140" t="s">
        <v>525</v>
      </c>
      <c r="F171" s="140"/>
      <c r="G171" s="902">
        <v>0.59804635914981807</v>
      </c>
      <c r="H171" s="114"/>
      <c r="I171" s="902">
        <v>0.44179835308972665</v>
      </c>
      <c r="J171" s="114"/>
      <c r="K171" s="906">
        <f>I171-G171</f>
        <v>-0.15624800606009143</v>
      </c>
      <c r="L171" s="114"/>
      <c r="M171" s="135">
        <v>67267.873000000007</v>
      </c>
      <c r="N171" s="135"/>
      <c r="O171" s="135">
        <f>K171*M171/100</f>
        <v>-105.10471028153461</v>
      </c>
      <c r="P171" s="135"/>
      <c r="Q171" s="135"/>
      <c r="T171" s="138"/>
      <c r="X171" s="138"/>
      <c r="Y171" s="138"/>
      <c r="Z171" s="114"/>
      <c r="AD171" s="900"/>
      <c r="AF171" s="899"/>
      <c r="AG171" s="899"/>
      <c r="AH171" s="899"/>
      <c r="AI171" s="899"/>
      <c r="AJ171" s="899"/>
    </row>
    <row r="172" spans="1:36">
      <c r="A172" s="140">
        <f>A171+1</f>
        <v>88</v>
      </c>
      <c r="B172" s="114"/>
      <c r="C172" s="114" t="s">
        <v>1156</v>
      </c>
      <c r="D172" s="114"/>
      <c r="E172" s="140" t="s">
        <v>525</v>
      </c>
      <c r="F172" s="140"/>
      <c r="G172" s="902">
        <v>0.39401422289777976</v>
      </c>
      <c r="H172" s="114"/>
      <c r="I172" s="902">
        <v>0.44179873264251834</v>
      </c>
      <c r="J172" s="114"/>
      <c r="K172" s="906">
        <f>I172-G172</f>
        <v>4.7784509744738579E-2</v>
      </c>
      <c r="L172" s="114"/>
      <c r="M172" s="923">
        <v>49371.423000000003</v>
      </c>
      <c r="N172" s="135"/>
      <c r="O172" s="923">
        <f>K172*M172/100</f>
        <v>23.591892434551106</v>
      </c>
      <c r="P172" s="135"/>
      <c r="Q172" s="114"/>
      <c r="T172" s="138"/>
      <c r="X172" s="138"/>
      <c r="Y172" s="138"/>
      <c r="Z172" s="114"/>
      <c r="AD172" s="900"/>
      <c r="AF172" s="899"/>
      <c r="AG172" s="899"/>
      <c r="AH172" s="899"/>
      <c r="AI172" s="899"/>
      <c r="AJ172" s="899"/>
    </row>
    <row r="173" spans="1:36">
      <c r="A173" s="140">
        <f>A172+1</f>
        <v>89</v>
      </c>
      <c r="B173" s="114"/>
      <c r="C173" s="114" t="s">
        <v>260</v>
      </c>
      <c r="D173" s="114"/>
      <c r="E173" s="140"/>
      <c r="F173" s="140"/>
      <c r="G173" s="902"/>
      <c r="H173" s="114"/>
      <c r="I173" s="902"/>
      <c r="J173" s="114"/>
      <c r="K173" s="908"/>
      <c r="L173" s="114"/>
      <c r="M173" s="135">
        <f>SUM(M171:M172)</f>
        <v>116639.296</v>
      </c>
      <c r="N173" s="135"/>
      <c r="O173" s="135">
        <f>SUM(O171:O172)</f>
        <v>-81.512817846983495</v>
      </c>
      <c r="P173" s="135"/>
      <c r="Q173" s="135">
        <f>SUM(O171:O172)</f>
        <v>-81.512817846983495</v>
      </c>
      <c r="T173" s="138"/>
      <c r="X173" s="138"/>
      <c r="Y173" s="138"/>
      <c r="Z173" s="114"/>
      <c r="AD173" s="900"/>
      <c r="AF173" s="899"/>
      <c r="AG173" s="899"/>
      <c r="AH173" s="899"/>
      <c r="AI173" s="899"/>
      <c r="AJ173" s="899"/>
    </row>
    <row r="174" spans="1:36">
      <c r="A174" s="140"/>
      <c r="B174" s="114"/>
      <c r="C174" s="114"/>
      <c r="D174" s="114"/>
      <c r="E174" s="140"/>
      <c r="F174" s="140"/>
      <c r="G174" s="114"/>
      <c r="H174" s="114"/>
      <c r="I174" s="114"/>
      <c r="J174" s="114"/>
      <c r="K174" s="906"/>
      <c r="L174" s="114"/>
      <c r="M174" s="135"/>
      <c r="N174" s="135"/>
      <c r="O174" s="135"/>
      <c r="P174" s="135"/>
      <c r="Q174" s="135"/>
      <c r="T174" s="1177"/>
      <c r="U174" s="1177"/>
      <c r="V174" s="1177"/>
      <c r="W174" s="1177"/>
      <c r="X174" s="1177"/>
      <c r="Y174" s="1177"/>
      <c r="Z174" s="1177"/>
      <c r="AA174" s="1177"/>
      <c r="AB174" s="1177"/>
      <c r="AC174" s="1177"/>
      <c r="AD174" s="1177"/>
      <c r="AE174" s="1177"/>
      <c r="AF174" s="1177"/>
      <c r="AG174" s="1177"/>
      <c r="AH174" s="1177"/>
      <c r="AI174" s="1177"/>
      <c r="AJ174" s="1177"/>
    </row>
    <row r="175" spans="1:36">
      <c r="A175" s="140">
        <f>A173+1</f>
        <v>90</v>
      </c>
      <c r="B175" s="114"/>
      <c r="C175" s="114" t="s">
        <v>529</v>
      </c>
      <c r="D175" s="114"/>
      <c r="E175" s="140" t="s">
        <v>525</v>
      </c>
      <c r="F175" s="140"/>
      <c r="G175" s="902">
        <v>0.24646816740977195</v>
      </c>
      <c r="H175" s="114"/>
      <c r="I175" s="902">
        <v>0.24819526190354599</v>
      </c>
      <c r="J175" s="114"/>
      <c r="K175" s="906">
        <f>I175-G175</f>
        <v>1.727094493774034E-3</v>
      </c>
      <c r="L175" s="114"/>
      <c r="M175" s="135">
        <v>116639.29599999999</v>
      </c>
      <c r="N175" s="135"/>
      <c r="O175" s="135">
        <f>K175*M175/100</f>
        <v>2.0144708587927966</v>
      </c>
      <c r="P175" s="135"/>
      <c r="Q175" s="135">
        <f>O175</f>
        <v>2.0144708587927966</v>
      </c>
      <c r="T175" s="138"/>
    </row>
    <row r="176" spans="1:36">
      <c r="A176" s="140">
        <f>A175+1</f>
        <v>91</v>
      </c>
      <c r="B176" s="114"/>
      <c r="C176" s="114" t="s">
        <v>1152</v>
      </c>
      <c r="D176" s="114"/>
      <c r="E176" s="140" t="s">
        <v>525</v>
      </c>
      <c r="F176" s="140"/>
      <c r="G176" s="902">
        <v>3.9267445962601735</v>
      </c>
      <c r="H176" s="114"/>
      <c r="I176" s="902">
        <v>3.9288009312944969</v>
      </c>
      <c r="J176" s="114"/>
      <c r="K176" s="906">
        <f>I176-G176</f>
        <v>2.0563350343234532E-3</v>
      </c>
      <c r="L176" s="114"/>
      <c r="M176" s="135">
        <v>1953.5430000000001</v>
      </c>
      <c r="N176" s="135"/>
      <c r="O176" s="135">
        <f>K176*M176/100</f>
        <v>4.0171389119573415E-2</v>
      </c>
      <c r="P176" s="135"/>
      <c r="Q176" s="135">
        <f>O176</f>
        <v>4.0171389119573415E-2</v>
      </c>
      <c r="T176" s="138"/>
    </row>
    <row r="177" spans="1:36">
      <c r="A177" s="140">
        <f>A176+1</f>
        <v>92</v>
      </c>
      <c r="B177" s="114"/>
      <c r="C177" s="114" t="s">
        <v>1153</v>
      </c>
      <c r="D177" s="114"/>
      <c r="E177" s="140" t="s">
        <v>525</v>
      </c>
      <c r="F177" s="140"/>
      <c r="G177" s="902">
        <v>0.96972043047287659</v>
      </c>
      <c r="H177" s="114"/>
      <c r="I177" s="902">
        <v>0.98605540106342371</v>
      </c>
      <c r="J177" s="114"/>
      <c r="K177" s="906">
        <f>I177-G177</f>
        <v>1.6334970590547115E-2</v>
      </c>
      <c r="L177" s="114"/>
      <c r="M177" s="135">
        <v>44138.301999999996</v>
      </c>
      <c r="N177" s="135"/>
      <c r="O177" s="135">
        <f>K177*M177/100</f>
        <v>7.2099786508668684</v>
      </c>
      <c r="P177" s="135"/>
      <c r="Q177" s="135">
        <f>O177</f>
        <v>7.2099786508668684</v>
      </c>
      <c r="T177" s="138"/>
      <c r="Z177" s="138"/>
      <c r="AA177" s="138"/>
      <c r="AB177" s="138"/>
      <c r="AD177" s="138"/>
      <c r="AF177" s="138"/>
    </row>
    <row r="178" spans="1:36">
      <c r="A178" s="140"/>
      <c r="B178" s="114"/>
      <c r="C178" s="114"/>
      <c r="D178" s="114"/>
      <c r="E178" s="140"/>
      <c r="F178" s="140"/>
      <c r="G178" s="902"/>
      <c r="H178" s="114"/>
      <c r="I178" s="877"/>
      <c r="J178" s="114"/>
      <c r="K178" s="906"/>
      <c r="L178" s="114"/>
      <c r="M178" s="135"/>
      <c r="N178" s="135"/>
      <c r="O178" s="135"/>
      <c r="P178" s="135"/>
      <c r="Q178" s="135"/>
      <c r="T178" s="138"/>
      <c r="AF178" s="138"/>
      <c r="AH178" s="138"/>
      <c r="AJ178" s="138"/>
    </row>
    <row r="179" spans="1:36">
      <c r="A179" s="140">
        <f>A177+1</f>
        <v>93</v>
      </c>
      <c r="B179" s="114"/>
      <c r="C179" s="114" t="s">
        <v>270</v>
      </c>
      <c r="D179" s="114"/>
      <c r="E179" s="140" t="s">
        <v>525</v>
      </c>
      <c r="F179" s="140"/>
      <c r="G179" s="902">
        <v>18.339431198808857</v>
      </c>
      <c r="H179" s="114"/>
      <c r="I179" s="902">
        <v>18.340713338889561</v>
      </c>
      <c r="J179" s="114"/>
      <c r="K179" s="906">
        <f>I179-G179</f>
        <v>1.2821400807041528E-3</v>
      </c>
      <c r="L179" s="114"/>
      <c r="M179" s="135">
        <v>1953.5430000000001</v>
      </c>
      <c r="N179" s="135"/>
      <c r="O179" s="135">
        <f>K179*M179/100</f>
        <v>2.5047157796790329E-2</v>
      </c>
      <c r="P179" s="135"/>
      <c r="Q179" s="932">
        <f>O179</f>
        <v>2.5047157796790329E-2</v>
      </c>
    </row>
    <row r="180" spans="1:36">
      <c r="A180" s="140"/>
      <c r="B180" s="114"/>
      <c r="C180" s="114"/>
      <c r="D180" s="114"/>
      <c r="E180" s="140"/>
      <c r="F180" s="140"/>
      <c r="G180" s="114"/>
      <c r="H180" s="114"/>
      <c r="I180" s="114"/>
      <c r="J180" s="114"/>
      <c r="K180" s="906"/>
      <c r="L180" s="114"/>
      <c r="M180" s="135"/>
      <c r="N180" s="135"/>
      <c r="O180" s="135"/>
      <c r="P180" s="135"/>
      <c r="Q180" s="135"/>
    </row>
    <row r="181" spans="1:36">
      <c r="A181" s="140">
        <f>A179+1</f>
        <v>94</v>
      </c>
      <c r="B181" s="114"/>
      <c r="C181" s="114" t="s">
        <v>294</v>
      </c>
      <c r="D181" s="114"/>
      <c r="E181" s="140" t="s">
        <v>525</v>
      </c>
      <c r="F181" s="140"/>
      <c r="G181" s="909">
        <v>-110</v>
      </c>
      <c r="H181" s="114"/>
      <c r="I181" s="909">
        <v>-110.00000000000001</v>
      </c>
      <c r="J181" s="114"/>
      <c r="K181" s="906">
        <f>I181-G181</f>
        <v>0</v>
      </c>
      <c r="L181" s="114"/>
      <c r="M181" s="135">
        <v>2656.8799083437111</v>
      </c>
      <c r="N181" s="135"/>
      <c r="O181" s="135">
        <f>K181*M181/100</f>
        <v>0</v>
      </c>
      <c r="P181" s="135"/>
      <c r="Q181" s="921">
        <f>O181</f>
        <v>0</v>
      </c>
    </row>
    <row r="182" spans="1:36">
      <c r="A182" s="140"/>
      <c r="B182" s="114"/>
      <c r="C182" s="114"/>
      <c r="D182" s="114"/>
      <c r="E182" s="140"/>
      <c r="F182" s="140"/>
      <c r="G182" s="114"/>
      <c r="H182" s="114"/>
      <c r="I182" s="114"/>
      <c r="J182" s="114"/>
      <c r="K182" s="906"/>
      <c r="L182" s="114"/>
      <c r="M182" s="135"/>
      <c r="N182" s="135"/>
      <c r="O182" s="135"/>
      <c r="P182" s="135"/>
      <c r="Q182" s="135"/>
    </row>
    <row r="183" spans="1:36" ht="12.95" thickBot="1">
      <c r="A183" s="140">
        <f>A181+1</f>
        <v>95</v>
      </c>
      <c r="B183" s="114"/>
      <c r="C183" s="114" t="s">
        <v>299</v>
      </c>
      <c r="D183" s="114"/>
      <c r="E183" s="140"/>
      <c r="F183" s="140"/>
      <c r="G183" s="902"/>
      <c r="H183" s="114"/>
      <c r="I183" s="902"/>
      <c r="J183" s="114"/>
      <c r="K183" s="908"/>
      <c r="L183" s="114"/>
      <c r="M183" s="135"/>
      <c r="N183" s="135"/>
      <c r="O183" s="905">
        <f>O168+O169+O171+O172+O175+O176+O177+O179+O181</f>
        <v>-58.82722476813948</v>
      </c>
      <c r="P183" s="135"/>
      <c r="Q183" s="905">
        <f>Q168+Q169+Q171+Q173+Q175+Q176+Q177+Q179+Q181</f>
        <v>-58.82722476813948</v>
      </c>
    </row>
    <row r="184" spans="1:36" ht="12.95" thickTop="1">
      <c r="A184" s="140"/>
      <c r="B184" s="114"/>
      <c r="C184" s="114"/>
      <c r="D184" s="114"/>
      <c r="E184" s="140"/>
      <c r="F184" s="140"/>
      <c r="G184" s="114"/>
      <c r="H184" s="114"/>
      <c r="I184" s="114"/>
      <c r="J184" s="114"/>
      <c r="K184" s="906"/>
      <c r="L184" s="114"/>
      <c r="M184" s="135"/>
      <c r="N184" s="135"/>
      <c r="O184" s="135"/>
      <c r="P184" s="135"/>
      <c r="Q184" s="135"/>
    </row>
    <row r="185" spans="1:36">
      <c r="A185" s="140"/>
      <c r="B185" s="114"/>
      <c r="C185" s="875" t="s">
        <v>136</v>
      </c>
      <c r="D185" s="114"/>
      <c r="E185" s="140"/>
      <c r="F185" s="140"/>
      <c r="G185" s="114"/>
      <c r="H185" s="114"/>
      <c r="I185" s="114"/>
      <c r="J185" s="114"/>
      <c r="K185" s="906"/>
      <c r="L185" s="114"/>
      <c r="M185" s="135"/>
      <c r="N185" s="135"/>
      <c r="O185" s="135"/>
      <c r="P185" s="135"/>
      <c r="Q185" s="135"/>
    </row>
    <row r="186" spans="1:36">
      <c r="A186" s="140">
        <f>A183+1</f>
        <v>96</v>
      </c>
      <c r="B186" s="114"/>
      <c r="C186" s="114" t="s">
        <v>258</v>
      </c>
      <c r="D186" s="114"/>
      <c r="E186" s="140" t="s">
        <v>523</v>
      </c>
      <c r="F186" s="140"/>
      <c r="G186" s="914">
        <v>0</v>
      </c>
      <c r="H186" s="914"/>
      <c r="I186" s="914">
        <v>0</v>
      </c>
      <c r="J186" s="914"/>
      <c r="K186" s="149">
        <f>I186-G186</f>
        <v>0</v>
      </c>
      <c r="L186" s="114"/>
      <c r="M186" s="135">
        <f>0</f>
        <v>0</v>
      </c>
      <c r="N186" s="135"/>
      <c r="O186" s="135">
        <f>K186*M186/1000</f>
        <v>0</v>
      </c>
      <c r="P186" s="135"/>
      <c r="Q186" s="135"/>
    </row>
    <row r="187" spans="1:36">
      <c r="A187" s="140">
        <f>A186+1</f>
        <v>97</v>
      </c>
      <c r="B187" s="114"/>
      <c r="C187" s="114" t="s">
        <v>280</v>
      </c>
      <c r="D187" s="114"/>
      <c r="E187" s="140" t="s">
        <v>540</v>
      </c>
      <c r="F187" s="140"/>
      <c r="G187" s="902">
        <v>16.259208437643476</v>
      </c>
      <c r="H187" s="114"/>
      <c r="I187" s="902">
        <v>16.703495967107891</v>
      </c>
      <c r="J187" s="114"/>
      <c r="K187" s="906">
        <f>I187-G187</f>
        <v>0.44428752946441463</v>
      </c>
      <c r="L187" s="114"/>
      <c r="M187" s="135">
        <v>5008.3999999999996</v>
      </c>
      <c r="N187" s="135"/>
      <c r="O187" s="135">
        <f>K187*M187/100</f>
        <v>22.25169662569574</v>
      </c>
      <c r="P187" s="135"/>
      <c r="Q187" s="135">
        <f>O187</f>
        <v>22.25169662569574</v>
      </c>
    </row>
    <row r="188" spans="1:36">
      <c r="A188" s="140">
        <f>A187+1</f>
        <v>98</v>
      </c>
      <c r="B188" s="114"/>
      <c r="C188" s="114" t="s">
        <v>260</v>
      </c>
      <c r="D188" s="114"/>
      <c r="E188" s="140" t="s">
        <v>525</v>
      </c>
      <c r="F188" s="140"/>
      <c r="G188" s="902">
        <v>1.3602427937070853</v>
      </c>
      <c r="H188" s="114"/>
      <c r="I188" s="902">
        <v>1.3908498618995724</v>
      </c>
      <c r="J188" s="114"/>
      <c r="K188" s="906">
        <f>I188-G188</f>
        <v>3.0607068192487041E-2</v>
      </c>
      <c r="L188" s="114"/>
      <c r="M188" s="135">
        <v>94501.900000000009</v>
      </c>
      <c r="N188" s="135"/>
      <c r="O188" s="135">
        <f>K188*M188/100</f>
        <v>28.924260976195914</v>
      </c>
      <c r="P188" s="135"/>
      <c r="Q188" s="135">
        <f>O188</f>
        <v>28.924260976195914</v>
      </c>
    </row>
    <row r="189" spans="1:36">
      <c r="A189" s="140"/>
      <c r="B189" s="114"/>
      <c r="C189" s="114"/>
      <c r="D189" s="114"/>
      <c r="E189" s="140"/>
      <c r="F189" s="140"/>
      <c r="G189" s="114"/>
      <c r="H189" s="114"/>
      <c r="I189" s="114"/>
      <c r="J189" s="114"/>
      <c r="K189" s="906"/>
      <c r="L189" s="114"/>
      <c r="M189" s="135"/>
      <c r="N189" s="135"/>
      <c r="O189" s="135"/>
      <c r="P189" s="135"/>
      <c r="Q189" s="135"/>
    </row>
    <row r="190" spans="1:36">
      <c r="A190" s="140">
        <f>A188+1</f>
        <v>99</v>
      </c>
      <c r="B190" s="114"/>
      <c r="C190" s="114" t="s">
        <v>529</v>
      </c>
      <c r="D190" s="114"/>
      <c r="E190" s="140" t="s">
        <v>525</v>
      </c>
      <c r="F190" s="140"/>
      <c r="G190" s="902">
        <v>1.1360059253757275</v>
      </c>
      <c r="H190" s="114"/>
      <c r="I190" s="902">
        <v>1.1439814494885994</v>
      </c>
      <c r="J190" s="114"/>
      <c r="K190" s="906">
        <f>I190-G190</f>
        <v>7.9755241128718346E-3</v>
      </c>
      <c r="L190" s="114"/>
      <c r="M190" s="135">
        <v>94501.900000000009</v>
      </c>
      <c r="N190" s="135"/>
      <c r="O190" s="135">
        <f>K190*M190/100</f>
        <v>7.5370218216220293</v>
      </c>
      <c r="P190" s="135"/>
      <c r="Q190" s="135">
        <f>O190</f>
        <v>7.5370218216220293</v>
      </c>
    </row>
    <row r="191" spans="1:36">
      <c r="A191" s="140">
        <f>A190+1</f>
        <v>100</v>
      </c>
      <c r="B191" s="114"/>
      <c r="C191" s="114" t="s">
        <v>1152</v>
      </c>
      <c r="D191" s="114"/>
      <c r="E191" s="140" t="s">
        <v>525</v>
      </c>
      <c r="F191" s="140"/>
      <c r="G191" s="902">
        <v>3.9267443834816063</v>
      </c>
      <c r="H191" s="114"/>
      <c r="I191" s="902">
        <v>3.9288005528504462</v>
      </c>
      <c r="J191" s="114"/>
      <c r="K191" s="906">
        <f>I191-G191</f>
        <v>2.0561693688398996E-3</v>
      </c>
      <c r="L191" s="114"/>
      <c r="M191" s="135">
        <v>74348.5</v>
      </c>
      <c r="N191" s="135"/>
      <c r="O191" s="135">
        <f>K191*M191/100</f>
        <v>1.5287310831919327</v>
      </c>
      <c r="P191" s="135"/>
      <c r="Q191" s="135">
        <f>O191</f>
        <v>1.5287310831919327</v>
      </c>
    </row>
    <row r="192" spans="1:36">
      <c r="A192" s="140">
        <f>A191+1</f>
        <v>101</v>
      </c>
      <c r="B192" s="114"/>
      <c r="C192" s="114" t="s">
        <v>1153</v>
      </c>
      <c r="D192" s="114"/>
      <c r="E192" s="140" t="s">
        <v>525</v>
      </c>
      <c r="F192" s="140"/>
      <c r="G192" s="902">
        <v>0.96972041146112009</v>
      </c>
      <c r="H192" s="114"/>
      <c r="I192" s="902">
        <v>0.98605537600198345</v>
      </c>
      <c r="J192" s="114"/>
      <c r="K192" s="906">
        <f>I192-G192</f>
        <v>1.6334964540863361E-2</v>
      </c>
      <c r="L192" s="114"/>
      <c r="M192" s="135">
        <v>20153.399999999998</v>
      </c>
      <c r="N192" s="135"/>
      <c r="O192" s="135">
        <f>K192*M192/100</f>
        <v>3.2920507437783559</v>
      </c>
      <c r="P192" s="135"/>
      <c r="Q192" s="135">
        <f>O192</f>
        <v>3.2920507437783559</v>
      </c>
    </row>
    <row r="193" spans="1:17">
      <c r="A193" s="140"/>
      <c r="B193" s="114"/>
      <c r="C193" s="114"/>
      <c r="D193" s="114"/>
      <c r="E193" s="140"/>
      <c r="F193" s="140"/>
      <c r="G193" s="902"/>
      <c r="H193" s="114"/>
      <c r="I193" s="877"/>
      <c r="J193" s="114"/>
      <c r="K193" s="906"/>
      <c r="L193" s="114"/>
      <c r="M193" s="135"/>
      <c r="N193" s="135"/>
      <c r="O193" s="135"/>
      <c r="P193" s="135"/>
      <c r="Q193" s="135"/>
    </row>
    <row r="194" spans="1:17">
      <c r="A194" s="140">
        <f>A192+1</f>
        <v>102</v>
      </c>
      <c r="B194" s="114"/>
      <c r="C194" s="114" t="s">
        <v>270</v>
      </c>
      <c r="D194" s="114"/>
      <c r="E194" s="140" t="s">
        <v>525</v>
      </c>
      <c r="F194" s="140"/>
      <c r="G194" s="902">
        <v>18.339330746597561</v>
      </c>
      <c r="H194" s="114"/>
      <c r="I194" s="902">
        <v>18.340612742781236</v>
      </c>
      <c r="J194" s="114"/>
      <c r="K194" s="906">
        <f>I194-G194</f>
        <v>1.2819961836747495E-3</v>
      </c>
      <c r="L194" s="114"/>
      <c r="M194" s="135">
        <v>74347.3</v>
      </c>
      <c r="N194" s="135"/>
      <c r="O194" s="135">
        <f>K194*M194/100</f>
        <v>0.95312954866521704</v>
      </c>
      <c r="P194" s="135"/>
      <c r="Q194" s="135">
        <f>O194</f>
        <v>0.95312954866521704</v>
      </c>
    </row>
    <row r="195" spans="1:17">
      <c r="A195" s="140"/>
      <c r="B195" s="114"/>
      <c r="C195" s="114"/>
      <c r="D195" s="114"/>
      <c r="E195" s="140"/>
      <c r="F195" s="140"/>
      <c r="G195" s="114"/>
      <c r="H195" s="114"/>
      <c r="I195" s="114"/>
      <c r="J195" s="114"/>
      <c r="K195" s="906"/>
      <c r="L195" s="114"/>
      <c r="M195" s="135"/>
      <c r="N195" s="135"/>
      <c r="O195" s="135"/>
      <c r="P195" s="135"/>
      <c r="Q195" s="135"/>
    </row>
    <row r="196" spans="1:17">
      <c r="A196" s="140">
        <f>A194+1</f>
        <v>103</v>
      </c>
      <c r="B196" s="114"/>
      <c r="C196" s="114" t="s">
        <v>294</v>
      </c>
      <c r="D196" s="114"/>
      <c r="E196" s="140" t="s">
        <v>525</v>
      </c>
      <c r="F196" s="140"/>
      <c r="G196" s="902">
        <v>-110</v>
      </c>
      <c r="H196" s="114"/>
      <c r="I196" s="902">
        <v>-110.00000000000001</v>
      </c>
      <c r="J196" s="114"/>
      <c r="K196" s="906">
        <f>I196-G196</f>
        <v>0</v>
      </c>
      <c r="L196" s="114"/>
      <c r="M196" s="135">
        <v>16.14747545454544</v>
      </c>
      <c r="N196" s="135"/>
      <c r="O196" s="135">
        <f>K196*M196/100</f>
        <v>0</v>
      </c>
      <c r="P196" s="135"/>
      <c r="Q196" s="921">
        <f>O196</f>
        <v>0</v>
      </c>
    </row>
    <row r="197" spans="1:17">
      <c r="A197" s="140"/>
      <c r="B197" s="114"/>
      <c r="C197" s="114"/>
      <c r="D197" s="114"/>
      <c r="E197" s="140"/>
      <c r="F197" s="140"/>
      <c r="G197" s="114"/>
      <c r="H197" s="114"/>
      <c r="I197" s="114"/>
      <c r="J197" s="114"/>
      <c r="K197" s="906"/>
      <c r="L197" s="114"/>
      <c r="M197" s="135"/>
      <c r="N197" s="135"/>
      <c r="O197" s="135"/>
      <c r="P197" s="135"/>
      <c r="Q197" s="135"/>
    </row>
    <row r="198" spans="1:17" ht="12.95" thickBot="1">
      <c r="A198" s="140">
        <f>A196+1</f>
        <v>104</v>
      </c>
      <c r="B198" s="114"/>
      <c r="C198" s="114" t="s">
        <v>300</v>
      </c>
      <c r="D198" s="114"/>
      <c r="E198" s="140"/>
      <c r="F198" s="140"/>
      <c r="G198" s="902"/>
      <c r="H198" s="114"/>
      <c r="I198" s="902"/>
      <c r="J198" s="114"/>
      <c r="K198" s="908"/>
      <c r="L198" s="114"/>
      <c r="M198" s="135"/>
      <c r="N198" s="135"/>
      <c r="O198" s="905">
        <f>O186+O187+O188+O190+O191+O192+O194+O196</f>
        <v>64.486890799149194</v>
      </c>
      <c r="P198" s="135"/>
      <c r="Q198" s="905">
        <f>Q186+Q187+Q188+Q190+Q191+Q192+Q194+Q196</f>
        <v>64.486890799149194</v>
      </c>
    </row>
    <row r="199" spans="1:17" ht="12.95" thickTop="1">
      <c r="A199" s="140"/>
      <c r="B199" s="114"/>
      <c r="C199" s="114"/>
      <c r="D199" s="114"/>
      <c r="E199" s="140"/>
      <c r="F199" s="140"/>
      <c r="G199" s="114"/>
      <c r="H199" s="114"/>
      <c r="I199" s="114"/>
      <c r="J199" s="114"/>
      <c r="K199" s="906"/>
      <c r="L199" s="114"/>
      <c r="M199" s="135"/>
      <c r="N199" s="135"/>
      <c r="O199" s="135"/>
      <c r="P199" s="135"/>
      <c r="Q199" s="135"/>
    </row>
    <row r="200" spans="1:17">
      <c r="A200" s="114"/>
      <c r="B200" s="114"/>
      <c r="C200" s="114"/>
      <c r="D200" s="114"/>
      <c r="E200" s="114"/>
      <c r="F200" s="114"/>
      <c r="G200" s="114"/>
      <c r="H200" s="114"/>
      <c r="I200" s="114"/>
      <c r="J200" s="114"/>
      <c r="K200" s="114"/>
      <c r="L200" s="114"/>
      <c r="M200" s="114"/>
      <c r="N200" s="114"/>
      <c r="O200" s="114"/>
      <c r="P200" s="114"/>
      <c r="Q200" s="114"/>
    </row>
    <row r="201" spans="1:17">
      <c r="A201" s="114"/>
      <c r="B201" s="114"/>
      <c r="C201" s="114"/>
      <c r="D201" s="114"/>
      <c r="E201" s="114"/>
      <c r="F201" s="114"/>
      <c r="G201" s="114"/>
      <c r="H201" s="114"/>
      <c r="I201" s="114"/>
      <c r="J201" s="114"/>
      <c r="K201" s="114"/>
      <c r="L201" s="114"/>
      <c r="M201" s="114"/>
      <c r="N201" s="114"/>
      <c r="O201" s="114"/>
      <c r="P201" s="114"/>
      <c r="Q201" s="114"/>
    </row>
    <row r="202" spans="1:17">
      <c r="A202" s="114"/>
      <c r="B202" s="114"/>
      <c r="C202" s="114"/>
      <c r="D202" s="114"/>
      <c r="E202" s="114"/>
      <c r="F202" s="114"/>
      <c r="G202" s="114"/>
      <c r="H202" s="114"/>
      <c r="I202" s="114"/>
      <c r="J202" s="114"/>
      <c r="K202" s="114"/>
      <c r="L202" s="114"/>
      <c r="M202" s="114"/>
      <c r="N202" s="114"/>
      <c r="O202" s="114"/>
      <c r="P202" s="114"/>
      <c r="Q202" s="114"/>
    </row>
    <row r="203" spans="1:17">
      <c r="A203" s="114"/>
      <c r="B203" s="114"/>
      <c r="C203" s="114"/>
      <c r="D203" s="114"/>
      <c r="E203" s="114"/>
      <c r="F203" s="114"/>
      <c r="G203" s="114"/>
      <c r="H203" s="114"/>
      <c r="I203" s="114"/>
      <c r="J203" s="114"/>
      <c r="K203" s="114"/>
      <c r="L203" s="114"/>
      <c r="M203" s="114"/>
      <c r="N203" s="114"/>
      <c r="O203" s="114"/>
      <c r="P203" s="114"/>
      <c r="Q203" s="114"/>
    </row>
    <row r="204" spans="1:17">
      <c r="A204" s="140"/>
      <c r="B204" s="114"/>
      <c r="C204" s="114"/>
      <c r="D204" s="114"/>
      <c r="E204" s="140"/>
      <c r="F204" s="140"/>
      <c r="G204" s="114"/>
      <c r="H204" s="114"/>
      <c r="I204" s="114"/>
      <c r="J204" s="114"/>
      <c r="K204" s="906"/>
      <c r="L204" s="114"/>
      <c r="M204" s="135"/>
      <c r="N204" s="135"/>
      <c r="O204" s="135"/>
      <c r="P204" s="135"/>
      <c r="Q204" s="135"/>
    </row>
    <row r="205" spans="1:17">
      <c r="A205" s="1187" t="s">
        <v>1138</v>
      </c>
      <c r="B205" s="1188"/>
      <c r="C205" s="1188"/>
      <c r="D205" s="1188"/>
      <c r="E205" s="1188"/>
      <c r="F205" s="1188"/>
      <c r="G205" s="1188"/>
      <c r="H205" s="1188"/>
      <c r="I205" s="1188"/>
      <c r="J205" s="1188"/>
      <c r="K205" s="1188"/>
      <c r="L205" s="1188"/>
      <c r="M205" s="1188"/>
      <c r="N205" s="1188"/>
      <c r="O205" s="1188"/>
      <c r="P205" s="1188"/>
      <c r="Q205" s="1188"/>
    </row>
    <row r="206" spans="1:17">
      <c r="A206" s="1187" t="s">
        <v>1157</v>
      </c>
      <c r="B206" s="1187"/>
      <c r="C206" s="1187"/>
      <c r="D206" s="1187"/>
      <c r="E206" s="1187"/>
      <c r="F206" s="1187"/>
      <c r="G206" s="1187"/>
      <c r="H206" s="1187"/>
      <c r="I206" s="1187"/>
      <c r="J206" s="1187"/>
      <c r="K206" s="1187"/>
      <c r="L206" s="1187"/>
      <c r="M206" s="1187"/>
      <c r="N206" s="1187"/>
      <c r="O206" s="1187"/>
      <c r="P206" s="1187"/>
      <c r="Q206" s="1187"/>
    </row>
    <row r="207" spans="1:17">
      <c r="A207" s="140"/>
      <c r="B207" s="114"/>
      <c r="C207" s="114"/>
      <c r="D207" s="114"/>
      <c r="E207" s="114"/>
      <c r="F207" s="114"/>
      <c r="G207" s="140"/>
      <c r="H207" s="140"/>
      <c r="I207" s="140"/>
      <c r="J207" s="114"/>
      <c r="K207" s="140"/>
      <c r="L207" s="114"/>
      <c r="M207" s="140"/>
      <c r="N207" s="114"/>
      <c r="O207" s="114"/>
      <c r="P207" s="114"/>
      <c r="Q207" s="114"/>
    </row>
    <row r="208" spans="1:17">
      <c r="A208" s="140"/>
      <c r="B208" s="114"/>
      <c r="C208" s="114"/>
      <c r="D208" s="114"/>
      <c r="E208" s="114"/>
      <c r="F208" s="114"/>
      <c r="G208" s="114"/>
      <c r="H208" s="114"/>
      <c r="I208" s="114"/>
      <c r="J208" s="114"/>
      <c r="K208" s="114"/>
      <c r="L208" s="114"/>
      <c r="M208" s="114"/>
      <c r="N208" s="114"/>
      <c r="O208" s="140" t="s">
        <v>103</v>
      </c>
      <c r="P208" s="114"/>
      <c r="Q208" s="140" t="s">
        <v>1140</v>
      </c>
    </row>
    <row r="209" spans="1:17">
      <c r="A209" s="140" t="s">
        <v>56</v>
      </c>
      <c r="B209" s="114"/>
      <c r="C209" s="114"/>
      <c r="D209" s="114"/>
      <c r="E209" s="114"/>
      <c r="F209" s="114"/>
      <c r="G209" s="140" t="s">
        <v>1144</v>
      </c>
      <c r="H209" s="114"/>
      <c r="I209" s="140" t="s">
        <v>102</v>
      </c>
      <c r="J209" s="114"/>
      <c r="K209" s="140" t="s">
        <v>1145</v>
      </c>
      <c r="L209" s="114"/>
      <c r="M209" s="140" t="s">
        <v>1146</v>
      </c>
      <c r="N209" s="114"/>
      <c r="O209" s="140" t="s">
        <v>1147</v>
      </c>
      <c r="P209" s="114"/>
      <c r="Q209" s="140" t="s">
        <v>1148</v>
      </c>
    </row>
    <row r="210" spans="1:17">
      <c r="A210" s="199" t="s">
        <v>57</v>
      </c>
      <c r="B210" s="114"/>
      <c r="C210" s="433" t="s">
        <v>194</v>
      </c>
      <c r="D210" s="114"/>
      <c r="E210" s="199" t="s">
        <v>245</v>
      </c>
      <c r="F210" s="140"/>
      <c r="G210" s="199" t="s">
        <v>235</v>
      </c>
      <c r="H210" s="114"/>
      <c r="I210" s="199" t="s">
        <v>1149</v>
      </c>
      <c r="J210" s="114"/>
      <c r="K210" s="199" t="s">
        <v>1147</v>
      </c>
      <c r="L210" s="114"/>
      <c r="M210" s="199" t="s">
        <v>1150</v>
      </c>
      <c r="N210" s="114"/>
      <c r="O210" s="199" t="s">
        <v>248</v>
      </c>
      <c r="P210" s="114"/>
      <c r="Q210" s="199" t="s">
        <v>248</v>
      </c>
    </row>
    <row r="211" spans="1:17">
      <c r="A211" s="140"/>
      <c r="B211" s="114"/>
      <c r="C211" s="114"/>
      <c r="D211" s="114"/>
      <c r="E211" s="114"/>
      <c r="F211" s="114"/>
      <c r="G211" s="202" t="s">
        <v>9</v>
      </c>
      <c r="H211" s="140"/>
      <c r="I211" s="202" t="s">
        <v>10</v>
      </c>
      <c r="J211" s="140"/>
      <c r="K211" s="202" t="s">
        <v>846</v>
      </c>
      <c r="L211" s="114"/>
      <c r="M211" s="202" t="s">
        <v>12</v>
      </c>
      <c r="N211" s="114"/>
      <c r="O211" s="202" t="s">
        <v>1151</v>
      </c>
      <c r="P211" s="114"/>
      <c r="Q211" s="140" t="s">
        <v>115</v>
      </c>
    </row>
    <row r="212" spans="1:17">
      <c r="A212" s="140"/>
      <c r="B212" s="114"/>
      <c r="C212" s="114"/>
      <c r="D212" s="114"/>
      <c r="E212" s="140"/>
      <c r="F212" s="140"/>
      <c r="G212" s="114"/>
      <c r="H212" s="114"/>
      <c r="I212" s="114"/>
      <c r="J212" s="114"/>
      <c r="K212" s="906"/>
      <c r="L212" s="114"/>
      <c r="M212" s="135"/>
      <c r="N212" s="135"/>
      <c r="O212" s="135"/>
      <c r="P212" s="135"/>
      <c r="Q212" s="135"/>
    </row>
    <row r="213" spans="1:17">
      <c r="A213" s="140"/>
      <c r="B213" s="114"/>
      <c r="C213" s="875" t="s">
        <v>1163</v>
      </c>
      <c r="D213" s="114"/>
      <c r="E213" s="140"/>
      <c r="F213" s="140"/>
      <c r="G213" s="114"/>
      <c r="H213" s="114"/>
      <c r="I213" s="114"/>
      <c r="J213" s="114"/>
      <c r="K213" s="906"/>
      <c r="L213" s="114"/>
      <c r="M213" s="135"/>
      <c r="N213" s="135"/>
      <c r="O213" s="135"/>
      <c r="P213" s="135"/>
      <c r="Q213" s="135"/>
    </row>
    <row r="214" spans="1:17">
      <c r="A214" s="140">
        <f>A198+1</f>
        <v>105</v>
      </c>
      <c r="B214" s="114"/>
      <c r="C214" s="114" t="s">
        <v>258</v>
      </c>
      <c r="D214" s="114"/>
      <c r="E214" s="140" t="s">
        <v>523</v>
      </c>
      <c r="F214" s="140"/>
      <c r="G214" s="99">
        <v>22.98</v>
      </c>
      <c r="H214" s="914"/>
      <c r="I214" s="99">
        <v>25.86030083293284</v>
      </c>
      <c r="J214" s="914"/>
      <c r="K214" s="99">
        <f>I214-G214</f>
        <v>2.8803008329328392</v>
      </c>
      <c r="L214" s="114"/>
      <c r="M214" s="135">
        <v>1475814.0000000002</v>
      </c>
      <c r="N214" s="135"/>
      <c r="O214" s="135">
        <f>K214*M214/1000</f>
        <v>4250.7882934539457</v>
      </c>
      <c r="P214" s="135"/>
      <c r="Q214" s="135"/>
    </row>
    <row r="215" spans="1:17">
      <c r="A215" s="140"/>
      <c r="B215" s="114"/>
      <c r="C215" s="114" t="s">
        <v>260</v>
      </c>
      <c r="D215" s="114"/>
      <c r="E215" s="140"/>
      <c r="F215" s="140"/>
      <c r="G215" s="114"/>
      <c r="H215" s="114"/>
      <c r="I215" s="928"/>
      <c r="J215" s="114"/>
      <c r="K215" s="906"/>
      <c r="L215" s="114"/>
      <c r="M215" s="135"/>
      <c r="N215" s="135"/>
      <c r="O215" s="135"/>
      <c r="P215" s="135"/>
      <c r="Q215" s="135"/>
    </row>
    <row r="216" spans="1:17">
      <c r="A216" s="140">
        <f>A214+1</f>
        <v>106</v>
      </c>
      <c r="B216" s="114"/>
      <c r="C216" s="876" t="s">
        <v>301</v>
      </c>
      <c r="D216" s="114"/>
      <c r="E216" s="140" t="s">
        <v>525</v>
      </c>
      <c r="F216" s="140"/>
      <c r="G216" s="902">
        <v>11.1409</v>
      </c>
      <c r="H216" s="114"/>
      <c r="I216" s="902">
        <v>10.994659600483454</v>
      </c>
      <c r="J216" s="114"/>
      <c r="K216" s="906">
        <f>I216-G216</f>
        <v>-0.14624039951654666</v>
      </c>
      <c r="L216" s="114"/>
      <c r="M216" s="135">
        <v>133852.6729958939</v>
      </c>
      <c r="N216" s="135"/>
      <c r="O216" s="135">
        <f>K216*M216/1000</f>
        <v>-19.574668375277202</v>
      </c>
      <c r="P216" s="135"/>
      <c r="Q216" s="135"/>
    </row>
    <row r="217" spans="1:17">
      <c r="A217" s="140">
        <f>A216+1</f>
        <v>107</v>
      </c>
      <c r="B217" s="114"/>
      <c r="C217" s="876" t="s">
        <v>302</v>
      </c>
      <c r="D217" s="114"/>
      <c r="E217" s="140" t="s">
        <v>525</v>
      </c>
      <c r="F217" s="140"/>
      <c r="G217" s="902">
        <v>10.862900000000002</v>
      </c>
      <c r="H217" s="114"/>
      <c r="I217" s="902">
        <v>10.724986712766833</v>
      </c>
      <c r="J217" s="114"/>
      <c r="K217" s="906">
        <f>I217-G217</f>
        <v>-0.13791328723316809</v>
      </c>
      <c r="L217" s="114"/>
      <c r="M217" s="135">
        <v>206279.73214664368</v>
      </c>
      <c r="N217" s="135"/>
      <c r="O217" s="135">
        <f>K217*M217/1000</f>
        <v>-28.448715949921045</v>
      </c>
      <c r="P217" s="135"/>
      <c r="Q217" s="135"/>
    </row>
    <row r="218" spans="1:17">
      <c r="A218" s="140">
        <f>A217+1</f>
        <v>108</v>
      </c>
      <c r="B218" s="114"/>
      <c r="C218" s="876" t="s">
        <v>302</v>
      </c>
      <c r="D218" s="114"/>
      <c r="E218" s="140" t="s">
        <v>525</v>
      </c>
      <c r="F218" s="140"/>
      <c r="G218" s="902">
        <v>10.4222</v>
      </c>
      <c r="H218" s="114"/>
      <c r="I218" s="902">
        <v>10.297516661037735</v>
      </c>
      <c r="J218" s="114"/>
      <c r="K218" s="906">
        <f>I218-G218</f>
        <v>-0.12468333896226547</v>
      </c>
      <c r="L218" s="114"/>
      <c r="M218" s="135">
        <v>85599.072418883894</v>
      </c>
      <c r="N218" s="135"/>
      <c r="O218" s="135">
        <f>K218*M218/1000</f>
        <v>-10.67277816125921</v>
      </c>
      <c r="P218" s="135"/>
      <c r="Q218" s="135"/>
    </row>
    <row r="219" spans="1:17">
      <c r="A219" s="140">
        <f>A218+1</f>
        <v>109</v>
      </c>
      <c r="B219" s="114"/>
      <c r="C219" s="876" t="s">
        <v>304</v>
      </c>
      <c r="D219" s="114"/>
      <c r="E219" s="140" t="s">
        <v>525</v>
      </c>
      <c r="F219" s="140"/>
      <c r="G219" s="902">
        <v>10.017900000000001</v>
      </c>
      <c r="H219" s="114"/>
      <c r="I219" s="902">
        <v>9.9052838666369443</v>
      </c>
      <c r="J219" s="114"/>
      <c r="K219" s="906">
        <f>I219-G219</f>
        <v>-0.11261613336305665</v>
      </c>
      <c r="L219" s="114"/>
      <c r="M219" s="135">
        <v>54112.099078318715</v>
      </c>
      <c r="N219" s="135"/>
      <c r="O219" s="135">
        <f>K219*M219/1000</f>
        <v>-6.0938953663588755</v>
      </c>
      <c r="P219" s="135"/>
      <c r="Q219" s="135"/>
    </row>
    <row r="220" spans="1:17">
      <c r="A220" s="140">
        <f>A219+1</f>
        <v>110</v>
      </c>
      <c r="B220" s="114"/>
      <c r="C220" s="876" t="s">
        <v>1164</v>
      </c>
      <c r="D220" s="114"/>
      <c r="E220" s="140" t="s">
        <v>525</v>
      </c>
      <c r="F220" s="140"/>
      <c r="G220" s="902">
        <v>9.6836000000000002</v>
      </c>
      <c r="H220" s="114"/>
      <c r="I220" s="902">
        <v>9.5810600062050693</v>
      </c>
      <c r="J220" s="114"/>
      <c r="K220" s="906">
        <f>I220-G220</f>
        <v>-0.10253999379493095</v>
      </c>
      <c r="L220" s="114"/>
      <c r="M220" s="135">
        <v>77197.90942841077</v>
      </c>
      <c r="N220" s="135"/>
      <c r="O220" s="135">
        <f>K220*M220/1000</f>
        <v>-7.9158731537708817</v>
      </c>
      <c r="P220" s="135"/>
      <c r="Q220" s="135"/>
    </row>
    <row r="221" spans="1:17">
      <c r="A221" s="140">
        <f>A220+1</f>
        <v>111</v>
      </c>
      <c r="B221" s="114"/>
      <c r="C221" s="114" t="s">
        <v>260</v>
      </c>
      <c r="D221" s="114"/>
      <c r="E221" s="140"/>
      <c r="F221" s="140"/>
      <c r="G221" s="902"/>
      <c r="H221" s="114"/>
      <c r="I221" s="902"/>
      <c r="J221" s="114"/>
      <c r="K221" s="908"/>
      <c r="L221" s="114"/>
      <c r="M221" s="924">
        <f>SUM(M216:M220)</f>
        <v>557041.48606815096</v>
      </c>
      <c r="N221" s="135"/>
      <c r="O221" s="924">
        <f>SUM(O216:O220)</f>
        <v>-72.705931006587207</v>
      </c>
      <c r="P221" s="135"/>
      <c r="Q221" s="135">
        <f>O214+O221</f>
        <v>4178.0823624473587</v>
      </c>
    </row>
    <row r="222" spans="1:17">
      <c r="A222" s="140"/>
      <c r="B222" s="114"/>
      <c r="C222" s="114"/>
      <c r="D222" s="114"/>
      <c r="E222" s="140"/>
      <c r="F222" s="140"/>
      <c r="G222" s="902"/>
      <c r="H222" s="114"/>
      <c r="I222" s="877"/>
      <c r="J222" s="114"/>
      <c r="K222" s="906"/>
      <c r="L222" s="114"/>
      <c r="M222" s="135"/>
      <c r="N222" s="135"/>
      <c r="O222" s="135"/>
      <c r="P222" s="135"/>
      <c r="Q222" s="135"/>
    </row>
    <row r="223" spans="1:17">
      <c r="A223" s="140">
        <f>A221+1</f>
        <v>112</v>
      </c>
      <c r="B223" s="114"/>
      <c r="C223" s="429" t="s">
        <v>564</v>
      </c>
      <c r="D223" s="114"/>
      <c r="E223" s="140" t="s">
        <v>525</v>
      </c>
      <c r="F223" s="140"/>
      <c r="G223" s="902">
        <v>4.4904000000000011</v>
      </c>
      <c r="H223" s="114"/>
      <c r="I223" s="902">
        <v>4.4822509538968758</v>
      </c>
      <c r="J223" s="114"/>
      <c r="K223" s="909">
        <f>I223-G223</f>
        <v>-8.1490461031252792E-3</v>
      </c>
      <c r="L223" s="114"/>
      <c r="M223" s="203">
        <v>156680.92915309046</v>
      </c>
      <c r="N223" s="203"/>
      <c r="O223" s="203">
        <f>K223*M223/1000</f>
        <v>-1.2768001151490398</v>
      </c>
      <c r="P223" s="203"/>
      <c r="Q223" s="203">
        <f>O223</f>
        <v>-1.2768001151490398</v>
      </c>
    </row>
    <row r="224" spans="1:17">
      <c r="A224" s="140">
        <f>A223+1</f>
        <v>113</v>
      </c>
      <c r="B224" s="114"/>
      <c r="C224" s="429" t="s">
        <v>565</v>
      </c>
      <c r="D224" s="114"/>
      <c r="E224" s="140" t="s">
        <v>525</v>
      </c>
      <c r="F224" s="140"/>
      <c r="G224" s="902">
        <v>2.2974999999999999</v>
      </c>
      <c r="H224" s="114"/>
      <c r="I224" s="902">
        <v>2.2978283486808895</v>
      </c>
      <c r="J224" s="114"/>
      <c r="K224" s="909">
        <f>I224-G224</f>
        <v>3.2834868088960079E-4</v>
      </c>
      <c r="L224" s="114"/>
      <c r="M224" s="931">
        <v>400360.5569150605</v>
      </c>
      <c r="N224" s="203"/>
      <c r="O224" s="931">
        <f>K224*M224/1000</f>
        <v>0.13145786074328605</v>
      </c>
      <c r="P224" s="203"/>
      <c r="Q224" s="203">
        <f>O224</f>
        <v>0.13145786074328605</v>
      </c>
    </row>
    <row r="225" spans="1:17">
      <c r="A225" s="140">
        <f>A224+1</f>
        <v>114</v>
      </c>
      <c r="B225" s="114"/>
      <c r="C225" s="429" t="s">
        <v>1152</v>
      </c>
      <c r="D225" s="114"/>
      <c r="E225" s="140"/>
      <c r="F225" s="140"/>
      <c r="G225" s="902"/>
      <c r="H225" s="114"/>
      <c r="I225" s="902"/>
      <c r="J225" s="114"/>
      <c r="K225" s="930"/>
      <c r="L225" s="114"/>
      <c r="M225" s="203">
        <f>SUM(M223:M224)</f>
        <v>557041.48606815096</v>
      </c>
      <c r="N225" s="203"/>
      <c r="O225" s="203">
        <f>SUM(O223:O224)</f>
        <v>-1.1453422544057537</v>
      </c>
      <c r="P225" s="203"/>
      <c r="Q225" s="203"/>
    </row>
    <row r="226" spans="1:17">
      <c r="A226" s="140"/>
      <c r="B226" s="114"/>
      <c r="C226" s="114"/>
      <c r="D226" s="114"/>
      <c r="E226" s="140"/>
      <c r="F226" s="140"/>
      <c r="G226" s="902"/>
      <c r="H226" s="114"/>
      <c r="I226" s="877"/>
      <c r="J226" s="114"/>
      <c r="K226" s="909"/>
      <c r="L226" s="114"/>
      <c r="M226" s="203"/>
      <c r="N226" s="203"/>
      <c r="O226" s="203"/>
      <c r="P226" s="203"/>
      <c r="Q226" s="203"/>
    </row>
    <row r="227" spans="1:17">
      <c r="A227" s="140">
        <f>A225+1</f>
        <v>115</v>
      </c>
      <c r="B227" s="114"/>
      <c r="C227" s="429" t="s">
        <v>566</v>
      </c>
      <c r="D227" s="114"/>
      <c r="E227" s="140" t="s">
        <v>525</v>
      </c>
      <c r="F227" s="140"/>
      <c r="G227" s="902">
        <v>2.2812000000000001</v>
      </c>
      <c r="H227" s="114"/>
      <c r="I227" s="902">
        <v>2.3332259102365285</v>
      </c>
      <c r="J227" s="114"/>
      <c r="K227" s="909">
        <f>I227-G227</f>
        <v>5.2025910236528361E-2</v>
      </c>
      <c r="L227" s="114"/>
      <c r="M227" s="203">
        <v>156680.92915309046</v>
      </c>
      <c r="N227" s="203"/>
      <c r="O227" s="203">
        <f>K227*M227/1000</f>
        <v>8.1514679558945442</v>
      </c>
      <c r="P227" s="203"/>
      <c r="Q227" s="203">
        <f>O227</f>
        <v>8.1514679558945442</v>
      </c>
    </row>
    <row r="228" spans="1:17">
      <c r="A228" s="140">
        <f>A227+1</f>
        <v>116</v>
      </c>
      <c r="B228" s="114"/>
      <c r="C228" s="429" t="s">
        <v>567</v>
      </c>
      <c r="D228" s="114"/>
      <c r="E228" s="140" t="s">
        <v>525</v>
      </c>
      <c r="F228" s="140"/>
      <c r="G228" s="902">
        <v>6.2597999999999994</v>
      </c>
      <c r="H228" s="114"/>
      <c r="I228" s="902">
        <v>6.3243954179080495</v>
      </c>
      <c r="J228" s="114"/>
      <c r="K228" s="909">
        <f>I228-G228</f>
        <v>6.4595417908050123E-2</v>
      </c>
      <c r="L228" s="114"/>
      <c r="M228" s="931">
        <v>400360.5569150605</v>
      </c>
      <c r="N228" s="203"/>
      <c r="O228" s="931">
        <f>K228*M228/1000</f>
        <v>25.861457487828019</v>
      </c>
      <c r="P228" s="203"/>
      <c r="Q228" s="203">
        <f>O228</f>
        <v>25.861457487828019</v>
      </c>
    </row>
    <row r="229" spans="1:17">
      <c r="A229" s="140">
        <f>A228+1</f>
        <v>117</v>
      </c>
      <c r="B229" s="114"/>
      <c r="C229" s="429" t="s">
        <v>308</v>
      </c>
      <c r="D229" s="114"/>
      <c r="E229" s="140"/>
      <c r="F229" s="140"/>
      <c r="G229" s="902"/>
      <c r="H229" s="114"/>
      <c r="I229" s="902"/>
      <c r="J229" s="114"/>
      <c r="K229" s="930"/>
      <c r="L229" s="114"/>
      <c r="M229" s="203">
        <f>SUM(M227:M228)</f>
        <v>557041.48606815096</v>
      </c>
      <c r="N229" s="203"/>
      <c r="O229" s="203">
        <f>SUM(O227:O228)</f>
        <v>34.012925443722565</v>
      </c>
      <c r="P229" s="203"/>
      <c r="Q229" s="203"/>
    </row>
    <row r="230" spans="1:17">
      <c r="A230" s="140"/>
      <c r="B230" s="114"/>
      <c r="C230" s="429"/>
      <c r="D230" s="114"/>
      <c r="E230" s="140"/>
      <c r="F230" s="140"/>
      <c r="G230" s="902"/>
      <c r="H230" s="114"/>
      <c r="I230" s="877"/>
      <c r="J230" s="114"/>
      <c r="K230" s="909"/>
      <c r="L230" s="114"/>
      <c r="M230" s="203"/>
      <c r="N230" s="203"/>
      <c r="O230" s="203"/>
      <c r="P230" s="203"/>
      <c r="Q230" s="203"/>
    </row>
    <row r="231" spans="1:17">
      <c r="A231" s="140">
        <f>A229+1</f>
        <v>118</v>
      </c>
      <c r="B231" s="114"/>
      <c r="C231" s="429" t="s">
        <v>568</v>
      </c>
      <c r="D231" s="114"/>
      <c r="E231" s="140" t="s">
        <v>525</v>
      </c>
      <c r="F231" s="140"/>
      <c r="G231" s="902">
        <v>18.274100000000001</v>
      </c>
      <c r="H231" s="114"/>
      <c r="I231" s="902">
        <v>18.279797322243489</v>
      </c>
      <c r="J231" s="114"/>
      <c r="K231" s="909">
        <f>I231-G231</f>
        <v>5.6973222434884008E-3</v>
      </c>
      <c r="L231" s="114"/>
      <c r="M231" s="203">
        <v>149507.6656461863</v>
      </c>
      <c r="N231" s="203"/>
      <c r="O231" s="203">
        <f>K231*M231/1000</f>
        <v>0.85179334905804382</v>
      </c>
      <c r="P231" s="203"/>
      <c r="Q231" s="203">
        <f>O231</f>
        <v>0.85179334905804382</v>
      </c>
    </row>
    <row r="232" spans="1:17">
      <c r="A232" s="140">
        <f>A231+1</f>
        <v>119</v>
      </c>
      <c r="B232" s="114"/>
      <c r="C232" s="429" t="s">
        <v>569</v>
      </c>
      <c r="D232" s="114"/>
      <c r="E232" s="140" t="s">
        <v>525</v>
      </c>
      <c r="F232" s="140"/>
      <c r="G232" s="902">
        <v>20.820800000000002</v>
      </c>
      <c r="H232" s="114"/>
      <c r="I232" s="902">
        <v>20.82649732224349</v>
      </c>
      <c r="J232" s="114"/>
      <c r="K232" s="909">
        <f>I232-G232</f>
        <v>5.6973222434884008E-3</v>
      </c>
      <c r="L232" s="114"/>
      <c r="M232" s="931">
        <v>375246.49091046234</v>
      </c>
      <c r="N232" s="203"/>
      <c r="O232" s="931">
        <f>K232*M232/1000</f>
        <v>2.1379001794551451</v>
      </c>
      <c r="P232" s="203"/>
      <c r="Q232" s="203">
        <f>O232</f>
        <v>2.1379001794551451</v>
      </c>
    </row>
    <row r="233" spans="1:17">
      <c r="A233" s="140">
        <f>A232+1</f>
        <v>120</v>
      </c>
      <c r="B233" s="114"/>
      <c r="C233" s="429" t="s">
        <v>1165</v>
      </c>
      <c r="D233" s="114"/>
      <c r="E233" s="140"/>
      <c r="F233" s="140"/>
      <c r="G233" s="902"/>
      <c r="H233" s="114"/>
      <c r="I233" s="902"/>
      <c r="J233" s="114"/>
      <c r="K233" s="909"/>
      <c r="L233" s="114"/>
      <c r="M233" s="203">
        <f>SUM(M231:M232)</f>
        <v>524754.15655664867</v>
      </c>
      <c r="N233" s="203"/>
      <c r="O233" s="203">
        <f>SUM(O231:O232)</f>
        <v>2.9896935285131887</v>
      </c>
      <c r="P233" s="203"/>
      <c r="Q233" s="203"/>
    </row>
    <row r="234" spans="1:17">
      <c r="A234" s="140"/>
      <c r="B234" s="114"/>
      <c r="C234" s="114"/>
      <c r="D234" s="114"/>
      <c r="E234" s="140"/>
      <c r="F234" s="140"/>
      <c r="G234" s="902"/>
      <c r="H234" s="114"/>
      <c r="I234" s="877"/>
      <c r="J234" s="114"/>
      <c r="K234" s="909"/>
      <c r="L234" s="114"/>
      <c r="M234" s="203"/>
      <c r="N234" s="203"/>
      <c r="O234" s="203"/>
      <c r="P234" s="203"/>
      <c r="Q234" s="203"/>
    </row>
    <row r="235" spans="1:17" ht="12.95" thickBot="1">
      <c r="A235" s="140">
        <f>A233+1</f>
        <v>121</v>
      </c>
      <c r="B235" s="114"/>
      <c r="C235" s="114" t="s">
        <v>310</v>
      </c>
      <c r="D235" s="114"/>
      <c r="E235" s="140"/>
      <c r="F235" s="140"/>
      <c r="G235" s="902"/>
      <c r="H235" s="114"/>
      <c r="I235" s="902"/>
      <c r="J235" s="114"/>
      <c r="K235" s="930"/>
      <c r="L235" s="114"/>
      <c r="M235" s="203"/>
      <c r="N235" s="203"/>
      <c r="O235" s="929">
        <f>O214+O221+O223+O224+O227+O228+O231+O232</f>
        <v>4213.9396391651899</v>
      </c>
      <c r="P235" s="203"/>
      <c r="Q235" s="929">
        <f>SUM(Q214:Q232)</f>
        <v>4213.9396391651899</v>
      </c>
    </row>
    <row r="236" spans="1:17" ht="12.95" thickTop="1">
      <c r="A236" s="140"/>
      <c r="B236" s="114"/>
      <c r="C236" s="114"/>
      <c r="D236" s="114"/>
      <c r="E236" s="140"/>
      <c r="F236" s="140"/>
      <c r="G236" s="114"/>
      <c r="H236" s="114"/>
      <c r="I236" s="114"/>
      <c r="J236" s="114"/>
      <c r="K236" s="906"/>
      <c r="L236" s="114"/>
      <c r="M236" s="135"/>
      <c r="N236" s="135"/>
      <c r="O236" s="135"/>
      <c r="P236" s="135"/>
      <c r="Q236" s="135"/>
    </row>
    <row r="237" spans="1:17">
      <c r="A237" s="140"/>
      <c r="B237" s="114"/>
      <c r="C237" s="875" t="s">
        <v>1166</v>
      </c>
      <c r="D237" s="114"/>
      <c r="E237" s="140"/>
      <c r="F237" s="140"/>
      <c r="G237" s="114"/>
      <c r="H237" s="114"/>
      <c r="I237" s="114"/>
      <c r="J237" s="114"/>
      <c r="K237" s="906"/>
      <c r="L237" s="114"/>
      <c r="M237" s="135"/>
      <c r="N237" s="135"/>
      <c r="O237" s="135"/>
      <c r="P237" s="135"/>
      <c r="Q237" s="135"/>
    </row>
    <row r="238" spans="1:17">
      <c r="A238" s="140">
        <f>A235+1</f>
        <v>122</v>
      </c>
      <c r="B238" s="114"/>
      <c r="C238" s="114" t="s">
        <v>258</v>
      </c>
      <c r="D238" s="114"/>
      <c r="E238" s="140" t="s">
        <v>523</v>
      </c>
      <c r="F238" s="140"/>
      <c r="G238" s="99">
        <v>76.58</v>
      </c>
      <c r="H238" s="914"/>
      <c r="I238" s="99">
        <v>78.672570443196562</v>
      </c>
      <c r="J238" s="914"/>
      <c r="K238" s="99">
        <f>I238-G238</f>
        <v>2.0925704431965642</v>
      </c>
      <c r="L238" s="114"/>
      <c r="M238" s="135">
        <v>8855</v>
      </c>
      <c r="N238" s="135"/>
      <c r="O238" s="135">
        <f>K238*M238/1000</f>
        <v>18.529711274505576</v>
      </c>
      <c r="P238" s="135"/>
      <c r="Q238" s="135"/>
    </row>
    <row r="239" spans="1:17">
      <c r="A239" s="140"/>
      <c r="B239" s="114"/>
      <c r="C239" s="114" t="s">
        <v>260</v>
      </c>
      <c r="D239" s="114"/>
      <c r="E239" s="140"/>
      <c r="F239" s="140"/>
      <c r="G239" s="114"/>
      <c r="H239" s="114"/>
      <c r="I239" s="928"/>
      <c r="J239" s="114"/>
      <c r="K239" s="906"/>
      <c r="L239" s="114"/>
      <c r="M239" s="135"/>
      <c r="N239" s="135"/>
      <c r="O239" s="135"/>
      <c r="P239" s="135"/>
      <c r="Q239" s="135"/>
    </row>
    <row r="240" spans="1:17">
      <c r="A240" s="140">
        <f>A238+1</f>
        <v>123</v>
      </c>
      <c r="B240" s="114"/>
      <c r="C240" s="876" t="s">
        <v>311</v>
      </c>
      <c r="D240" s="114"/>
      <c r="E240" s="140" t="s">
        <v>525</v>
      </c>
      <c r="F240" s="140"/>
      <c r="G240" s="902">
        <v>10.1913</v>
      </c>
      <c r="H240" s="114"/>
      <c r="I240" s="902">
        <v>9.8242095022391034</v>
      </c>
      <c r="J240" s="114"/>
      <c r="K240" s="906">
        <f>I240-G240</f>
        <v>-0.36709049776089664</v>
      </c>
      <c r="L240" s="114"/>
      <c r="M240" s="135">
        <v>8204.8177430611595</v>
      </c>
      <c r="N240" s="135"/>
      <c r="O240" s="135">
        <f>K240*M240/1000</f>
        <v>-3.0119106293377578</v>
      </c>
      <c r="P240" s="135"/>
      <c r="Q240" s="135"/>
    </row>
    <row r="241" spans="1:17">
      <c r="A241" s="140">
        <f>A240+1</f>
        <v>124</v>
      </c>
      <c r="B241" s="114"/>
      <c r="C241" s="876" t="s">
        <v>312</v>
      </c>
      <c r="D241" s="114"/>
      <c r="E241" s="140" t="s">
        <v>525</v>
      </c>
      <c r="F241" s="140"/>
      <c r="G241" s="902">
        <v>8.3182000000000009</v>
      </c>
      <c r="H241" s="114"/>
      <c r="I241" s="902">
        <v>8.0158753741972433</v>
      </c>
      <c r="J241" s="114"/>
      <c r="K241" s="906">
        <f>I241-G241</f>
        <v>-0.30232462580275765</v>
      </c>
      <c r="L241" s="114"/>
      <c r="M241" s="135">
        <v>62336.815604183088</v>
      </c>
      <c r="N241" s="135"/>
      <c r="O241" s="135">
        <f>K241*M241/1000</f>
        <v>-18.845954451270156</v>
      </c>
      <c r="P241" s="135"/>
      <c r="Q241" s="135"/>
    </row>
    <row r="242" spans="1:17">
      <c r="A242" s="140">
        <f>A241+1</f>
        <v>125</v>
      </c>
      <c r="B242" s="114"/>
      <c r="C242" s="876" t="s">
        <v>313</v>
      </c>
      <c r="D242" s="114"/>
      <c r="E242" s="140" t="s">
        <v>525</v>
      </c>
      <c r="F242" s="140"/>
      <c r="G242" s="902">
        <v>7.2328000000000001</v>
      </c>
      <c r="H242" s="114"/>
      <c r="I242" s="902">
        <v>6.9661280358040507</v>
      </c>
      <c r="J242" s="114"/>
      <c r="K242" s="906">
        <f>I242-G242</f>
        <v>-0.26667196419594941</v>
      </c>
      <c r="L242" s="114"/>
      <c r="M242" s="135">
        <v>47575.863853310104</v>
      </c>
      <c r="N242" s="135"/>
      <c r="O242" s="135">
        <f>K242*M242/1000</f>
        <v>-12.687149062081277</v>
      </c>
      <c r="P242" s="135"/>
      <c r="Q242" s="135"/>
    </row>
    <row r="243" spans="1:17">
      <c r="A243" s="140">
        <f>A242+1</f>
        <v>126</v>
      </c>
      <c r="B243" s="114"/>
      <c r="C243" s="876" t="s">
        <v>314</v>
      </c>
      <c r="D243" s="114"/>
      <c r="E243" s="140" t="s">
        <v>525</v>
      </c>
      <c r="F243" s="140"/>
      <c r="G243" s="902">
        <v>6.5511999999999997</v>
      </c>
      <c r="H243" s="114"/>
      <c r="I243" s="902">
        <v>6.3083056740426215</v>
      </c>
      <c r="J243" s="114"/>
      <c r="K243" s="906">
        <f>I243-G243</f>
        <v>-0.24289432595737814</v>
      </c>
      <c r="L243" s="114"/>
      <c r="M243" s="135">
        <v>31751.318427315069</v>
      </c>
      <c r="N243" s="135"/>
      <c r="O243" s="135">
        <f>K243*M243/1000</f>
        <v>-7.7122150876607742</v>
      </c>
      <c r="P243" s="135"/>
      <c r="Q243" s="135"/>
    </row>
    <row r="244" spans="1:17">
      <c r="A244" s="140">
        <f>A243+1</f>
        <v>127</v>
      </c>
      <c r="B244" s="114"/>
      <c r="C244" s="876" t="s">
        <v>315</v>
      </c>
      <c r="D244" s="114"/>
      <c r="E244" s="140" t="s">
        <v>525</v>
      </c>
      <c r="F244" s="140"/>
      <c r="G244" s="902">
        <v>3.9687000000000001</v>
      </c>
      <c r="H244" s="114"/>
      <c r="I244" s="902">
        <v>3.8159484961850549</v>
      </c>
      <c r="J244" s="114"/>
      <c r="K244" s="906">
        <f>I244-G244</f>
        <v>-0.15275150381494518</v>
      </c>
      <c r="L244" s="114"/>
      <c r="M244" s="135">
        <v>24989.884413778425</v>
      </c>
      <c r="N244" s="135"/>
      <c r="O244" s="135">
        <f>K244*M244/1000</f>
        <v>-3.8172424243663139</v>
      </c>
      <c r="P244" s="135"/>
      <c r="Q244" s="135"/>
    </row>
    <row r="245" spans="1:17">
      <c r="A245" s="140">
        <f>A244+1</f>
        <v>128</v>
      </c>
      <c r="B245" s="114"/>
      <c r="C245" s="114" t="s">
        <v>260</v>
      </c>
      <c r="D245" s="114"/>
      <c r="E245" s="140"/>
      <c r="F245" s="140"/>
      <c r="G245" s="902"/>
      <c r="H245" s="114"/>
      <c r="I245" s="902"/>
      <c r="J245" s="114"/>
      <c r="K245" s="908"/>
      <c r="L245" s="114"/>
      <c r="M245" s="924">
        <f>SUM(M240:M244)</f>
        <v>174858.70004164785</v>
      </c>
      <c r="N245" s="135"/>
      <c r="O245" s="924">
        <f>SUM(O240:O244)</f>
        <v>-46.074471654716277</v>
      </c>
      <c r="P245" s="135"/>
      <c r="Q245" s="135">
        <f>O238+O245</f>
        <v>-27.5447603802107</v>
      </c>
    </row>
    <row r="246" spans="1:17">
      <c r="A246" s="140"/>
      <c r="B246" s="114"/>
      <c r="C246" s="114"/>
      <c r="D246" s="114"/>
      <c r="E246" s="140"/>
      <c r="F246" s="140"/>
      <c r="G246" s="902"/>
      <c r="H246" s="114"/>
      <c r="I246" s="877"/>
      <c r="J246" s="114"/>
      <c r="K246" s="906"/>
      <c r="L246" s="114"/>
      <c r="M246" s="135"/>
      <c r="N246" s="135"/>
      <c r="O246" s="135"/>
      <c r="P246" s="135"/>
      <c r="Q246" s="135"/>
    </row>
    <row r="247" spans="1:17">
      <c r="A247" s="140">
        <f>A245+1</f>
        <v>129</v>
      </c>
      <c r="B247" s="114"/>
      <c r="C247" s="429" t="s">
        <v>564</v>
      </c>
      <c r="D247" s="114"/>
      <c r="E247" s="140" t="s">
        <v>525</v>
      </c>
      <c r="F247" s="140"/>
      <c r="G247" s="902">
        <v>3.9398999999999997</v>
      </c>
      <c r="H247" s="114"/>
      <c r="I247" s="902">
        <v>3.9297650770498587</v>
      </c>
      <c r="J247" s="114"/>
      <c r="K247" s="906">
        <f>I247-G247</f>
        <v>-1.0134922950141068E-2</v>
      </c>
      <c r="L247" s="114"/>
      <c r="M247" s="135">
        <v>39310.024878601587</v>
      </c>
      <c r="N247" s="135"/>
      <c r="O247" s="135">
        <f>K247*M247/1000</f>
        <v>-0.39840407331275557</v>
      </c>
      <c r="P247" s="135"/>
      <c r="Q247" s="135">
        <f>O247</f>
        <v>-0.39840407331275557</v>
      </c>
    </row>
    <row r="248" spans="1:17">
      <c r="A248" s="140">
        <f>A247+1</f>
        <v>130</v>
      </c>
      <c r="B248" s="114"/>
      <c r="C248" s="429" t="s">
        <v>565</v>
      </c>
      <c r="D248" s="114"/>
      <c r="E248" s="140" t="s">
        <v>525</v>
      </c>
      <c r="F248" s="140"/>
      <c r="G248" s="902">
        <v>2.1114999999999999</v>
      </c>
      <c r="H248" s="114"/>
      <c r="I248" s="902">
        <v>2.1118065962820181</v>
      </c>
      <c r="J248" s="114"/>
      <c r="K248" s="906">
        <f>I248-G248</f>
        <v>3.0659628201812339E-4</v>
      </c>
      <c r="L248" s="114"/>
      <c r="M248" s="923">
        <v>133649.93951419782</v>
      </c>
      <c r="N248" s="135"/>
      <c r="O248" s="923">
        <f>K248*M248/1000</f>
        <v>4.0976574547000127E-2</v>
      </c>
      <c r="P248" s="135"/>
      <c r="Q248" s="135">
        <f>O248</f>
        <v>4.0976574547000127E-2</v>
      </c>
    </row>
    <row r="249" spans="1:17">
      <c r="A249" s="140">
        <f>A248+1</f>
        <v>131</v>
      </c>
      <c r="B249" s="114"/>
      <c r="C249" s="429" t="s">
        <v>268</v>
      </c>
      <c r="D249" s="114"/>
      <c r="E249" s="140"/>
      <c r="F249" s="140"/>
      <c r="G249" s="902"/>
      <c r="H249" s="114"/>
      <c r="I249" s="902"/>
      <c r="J249" s="114"/>
      <c r="K249" s="908"/>
      <c r="L249" s="114"/>
      <c r="M249" s="135">
        <f>SUM(M247:M248)</f>
        <v>172959.96439279942</v>
      </c>
      <c r="N249" s="135"/>
      <c r="O249" s="135">
        <f>SUM(O247:O248)</f>
        <v>-0.35742749876575541</v>
      </c>
      <c r="P249" s="135"/>
      <c r="Q249" s="135"/>
    </row>
    <row r="250" spans="1:17">
      <c r="A250" s="140"/>
      <c r="B250" s="114"/>
      <c r="C250" s="114"/>
      <c r="D250" s="114"/>
      <c r="E250" s="140"/>
      <c r="F250" s="140"/>
      <c r="G250" s="902"/>
      <c r="H250" s="114"/>
      <c r="I250" s="877"/>
      <c r="J250" s="114"/>
      <c r="K250" s="906"/>
      <c r="L250" s="114"/>
      <c r="M250" s="135"/>
      <c r="N250" s="135"/>
      <c r="O250" s="135"/>
      <c r="P250" s="135"/>
      <c r="Q250" s="135"/>
    </row>
    <row r="251" spans="1:17">
      <c r="A251" s="140">
        <f>A249+1</f>
        <v>132</v>
      </c>
      <c r="B251" s="114"/>
      <c r="C251" s="429" t="s">
        <v>566</v>
      </c>
      <c r="D251" s="114"/>
      <c r="E251" s="140" t="s">
        <v>525</v>
      </c>
      <c r="F251" s="140"/>
      <c r="G251" s="902">
        <v>1.8104</v>
      </c>
      <c r="H251" s="114"/>
      <c r="I251" s="902">
        <v>1.8506622626902354</v>
      </c>
      <c r="J251" s="114"/>
      <c r="K251" s="906">
        <f>I251-G251</f>
        <v>4.0262262690235362E-2</v>
      </c>
      <c r="L251" s="114"/>
      <c r="M251" s="135">
        <v>39310.024878601587</v>
      </c>
      <c r="N251" s="135"/>
      <c r="O251" s="135">
        <f>K251*M251/1000</f>
        <v>1.5827105480219446</v>
      </c>
      <c r="P251" s="135"/>
      <c r="Q251" s="135">
        <f>O251</f>
        <v>1.5827105480219446</v>
      </c>
    </row>
    <row r="252" spans="1:17">
      <c r="A252" s="140">
        <f>A251+1</f>
        <v>133</v>
      </c>
      <c r="B252" s="114"/>
      <c r="C252" s="429" t="s">
        <v>567</v>
      </c>
      <c r="D252" s="114"/>
      <c r="E252" s="140" t="s">
        <v>525</v>
      </c>
      <c r="F252" s="140"/>
      <c r="G252" s="902">
        <v>4.6779999999999999</v>
      </c>
      <c r="H252" s="114"/>
      <c r="I252" s="902">
        <v>4.7275066040857805</v>
      </c>
      <c r="J252" s="114"/>
      <c r="K252" s="906">
        <f>I252-G252</f>
        <v>4.9506604085780559E-2</v>
      </c>
      <c r="L252" s="114"/>
      <c r="M252" s="923">
        <v>133649.93951419782</v>
      </c>
      <c r="N252" s="135"/>
      <c r="O252" s="923">
        <f>K252*M252/1000</f>
        <v>6.6165546416179106</v>
      </c>
      <c r="P252" s="135"/>
      <c r="Q252" s="135">
        <f>O252</f>
        <v>6.6165546416179106</v>
      </c>
    </row>
    <row r="253" spans="1:17">
      <c r="A253" s="140">
        <f>A252+1</f>
        <v>134</v>
      </c>
      <c r="B253" s="114"/>
      <c r="C253" s="429" t="s">
        <v>308</v>
      </c>
      <c r="D253" s="114"/>
      <c r="E253" s="140"/>
      <c r="F253" s="140"/>
      <c r="G253" s="902"/>
      <c r="H253" s="114"/>
      <c r="I253" s="902"/>
      <c r="J253" s="114"/>
      <c r="K253" s="908"/>
      <c r="L253" s="114"/>
      <c r="M253" s="135">
        <f>SUM(M251:M252)</f>
        <v>172959.96439279942</v>
      </c>
      <c r="N253" s="135"/>
      <c r="O253" s="135">
        <f>SUM(O251:O252)</f>
        <v>8.1992651896398545</v>
      </c>
      <c r="P253" s="135"/>
      <c r="Q253" s="135"/>
    </row>
    <row r="254" spans="1:17">
      <c r="A254" s="140"/>
      <c r="B254" s="114"/>
      <c r="C254" s="429"/>
      <c r="D254" s="114"/>
      <c r="E254" s="140"/>
      <c r="F254" s="140"/>
      <c r="G254" s="902"/>
      <c r="H254" s="114"/>
      <c r="I254" s="877"/>
      <c r="J254" s="114"/>
      <c r="K254" s="906"/>
      <c r="L254" s="114"/>
      <c r="M254" s="135"/>
      <c r="N254" s="135"/>
      <c r="O254" s="135"/>
      <c r="P254" s="135"/>
      <c r="Q254" s="135"/>
    </row>
    <row r="255" spans="1:17">
      <c r="A255" s="140">
        <f>A253+1</f>
        <v>135</v>
      </c>
      <c r="B255" s="114"/>
      <c r="C255" s="429" t="s">
        <v>568</v>
      </c>
      <c r="D255" s="114"/>
      <c r="E255" s="140" t="s">
        <v>525</v>
      </c>
      <c r="F255" s="140"/>
      <c r="G255" s="902">
        <v>18.274100000000001</v>
      </c>
      <c r="H255" s="114"/>
      <c r="I255" s="902">
        <v>18.279797322243493</v>
      </c>
      <c r="J255" s="114"/>
      <c r="K255" s="906">
        <f>I255-G255</f>
        <v>5.6973222434919535E-3</v>
      </c>
      <c r="L255" s="114"/>
      <c r="M255" s="135">
        <v>21499.26143811932</v>
      </c>
      <c r="N255" s="135"/>
      <c r="O255" s="135">
        <f>K255*M255/1000</f>
        <v>0.12248822041004601</v>
      </c>
      <c r="P255" s="135"/>
      <c r="Q255" s="135">
        <f>O255</f>
        <v>0.12248822041004601</v>
      </c>
    </row>
    <row r="256" spans="1:17">
      <c r="A256" s="140">
        <f>A255+1</f>
        <v>136</v>
      </c>
      <c r="B256" s="114"/>
      <c r="C256" s="429" t="s">
        <v>569</v>
      </c>
      <c r="D256" s="114"/>
      <c r="E256" s="140" t="s">
        <v>525</v>
      </c>
      <c r="F256" s="140"/>
      <c r="G256" s="902">
        <v>20.820800000000002</v>
      </c>
      <c r="H256" s="114"/>
      <c r="I256" s="902">
        <v>20.826497322243494</v>
      </c>
      <c r="J256" s="114"/>
      <c r="K256" s="906">
        <f>I256-G256</f>
        <v>5.6973222434919535E-3</v>
      </c>
      <c r="L256" s="114"/>
      <c r="M256" s="923">
        <v>69376.278008859066</v>
      </c>
      <c r="N256" s="135"/>
      <c r="O256" s="923">
        <f>K256*M256/1000</f>
        <v>0.3952590118705544</v>
      </c>
      <c r="P256" s="135"/>
      <c r="Q256" s="135">
        <f>O256</f>
        <v>0.3952590118705544</v>
      </c>
    </row>
    <row r="257" spans="1:17">
      <c r="A257" s="140">
        <f>A256+1</f>
        <v>137</v>
      </c>
      <c r="B257" s="114"/>
      <c r="C257" s="429" t="s">
        <v>270</v>
      </c>
      <c r="D257" s="114"/>
      <c r="E257" s="140"/>
      <c r="F257" s="140"/>
      <c r="G257" s="902"/>
      <c r="H257" s="114"/>
      <c r="I257" s="902"/>
      <c r="J257" s="114"/>
      <c r="K257" s="908"/>
      <c r="L257" s="114"/>
      <c r="M257" s="135">
        <f>SUM(M255:M256)</f>
        <v>90875.539446978393</v>
      </c>
      <c r="N257" s="135"/>
      <c r="O257" s="135">
        <f>SUM(O255:O256)</f>
        <v>0.51774723228060038</v>
      </c>
      <c r="P257" s="135"/>
      <c r="Q257" s="135"/>
    </row>
    <row r="258" spans="1:17">
      <c r="A258" s="140"/>
      <c r="B258" s="114"/>
      <c r="C258" s="114"/>
      <c r="D258" s="114"/>
      <c r="E258" s="140"/>
      <c r="F258" s="140"/>
      <c r="G258" s="902"/>
      <c r="H258" s="114"/>
      <c r="I258" s="877"/>
      <c r="J258" s="114"/>
      <c r="K258" s="906"/>
      <c r="L258" s="114"/>
      <c r="M258" s="135"/>
      <c r="N258" s="135"/>
      <c r="O258" s="135"/>
      <c r="P258" s="135"/>
      <c r="Q258" s="135"/>
    </row>
    <row r="259" spans="1:17" ht="12.95" thickBot="1">
      <c r="A259" s="140">
        <f>A257+1</f>
        <v>138</v>
      </c>
      <c r="B259" s="114"/>
      <c r="C259" s="114" t="s">
        <v>316</v>
      </c>
      <c r="D259" s="114"/>
      <c r="E259" s="140"/>
      <c r="F259" s="140"/>
      <c r="G259" s="902"/>
      <c r="H259" s="114"/>
      <c r="I259" s="902"/>
      <c r="J259" s="114"/>
      <c r="K259" s="908"/>
      <c r="L259" s="114"/>
      <c r="M259" s="135"/>
      <c r="N259" s="135"/>
      <c r="O259" s="905">
        <f>O238+O245+O247+O248+O251+O252+O255+O256</f>
        <v>-19.185175457056005</v>
      </c>
      <c r="P259" s="135"/>
      <c r="Q259" s="905">
        <f>SUM(Q238:Q256)</f>
        <v>-19.185175457056005</v>
      </c>
    </row>
    <row r="260" spans="1:17" ht="12.95" thickTop="1">
      <c r="A260" s="140"/>
      <c r="B260" s="114"/>
      <c r="C260" s="114"/>
      <c r="D260" s="114"/>
      <c r="E260" s="140"/>
      <c r="F260" s="140"/>
      <c r="G260" s="902"/>
      <c r="H260" s="114"/>
      <c r="I260" s="907"/>
      <c r="J260" s="114"/>
      <c r="K260" s="906"/>
      <c r="L260" s="114"/>
      <c r="M260" s="135"/>
      <c r="N260" s="135"/>
      <c r="O260" s="135"/>
      <c r="P260" s="135"/>
      <c r="Q260" s="135"/>
    </row>
    <row r="261" spans="1:17">
      <c r="A261" s="140"/>
      <c r="B261" s="114"/>
      <c r="C261" s="875" t="s">
        <v>1167</v>
      </c>
      <c r="D261" s="114"/>
      <c r="E261" s="140"/>
      <c r="F261" s="140"/>
      <c r="G261" s="114"/>
      <c r="H261" s="114"/>
      <c r="I261" s="114"/>
      <c r="J261" s="114"/>
      <c r="K261" s="906"/>
      <c r="L261" s="114"/>
      <c r="M261" s="135"/>
      <c r="N261" s="135"/>
      <c r="O261" s="135"/>
      <c r="P261" s="135"/>
      <c r="Q261" s="135"/>
    </row>
    <row r="262" spans="1:17">
      <c r="A262" s="140">
        <f>A259+1</f>
        <v>139</v>
      </c>
      <c r="B262" s="114"/>
      <c r="C262" s="114" t="s">
        <v>258</v>
      </c>
      <c r="D262" s="114"/>
      <c r="E262" s="140" t="s">
        <v>523</v>
      </c>
      <c r="F262" s="140"/>
      <c r="G262" s="99">
        <v>1090.76</v>
      </c>
      <c r="H262" s="914"/>
      <c r="I262" s="99">
        <v>1120.5653295458487</v>
      </c>
      <c r="J262" s="914"/>
      <c r="K262" s="99">
        <f>I262-G262</f>
        <v>29.805329545848736</v>
      </c>
      <c r="L262" s="114"/>
      <c r="M262" s="135">
        <v>252</v>
      </c>
      <c r="N262" s="135"/>
      <c r="O262" s="135">
        <f>K262*M262/1000</f>
        <v>7.5109430455538817</v>
      </c>
      <c r="P262" s="135"/>
      <c r="Q262" s="135"/>
    </row>
    <row r="263" spans="1:17">
      <c r="A263" s="140"/>
      <c r="B263" s="114"/>
      <c r="C263" s="114" t="s">
        <v>280</v>
      </c>
      <c r="D263" s="114"/>
      <c r="E263" s="140"/>
      <c r="F263" s="140"/>
      <c r="G263" s="902"/>
      <c r="H263" s="114"/>
      <c r="I263" s="907"/>
      <c r="J263" s="114"/>
      <c r="K263" s="906"/>
      <c r="L263" s="114"/>
      <c r="M263" s="135"/>
      <c r="N263" s="135"/>
      <c r="O263" s="135"/>
      <c r="P263" s="135"/>
      <c r="Q263" s="135"/>
    </row>
    <row r="264" spans="1:17">
      <c r="A264" s="140">
        <f>A262+1</f>
        <v>140</v>
      </c>
      <c r="B264" s="114"/>
      <c r="C264" s="876" t="s">
        <v>317</v>
      </c>
      <c r="D264" s="114"/>
      <c r="E264" s="140" t="s">
        <v>540</v>
      </c>
      <c r="F264" s="140"/>
      <c r="G264" s="902">
        <v>34.796800000000005</v>
      </c>
      <c r="H264" s="114"/>
      <c r="I264" s="902">
        <v>35.154454728660021</v>
      </c>
      <c r="J264" s="114"/>
      <c r="K264" s="906">
        <f>I264-G264</f>
        <v>0.35765472866001602</v>
      </c>
      <c r="L264" s="114"/>
      <c r="M264" s="135">
        <v>8502.0560000000005</v>
      </c>
      <c r="N264" s="135"/>
      <c r="O264" s="135">
        <f>K264*M264/1000</f>
        <v>3.0408005317322613</v>
      </c>
      <c r="P264" s="135"/>
      <c r="Q264" s="135"/>
    </row>
    <row r="265" spans="1:17">
      <c r="A265" s="140">
        <f>A264+1</f>
        <v>141</v>
      </c>
      <c r="B265" s="114"/>
      <c r="C265" s="876" t="s">
        <v>318</v>
      </c>
      <c r="D265" s="114"/>
      <c r="E265" s="140" t="s">
        <v>540</v>
      </c>
      <c r="F265" s="140"/>
      <c r="G265" s="902">
        <v>20.462300000000003</v>
      </c>
      <c r="H265" s="114"/>
      <c r="I265" s="902">
        <v>20.672580286481455</v>
      </c>
      <c r="J265" s="114"/>
      <c r="K265" s="906">
        <f>I265-G265</f>
        <v>0.2102802864814528</v>
      </c>
      <c r="L265" s="114"/>
      <c r="M265" s="923">
        <v>22075.200000000001</v>
      </c>
      <c r="N265" s="135"/>
      <c r="O265" s="923">
        <f>K265*M265/1000</f>
        <v>4.6419793801353668</v>
      </c>
      <c r="P265" s="135"/>
      <c r="Q265" s="114"/>
    </row>
    <row r="266" spans="1:17">
      <c r="A266" s="140">
        <f>A265+1</f>
        <v>142</v>
      </c>
      <c r="B266" s="114"/>
      <c r="C266" s="114" t="s">
        <v>280</v>
      </c>
      <c r="D266" s="114"/>
      <c r="E266" s="140"/>
      <c r="F266" s="140"/>
      <c r="G266" s="902"/>
      <c r="H266" s="114"/>
      <c r="I266" s="902"/>
      <c r="J266" s="114"/>
      <c r="K266" s="908"/>
      <c r="L266" s="114"/>
      <c r="M266" s="135">
        <f>SUM(M264:M265)</f>
        <v>30577.256000000001</v>
      </c>
      <c r="N266" s="135"/>
      <c r="O266" s="135">
        <f>SUM(O264:O265)</f>
        <v>7.6827799118676285</v>
      </c>
      <c r="P266" s="135"/>
      <c r="Q266" s="135">
        <f>SUM(O262:O265)</f>
        <v>15.19372295742151</v>
      </c>
    </row>
    <row r="267" spans="1:17">
      <c r="A267" s="140"/>
      <c r="B267" s="114"/>
      <c r="C267" s="114" t="s">
        <v>260</v>
      </c>
      <c r="D267" s="114"/>
      <c r="E267" s="140"/>
      <c r="F267" s="140"/>
      <c r="G267" s="902"/>
      <c r="H267" s="114"/>
      <c r="I267" s="907"/>
      <c r="J267" s="114"/>
      <c r="K267" s="906"/>
      <c r="L267" s="114"/>
      <c r="M267" s="135"/>
      <c r="N267" s="135"/>
      <c r="O267" s="135"/>
      <c r="P267" s="135"/>
      <c r="Q267" s="135"/>
    </row>
    <row r="268" spans="1:17">
      <c r="A268" s="140">
        <f>A266+1</f>
        <v>143</v>
      </c>
      <c r="B268" s="114"/>
      <c r="C268" s="876" t="s">
        <v>1168</v>
      </c>
      <c r="D268" s="114"/>
      <c r="E268" s="140" t="s">
        <v>525</v>
      </c>
      <c r="F268" s="140"/>
      <c r="G268" s="902">
        <v>0.77600000000000002</v>
      </c>
      <c r="H268" s="114"/>
      <c r="I268" s="902">
        <v>0.75926512076320185</v>
      </c>
      <c r="J268" s="114"/>
      <c r="K268" s="906">
        <f>I268-G268</f>
        <v>-1.6734879236798172E-2</v>
      </c>
      <c r="L268" s="114"/>
      <c r="M268" s="135">
        <v>127067.21400000002</v>
      </c>
      <c r="N268" s="135"/>
      <c r="O268" s="135">
        <f>K268*M268/1000</f>
        <v>-2.1264544812463906</v>
      </c>
      <c r="P268" s="135"/>
      <c r="Q268" s="135"/>
    </row>
    <row r="269" spans="1:17">
      <c r="A269" s="140">
        <f>A268+1</f>
        <v>144</v>
      </c>
      <c r="B269" s="114"/>
      <c r="C269" s="876" t="s">
        <v>1169</v>
      </c>
      <c r="D269" s="114"/>
      <c r="E269" s="140" t="s">
        <v>525</v>
      </c>
      <c r="F269" s="140"/>
      <c r="G269" s="902">
        <v>0.5645</v>
      </c>
      <c r="H269" s="114"/>
      <c r="I269" s="902">
        <v>0.55226468148925756</v>
      </c>
      <c r="J269" s="114"/>
      <c r="K269" s="906">
        <f>I269-G269</f>
        <v>-1.2235318510742443E-2</v>
      </c>
      <c r="L269" s="114"/>
      <c r="M269" s="923">
        <v>117212.73378</v>
      </c>
      <c r="N269" s="135"/>
      <c r="O269" s="923">
        <f>K269*M269/1000</f>
        <v>-1.4341351313131598</v>
      </c>
      <c r="P269" s="135"/>
      <c r="Q269" s="114"/>
    </row>
    <row r="270" spans="1:17">
      <c r="A270" s="140">
        <f>A269+1</f>
        <v>145</v>
      </c>
      <c r="B270" s="114"/>
      <c r="C270" s="114" t="s">
        <v>260</v>
      </c>
      <c r="D270" s="114"/>
      <c r="E270" s="140"/>
      <c r="F270" s="140"/>
      <c r="G270" s="902"/>
      <c r="H270" s="114"/>
      <c r="I270" s="902"/>
      <c r="J270" s="114"/>
      <c r="K270" s="908"/>
      <c r="L270" s="114"/>
      <c r="M270" s="135">
        <f>SUM(M268:M269)</f>
        <v>244279.94778000002</v>
      </c>
      <c r="N270" s="135"/>
      <c r="O270" s="135">
        <f>SUM(O268:O269)</f>
        <v>-3.5605896125595504</v>
      </c>
      <c r="P270" s="135"/>
      <c r="Q270" s="135">
        <f>SUM(O268:O269)</f>
        <v>-3.5605896125595504</v>
      </c>
    </row>
    <row r="271" spans="1:17">
      <c r="A271" s="140"/>
      <c r="B271" s="114"/>
      <c r="C271" s="114"/>
      <c r="D271" s="114"/>
      <c r="E271" s="140"/>
      <c r="F271" s="140"/>
      <c r="G271" s="902"/>
      <c r="H271" s="114"/>
      <c r="I271" s="877"/>
      <c r="J271" s="114"/>
      <c r="K271" s="906"/>
      <c r="L271" s="114"/>
      <c r="M271" s="135"/>
      <c r="N271" s="135"/>
      <c r="O271" s="135"/>
      <c r="P271" s="135"/>
      <c r="Q271" s="135"/>
    </row>
    <row r="272" spans="1:17">
      <c r="A272" s="140">
        <f>A270+1</f>
        <v>146</v>
      </c>
      <c r="B272" s="114"/>
      <c r="C272" s="114" t="s">
        <v>1170</v>
      </c>
      <c r="D272" s="114"/>
      <c r="E272" s="140" t="s">
        <v>525</v>
      </c>
      <c r="F272" s="140"/>
      <c r="G272" s="902">
        <v>0.5645</v>
      </c>
      <c r="H272" s="114"/>
      <c r="I272" s="902">
        <v>0.54315242035258537</v>
      </c>
      <c r="J272" s="114"/>
      <c r="K272" s="906">
        <f>I272-G272</f>
        <v>-2.1347579647414627E-2</v>
      </c>
      <c r="L272" s="114"/>
      <c r="M272" s="135">
        <v>0</v>
      </c>
      <c r="N272" s="135"/>
      <c r="O272" s="135">
        <f>K272*M272/1000</f>
        <v>0</v>
      </c>
      <c r="P272" s="135"/>
      <c r="Q272" s="921">
        <f>O272</f>
        <v>0</v>
      </c>
    </row>
    <row r="273" spans="1:17">
      <c r="A273" s="140"/>
      <c r="B273" s="114"/>
      <c r="C273" s="114"/>
      <c r="D273" s="114"/>
      <c r="E273" s="140"/>
      <c r="F273" s="140"/>
      <c r="G273" s="902"/>
      <c r="H273" s="114"/>
      <c r="I273" s="877"/>
      <c r="J273" s="114"/>
      <c r="K273" s="906"/>
      <c r="L273" s="114"/>
      <c r="M273" s="135"/>
      <c r="N273" s="135"/>
      <c r="O273" s="135"/>
      <c r="P273" s="135"/>
      <c r="Q273" s="135"/>
    </row>
    <row r="274" spans="1:17">
      <c r="A274" s="140">
        <f>A272+1</f>
        <v>147</v>
      </c>
      <c r="B274" s="114"/>
      <c r="C274" s="114" t="s">
        <v>1171</v>
      </c>
      <c r="D274" s="114"/>
      <c r="E274" s="140" t="s">
        <v>523</v>
      </c>
      <c r="F274" s="140"/>
      <c r="G274" s="99">
        <v>248.07</v>
      </c>
      <c r="H274" s="914"/>
      <c r="I274" s="99">
        <v>254.84858383185909</v>
      </c>
      <c r="J274" s="914"/>
      <c r="K274" s="99">
        <f>I274-G274</f>
        <v>6.7785838318590947</v>
      </c>
      <c r="L274" s="114"/>
      <c r="M274" s="135">
        <v>151.99999999999994</v>
      </c>
      <c r="N274" s="135"/>
      <c r="O274" s="135">
        <f>K274*M274/1000</f>
        <v>1.030344742442582</v>
      </c>
      <c r="P274" s="135"/>
      <c r="Q274" s="135">
        <f>O274</f>
        <v>1.030344742442582</v>
      </c>
    </row>
    <row r="275" spans="1:17">
      <c r="A275" s="140"/>
      <c r="B275" s="114"/>
      <c r="C275" s="114"/>
      <c r="D275" s="114"/>
      <c r="E275" s="140"/>
      <c r="F275" s="140"/>
      <c r="G275" s="902"/>
      <c r="H275" s="114"/>
      <c r="I275" s="877"/>
      <c r="J275" s="114"/>
      <c r="K275" s="906"/>
      <c r="L275" s="114"/>
      <c r="M275" s="135"/>
      <c r="N275" s="135"/>
      <c r="O275" s="135"/>
      <c r="P275" s="135"/>
      <c r="Q275" s="135"/>
    </row>
    <row r="276" spans="1:17">
      <c r="A276" s="140"/>
      <c r="B276" s="114"/>
      <c r="C276" s="114" t="s">
        <v>323</v>
      </c>
      <c r="D276" s="114"/>
      <c r="E276" s="140"/>
      <c r="F276" s="140"/>
      <c r="G276" s="902"/>
      <c r="H276" s="114"/>
      <c r="I276" s="877"/>
      <c r="J276" s="114"/>
      <c r="K276" s="906"/>
      <c r="L276" s="114"/>
      <c r="M276" s="135"/>
      <c r="N276" s="135"/>
      <c r="O276" s="135"/>
      <c r="P276" s="135"/>
      <c r="Q276" s="135"/>
    </row>
    <row r="277" spans="1:17">
      <c r="A277" s="140">
        <f>A274+1</f>
        <v>148</v>
      </c>
      <c r="B277" s="114"/>
      <c r="C277" s="876" t="s">
        <v>306</v>
      </c>
      <c r="D277" s="114"/>
      <c r="E277" s="140" t="s">
        <v>540</v>
      </c>
      <c r="F277" s="140"/>
      <c r="G277" s="902">
        <v>41.884799999999998</v>
      </c>
      <c r="H277" s="114"/>
      <c r="I277" s="902">
        <v>42.045108220196624</v>
      </c>
      <c r="J277" s="114"/>
      <c r="K277" s="906">
        <f>I277-G277</f>
        <v>0.16030822019662594</v>
      </c>
      <c r="L277" s="114"/>
      <c r="M277" s="135">
        <v>588.01199999999994</v>
      </c>
      <c r="N277" s="135"/>
      <c r="O277" s="135">
        <f>K277*M277/1000</f>
        <v>9.42631571742584E-2</v>
      </c>
      <c r="P277" s="135"/>
      <c r="Q277" s="135">
        <f>O277</f>
        <v>9.42631571742584E-2</v>
      </c>
    </row>
    <row r="278" spans="1:17">
      <c r="A278" s="140">
        <f>A277+1</f>
        <v>149</v>
      </c>
      <c r="B278" s="114"/>
      <c r="C278" s="876" t="s">
        <v>307</v>
      </c>
      <c r="D278" s="114"/>
      <c r="E278" s="140" t="s">
        <v>540</v>
      </c>
      <c r="F278" s="140"/>
      <c r="G278" s="902">
        <v>43.368399999999994</v>
      </c>
      <c r="H278" s="114"/>
      <c r="I278" s="902">
        <v>43.48726669063079</v>
      </c>
      <c r="J278" s="114"/>
      <c r="K278" s="906">
        <f>I278-G278</f>
        <v>0.1188666906307958</v>
      </c>
      <c r="L278" s="114"/>
      <c r="M278" s="923">
        <v>2263.884</v>
      </c>
      <c r="N278" s="135"/>
      <c r="O278" s="923">
        <f>K278*M278/1000</f>
        <v>0.26910039905200855</v>
      </c>
      <c r="P278" s="135"/>
      <c r="Q278" s="135">
        <f>O278</f>
        <v>0.26910039905200855</v>
      </c>
    </row>
    <row r="279" spans="1:17">
      <c r="A279" s="140">
        <f>A278+1</f>
        <v>150</v>
      </c>
      <c r="B279" s="114"/>
      <c r="C279" s="114" t="s">
        <v>323</v>
      </c>
      <c r="D279" s="114"/>
      <c r="E279" s="140"/>
      <c r="F279" s="140"/>
      <c r="G279" s="902"/>
      <c r="H279" s="114"/>
      <c r="I279" s="902"/>
      <c r="J279" s="114"/>
      <c r="K279" s="906"/>
      <c r="L279" s="114"/>
      <c r="M279" s="135">
        <f>SUM(M277:M278)</f>
        <v>2851.8959999999997</v>
      </c>
      <c r="N279" s="135"/>
      <c r="O279" s="135">
        <f>SUM(O277:O278)</f>
        <v>0.36336355622626693</v>
      </c>
      <c r="P279" s="135"/>
      <c r="Q279" s="135"/>
    </row>
    <row r="280" spans="1:17">
      <c r="A280" s="140"/>
      <c r="B280" s="114"/>
      <c r="C280" s="114" t="s">
        <v>1172</v>
      </c>
      <c r="D280" s="114"/>
      <c r="E280" s="140"/>
      <c r="F280" s="140"/>
      <c r="G280" s="902"/>
      <c r="H280" s="114"/>
      <c r="I280" s="907"/>
      <c r="J280" s="114"/>
      <c r="K280" s="906"/>
      <c r="L280" s="114"/>
      <c r="M280" s="114"/>
      <c r="N280" s="114"/>
      <c r="O280" s="114"/>
      <c r="P280" s="135"/>
      <c r="Q280" s="135"/>
    </row>
    <row r="281" spans="1:17">
      <c r="A281" s="140"/>
      <c r="B281" s="114"/>
      <c r="C281" s="114" t="s">
        <v>1173</v>
      </c>
      <c r="D281" s="114"/>
      <c r="E281" s="140"/>
      <c r="F281" s="140"/>
      <c r="G281" s="902"/>
      <c r="H281" s="114"/>
      <c r="I281" s="907"/>
      <c r="J281" s="114"/>
      <c r="K281" s="906"/>
      <c r="L281" s="114"/>
      <c r="M281" s="135"/>
      <c r="N281" s="135"/>
      <c r="O281" s="135"/>
      <c r="P281" s="135"/>
      <c r="Q281" s="927"/>
    </row>
    <row r="282" spans="1:17">
      <c r="A282" s="140">
        <f>A279+1</f>
        <v>151</v>
      </c>
      <c r="B282" s="114"/>
      <c r="C282" s="876" t="s">
        <v>306</v>
      </c>
      <c r="D282" s="114"/>
      <c r="E282" s="140" t="s">
        <v>525</v>
      </c>
      <c r="F282" s="140"/>
      <c r="G282" s="902">
        <v>2.5133000000000001</v>
      </c>
      <c r="H282" s="114"/>
      <c r="I282" s="902">
        <v>2.5196786155898971</v>
      </c>
      <c r="J282" s="114"/>
      <c r="K282" s="906">
        <f>I282-G282</f>
        <v>6.378615589897052E-3</v>
      </c>
      <c r="L282" s="114"/>
      <c r="M282" s="135">
        <v>6950.5525499999994</v>
      </c>
      <c r="N282" s="135"/>
      <c r="O282" s="135">
        <f>K282*M282/1000</f>
        <v>4.4334902853828712E-2</v>
      </c>
      <c r="P282" s="135"/>
      <c r="Q282" s="135">
        <f>O282</f>
        <v>4.4334902853828712E-2</v>
      </c>
    </row>
    <row r="283" spans="1:17">
      <c r="A283" s="140">
        <f>A282+1</f>
        <v>152</v>
      </c>
      <c r="B283" s="114"/>
      <c r="C283" s="876" t="s">
        <v>307</v>
      </c>
      <c r="D283" s="114"/>
      <c r="E283" s="140" t="s">
        <v>525</v>
      </c>
      <c r="F283" s="140"/>
      <c r="G283" s="902">
        <v>1.7764000000000002</v>
      </c>
      <c r="H283" s="114"/>
      <c r="I283" s="902">
        <v>1.78148289914636</v>
      </c>
      <c r="J283" s="114"/>
      <c r="K283" s="906">
        <f>I283-G283</f>
        <v>5.0828991463598427E-3</v>
      </c>
      <c r="L283" s="114"/>
      <c r="M283" s="923">
        <v>20167.675869999999</v>
      </c>
      <c r="N283" s="135"/>
      <c r="O283" s="923">
        <f>K283*M283/1000</f>
        <v>0.102510262463685</v>
      </c>
      <c r="P283" s="135"/>
      <c r="Q283" s="135">
        <f>O283</f>
        <v>0.102510262463685</v>
      </c>
    </row>
    <row r="284" spans="1:17">
      <c r="A284" s="140">
        <f>A283+1</f>
        <v>153</v>
      </c>
      <c r="B284" s="114"/>
      <c r="C284" s="114" t="s">
        <v>1174</v>
      </c>
      <c r="D284" s="114"/>
      <c r="E284" s="140"/>
      <c r="F284" s="140"/>
      <c r="G284" s="902"/>
      <c r="H284" s="114"/>
      <c r="I284" s="907"/>
      <c r="J284" s="114"/>
      <c r="K284" s="906"/>
      <c r="L284" s="114"/>
      <c r="M284" s="135">
        <f>SUM(M282:M283)</f>
        <v>27118.228419999999</v>
      </c>
      <c r="N284" s="135"/>
      <c r="O284" s="135">
        <f>SUM(O282:O283)</f>
        <v>0.14684516531751371</v>
      </c>
      <c r="P284" s="135"/>
      <c r="Q284" s="135"/>
    </row>
    <row r="285" spans="1:17">
      <c r="A285" s="140"/>
      <c r="B285" s="114"/>
      <c r="C285" s="114" t="s">
        <v>1175</v>
      </c>
      <c r="D285" s="114"/>
      <c r="E285" s="140"/>
      <c r="F285" s="140"/>
      <c r="G285" s="902"/>
      <c r="H285" s="114"/>
      <c r="I285" s="907"/>
      <c r="J285" s="114"/>
      <c r="K285" s="906"/>
      <c r="L285" s="114"/>
      <c r="M285" s="135"/>
      <c r="N285" s="135"/>
      <c r="O285" s="135"/>
      <c r="P285" s="135"/>
      <c r="Q285" s="135"/>
    </row>
    <row r="286" spans="1:17">
      <c r="A286" s="140">
        <f>A284+1</f>
        <v>154</v>
      </c>
      <c r="B286" s="114"/>
      <c r="C286" s="876" t="s">
        <v>306</v>
      </c>
      <c r="D286" s="114"/>
      <c r="E286" s="140" t="s">
        <v>525</v>
      </c>
      <c r="F286" s="140"/>
      <c r="G286" s="902">
        <v>0</v>
      </c>
      <c r="H286" s="114"/>
      <c r="I286" s="902">
        <v>0</v>
      </c>
      <c r="J286" s="114"/>
      <c r="K286" s="906">
        <f>I286-G286</f>
        <v>0</v>
      </c>
      <c r="L286" s="114"/>
      <c r="M286" s="135">
        <v>6471.2061699999995</v>
      </c>
      <c r="N286" s="135"/>
      <c r="O286" s="135">
        <f>K286*M286/1000</f>
        <v>0</v>
      </c>
      <c r="P286" s="135"/>
      <c r="Q286" s="921">
        <f>O286</f>
        <v>0</v>
      </c>
    </row>
    <row r="287" spans="1:17">
      <c r="A287" s="140">
        <f>A286+1</f>
        <v>155</v>
      </c>
      <c r="B287" s="114"/>
      <c r="C287" s="876" t="s">
        <v>307</v>
      </c>
      <c r="D287" s="114"/>
      <c r="E287" s="140" t="s">
        <v>525</v>
      </c>
      <c r="F287" s="140"/>
      <c r="G287" s="902">
        <v>0</v>
      </c>
      <c r="H287" s="114"/>
      <c r="I287" s="902">
        <v>0</v>
      </c>
      <c r="J287" s="114"/>
      <c r="K287" s="906">
        <f>I287-G287</f>
        <v>0</v>
      </c>
      <c r="L287" s="114"/>
      <c r="M287" s="923">
        <v>17052.309580000001</v>
      </c>
      <c r="N287" s="135"/>
      <c r="O287" s="923">
        <f>K287*M287/1000</f>
        <v>0</v>
      </c>
      <c r="P287" s="135"/>
      <c r="Q287" s="921">
        <f>O287</f>
        <v>0</v>
      </c>
    </row>
    <row r="288" spans="1:17">
      <c r="A288" s="140">
        <f>A287+1</f>
        <v>156</v>
      </c>
      <c r="B288" s="114"/>
      <c r="C288" s="429" t="s">
        <v>1175</v>
      </c>
      <c r="D288" s="114"/>
      <c r="E288" s="140"/>
      <c r="F288" s="140"/>
      <c r="G288" s="902"/>
      <c r="H288" s="114"/>
      <c r="I288" s="907"/>
      <c r="J288" s="114"/>
      <c r="K288" s="906"/>
      <c r="L288" s="114"/>
      <c r="M288" s="135">
        <f>SUM(M286:M287)</f>
        <v>23523.515749999999</v>
      </c>
      <c r="N288" s="135"/>
      <c r="O288" s="135">
        <f>SUM(O286:O287)</f>
        <v>0</v>
      </c>
      <c r="P288" s="135"/>
      <c r="Q288" s="135"/>
    </row>
    <row r="289" spans="1:17">
      <c r="A289" s="140"/>
      <c r="B289" s="114"/>
      <c r="C289" s="114"/>
      <c r="D289" s="114"/>
      <c r="E289" s="140"/>
      <c r="F289" s="140"/>
      <c r="G289" s="902"/>
      <c r="H289" s="114"/>
      <c r="I289" s="902"/>
      <c r="J289" s="114"/>
      <c r="K289" s="908"/>
      <c r="L289" s="114"/>
      <c r="M289" s="135"/>
      <c r="N289" s="135"/>
      <c r="O289" s="114"/>
      <c r="P289" s="114"/>
      <c r="Q289" s="114"/>
    </row>
    <row r="290" spans="1:17">
      <c r="A290" s="140"/>
      <c r="B290" s="114"/>
      <c r="C290" s="114" t="s">
        <v>327</v>
      </c>
      <c r="D290" s="114"/>
      <c r="E290" s="140"/>
      <c r="F290" s="140"/>
      <c r="G290" s="902"/>
      <c r="H290" s="114"/>
      <c r="I290" s="907"/>
      <c r="J290" s="114"/>
      <c r="K290" s="906"/>
      <c r="L290" s="114"/>
      <c r="M290" s="135"/>
      <c r="N290" s="135"/>
      <c r="O290" s="135"/>
      <c r="P290" s="135"/>
      <c r="Q290" s="135"/>
    </row>
    <row r="291" spans="1:17">
      <c r="A291" s="140">
        <f>A288+1</f>
        <v>157</v>
      </c>
      <c r="B291" s="114"/>
      <c r="C291" s="876" t="s">
        <v>581</v>
      </c>
      <c r="D291" s="114"/>
      <c r="E291" s="140" t="s">
        <v>582</v>
      </c>
      <c r="F291" s="140"/>
      <c r="G291" s="903">
        <v>18.835000000000001</v>
      </c>
      <c r="H291" s="114"/>
      <c r="I291" s="903">
        <v>19.050487209650669</v>
      </c>
      <c r="J291" s="903"/>
      <c r="K291" s="916">
        <f>I291-G291</f>
        <v>0.21548720965066792</v>
      </c>
      <c r="L291" s="114"/>
      <c r="M291" s="135">
        <v>47168</v>
      </c>
      <c r="N291" s="135"/>
      <c r="O291" s="135">
        <f>K291*M291/1000</f>
        <v>10.164100704802705</v>
      </c>
      <c r="P291" s="135"/>
      <c r="Q291" s="135">
        <f>O291</f>
        <v>10.164100704802705</v>
      </c>
    </row>
    <row r="292" spans="1:17">
      <c r="A292" s="140">
        <f>A291+1</f>
        <v>158</v>
      </c>
      <c r="B292" s="114"/>
      <c r="C292" s="876" t="s">
        <v>583</v>
      </c>
      <c r="D292" s="114"/>
      <c r="E292" s="140" t="s">
        <v>584</v>
      </c>
      <c r="F292" s="140"/>
      <c r="G292" s="903">
        <v>0.24</v>
      </c>
      <c r="H292" s="114"/>
      <c r="I292" s="903">
        <v>0.2456690916945328</v>
      </c>
      <c r="J292" s="903"/>
      <c r="K292" s="916">
        <f>I292-G292</f>
        <v>5.6690916945328074E-3</v>
      </c>
      <c r="L292" s="114"/>
      <c r="M292" s="923">
        <v>264023</v>
      </c>
      <c r="N292" s="135"/>
      <c r="O292" s="923">
        <f>K292*M292/1000</f>
        <v>1.4967705964656355</v>
      </c>
      <c r="P292" s="135"/>
      <c r="Q292" s="135">
        <f>O292</f>
        <v>1.4967705964656355</v>
      </c>
    </row>
    <row r="293" spans="1:17">
      <c r="A293" s="140">
        <f>A292+1</f>
        <v>159</v>
      </c>
      <c r="B293" s="114"/>
      <c r="C293" s="114" t="s">
        <v>327</v>
      </c>
      <c r="D293" s="114"/>
      <c r="E293" s="140"/>
      <c r="F293" s="140"/>
      <c r="G293" s="902"/>
      <c r="H293" s="114"/>
      <c r="I293" s="902"/>
      <c r="J293" s="114"/>
      <c r="K293" s="908"/>
      <c r="L293" s="114"/>
      <c r="M293" s="135">
        <f>SUM(M291:M292)</f>
        <v>311191</v>
      </c>
      <c r="N293" s="135"/>
      <c r="O293" s="135">
        <f>SUM(O291:O292)</f>
        <v>11.66087130126834</v>
      </c>
      <c r="P293" s="135"/>
      <c r="Q293" s="135"/>
    </row>
    <row r="294" spans="1:17">
      <c r="A294" s="140"/>
      <c r="B294" s="114"/>
      <c r="C294" s="114"/>
      <c r="D294" s="114"/>
      <c r="E294" s="140"/>
      <c r="F294" s="140"/>
      <c r="G294" s="902"/>
      <c r="H294" s="114"/>
      <c r="I294" s="877"/>
      <c r="J294" s="114"/>
      <c r="K294" s="906"/>
      <c r="L294" s="114"/>
      <c r="M294" s="135"/>
      <c r="N294" s="135"/>
      <c r="O294" s="135"/>
      <c r="P294" s="135"/>
      <c r="Q294" s="135"/>
    </row>
    <row r="295" spans="1:17">
      <c r="A295" s="140">
        <f>A293+1</f>
        <v>160</v>
      </c>
      <c r="B295" s="114"/>
      <c r="C295" s="429" t="s">
        <v>568</v>
      </c>
      <c r="D295" s="114"/>
      <c r="E295" s="140" t="s">
        <v>525</v>
      </c>
      <c r="F295" s="140"/>
      <c r="G295" s="902">
        <v>17.706099999999999</v>
      </c>
      <c r="H295" s="114"/>
      <c r="I295" s="902">
        <v>17.711797322243488</v>
      </c>
      <c r="J295" s="114"/>
      <c r="K295" s="906">
        <f>I295-G295</f>
        <v>5.6973222434884008E-3</v>
      </c>
      <c r="L295" s="114"/>
      <c r="M295" s="135">
        <v>1867.4519</v>
      </c>
      <c r="N295" s="135"/>
      <c r="O295" s="135">
        <f>K295*M295/1000</f>
        <v>1.0639475248514677E-2</v>
      </c>
      <c r="P295" s="135"/>
      <c r="Q295" s="135">
        <f>O295</f>
        <v>1.0639475248514677E-2</v>
      </c>
    </row>
    <row r="296" spans="1:17">
      <c r="A296" s="140">
        <f>A295+1</f>
        <v>161</v>
      </c>
      <c r="B296" s="114"/>
      <c r="C296" s="429" t="s">
        <v>569</v>
      </c>
      <c r="D296" s="114"/>
      <c r="E296" s="140" t="s">
        <v>525</v>
      </c>
      <c r="F296" s="140"/>
      <c r="G296" s="902">
        <v>20.172700000000003</v>
      </c>
      <c r="H296" s="114"/>
      <c r="I296" s="902">
        <v>20.178397322243491</v>
      </c>
      <c r="J296" s="114"/>
      <c r="K296" s="906">
        <f>I296-G296</f>
        <v>5.6973222434884008E-3</v>
      </c>
      <c r="L296" s="114"/>
      <c r="M296" s="923">
        <v>2168.2229000000002</v>
      </c>
      <c r="N296" s="135"/>
      <c r="O296" s="923">
        <f>K296*M296/1000</f>
        <v>1.2353064557010927E-2</v>
      </c>
      <c r="P296" s="135"/>
      <c r="Q296" s="135">
        <f>O296</f>
        <v>1.2353064557010927E-2</v>
      </c>
    </row>
    <row r="297" spans="1:17">
      <c r="A297" s="140">
        <f>A296+1</f>
        <v>162</v>
      </c>
      <c r="B297" s="114"/>
      <c r="C297" s="114" t="s">
        <v>270</v>
      </c>
      <c r="D297" s="114"/>
      <c r="E297" s="140"/>
      <c r="F297" s="140"/>
      <c r="G297" s="902"/>
      <c r="H297" s="114"/>
      <c r="I297" s="902"/>
      <c r="J297" s="114"/>
      <c r="K297" s="908"/>
      <c r="L297" s="114"/>
      <c r="M297" s="135">
        <f>SUM(M295:M296)</f>
        <v>4035.6748000000002</v>
      </c>
      <c r="N297" s="135"/>
      <c r="O297" s="135">
        <f>SUM(O295:O296)</f>
        <v>2.2992539805525604E-2</v>
      </c>
      <c r="P297" s="135"/>
      <c r="Q297" s="135"/>
    </row>
    <row r="298" spans="1:17">
      <c r="A298" s="140"/>
      <c r="B298" s="114"/>
      <c r="C298" s="876"/>
      <c r="D298" s="114"/>
      <c r="E298" s="114"/>
      <c r="F298" s="114"/>
      <c r="G298" s="903"/>
      <c r="H298" s="114"/>
      <c r="I298" s="907"/>
      <c r="J298" s="114"/>
      <c r="K298" s="906"/>
      <c r="L298" s="114"/>
      <c r="M298" s="135"/>
      <c r="N298" s="135"/>
      <c r="O298" s="135"/>
      <c r="P298" s="135"/>
      <c r="Q298" s="135"/>
    </row>
    <row r="299" spans="1:17" ht="12.95" thickBot="1">
      <c r="A299" s="140">
        <f>A297+1</f>
        <v>163</v>
      </c>
      <c r="B299" s="114"/>
      <c r="C299" s="114" t="s">
        <v>1176</v>
      </c>
      <c r="D299" s="114"/>
      <c r="E299" s="140"/>
      <c r="F299" s="140"/>
      <c r="G299" s="902"/>
      <c r="H299" s="114"/>
      <c r="I299" s="902"/>
      <c r="J299" s="114"/>
      <c r="K299" s="908"/>
      <c r="L299" s="114"/>
      <c r="M299" s="135"/>
      <c r="N299" s="135"/>
      <c r="O299" s="905">
        <f>O262+O264+O265+O268+O269+O272+O274+O277+O278+O282+O283+O286+O287+O291+O292+O295+O296</f>
        <v>24.857550649922189</v>
      </c>
      <c r="P299" s="135"/>
      <c r="Q299" s="905">
        <f>SUM(Q262:Q296)</f>
        <v>24.857550649922189</v>
      </c>
    </row>
    <row r="300" spans="1:17" ht="12.95" thickTop="1">
      <c r="A300" s="140"/>
      <c r="B300" s="114"/>
      <c r="C300" s="114"/>
      <c r="D300" s="114"/>
      <c r="E300" s="140"/>
      <c r="F300" s="140"/>
      <c r="G300" s="114"/>
      <c r="H300" s="114"/>
      <c r="I300" s="114"/>
      <c r="J300" s="114"/>
      <c r="K300" s="906"/>
      <c r="L300" s="114"/>
      <c r="M300" s="135"/>
      <c r="N300" s="135"/>
      <c r="O300" s="135"/>
      <c r="P300" s="135"/>
      <c r="Q300" s="135"/>
    </row>
    <row r="301" spans="1:17">
      <c r="A301" s="140"/>
      <c r="B301" s="114"/>
      <c r="C301" s="114"/>
      <c r="D301" s="114"/>
      <c r="E301" s="140"/>
      <c r="F301" s="140"/>
      <c r="G301" s="114"/>
      <c r="H301" s="114"/>
      <c r="I301" s="114"/>
      <c r="J301" s="114"/>
      <c r="K301" s="906"/>
      <c r="L301" s="114"/>
      <c r="M301" s="135"/>
      <c r="N301" s="135"/>
      <c r="O301" s="135"/>
      <c r="P301" s="135"/>
      <c r="Q301" s="135"/>
    </row>
    <row r="302" spans="1:17">
      <c r="A302" s="140"/>
      <c r="B302" s="114"/>
      <c r="C302" s="114"/>
      <c r="D302" s="114"/>
      <c r="E302" s="140"/>
      <c r="F302" s="140"/>
      <c r="G302" s="114"/>
      <c r="H302" s="114"/>
      <c r="I302" s="114"/>
      <c r="J302" s="114"/>
      <c r="K302" s="906"/>
      <c r="L302" s="114"/>
      <c r="M302" s="135"/>
      <c r="N302" s="135"/>
      <c r="O302" s="135"/>
      <c r="P302" s="135"/>
      <c r="Q302" s="135"/>
    </row>
    <row r="303" spans="1:17">
      <c r="A303" s="140"/>
      <c r="B303" s="114"/>
      <c r="C303" s="114"/>
      <c r="D303" s="114"/>
      <c r="E303" s="140"/>
      <c r="F303" s="140"/>
      <c r="G303" s="114"/>
      <c r="H303" s="114"/>
      <c r="I303" s="114"/>
      <c r="J303" s="114"/>
      <c r="K303" s="906"/>
      <c r="L303" s="114"/>
      <c r="M303" s="135"/>
      <c r="N303" s="135"/>
      <c r="O303" s="135"/>
      <c r="P303" s="135"/>
      <c r="Q303" s="135"/>
    </row>
    <row r="304" spans="1:17">
      <c r="A304" s="140"/>
      <c r="B304" s="114"/>
      <c r="C304" s="114"/>
      <c r="D304" s="114"/>
      <c r="E304" s="140"/>
      <c r="F304" s="140"/>
      <c r="G304" s="114"/>
      <c r="H304" s="114"/>
      <c r="I304" s="114"/>
      <c r="J304" s="114"/>
      <c r="K304" s="906"/>
      <c r="L304" s="114"/>
      <c r="M304" s="135"/>
      <c r="N304" s="135"/>
      <c r="O304" s="135"/>
      <c r="P304" s="135"/>
      <c r="Q304" s="135"/>
    </row>
    <row r="305" spans="1:17">
      <c r="A305" s="1187" t="s">
        <v>1138</v>
      </c>
      <c r="B305" s="1188"/>
      <c r="C305" s="1188"/>
      <c r="D305" s="1188"/>
      <c r="E305" s="1188"/>
      <c r="F305" s="1188"/>
      <c r="G305" s="1188"/>
      <c r="H305" s="1188"/>
      <c r="I305" s="1188"/>
      <c r="J305" s="1188"/>
      <c r="K305" s="1188"/>
      <c r="L305" s="1188"/>
      <c r="M305" s="1188"/>
      <c r="N305" s="1188"/>
      <c r="O305" s="1188"/>
      <c r="P305" s="1188"/>
      <c r="Q305" s="1188"/>
    </row>
    <row r="306" spans="1:17">
      <c r="A306" s="1187" t="s">
        <v>1157</v>
      </c>
      <c r="B306" s="1187"/>
      <c r="C306" s="1187"/>
      <c r="D306" s="1187"/>
      <c r="E306" s="1187"/>
      <c r="F306" s="1187"/>
      <c r="G306" s="1187"/>
      <c r="H306" s="1187"/>
      <c r="I306" s="1187"/>
      <c r="J306" s="1187"/>
      <c r="K306" s="1187"/>
      <c r="L306" s="1187"/>
      <c r="M306" s="1187"/>
      <c r="N306" s="1187"/>
      <c r="O306" s="1187"/>
      <c r="P306" s="1187"/>
      <c r="Q306" s="1187"/>
    </row>
    <row r="307" spans="1:17">
      <c r="A307" s="140"/>
      <c r="B307" s="114"/>
      <c r="C307" s="114"/>
      <c r="D307" s="114"/>
      <c r="E307" s="114"/>
      <c r="F307" s="114"/>
      <c r="G307" s="114"/>
      <c r="H307" s="114"/>
      <c r="I307" s="114"/>
      <c r="J307" s="114"/>
      <c r="K307" s="114"/>
      <c r="L307" s="114"/>
      <c r="M307" s="114"/>
      <c r="N307" s="114"/>
      <c r="O307" s="114"/>
      <c r="P307" s="114"/>
      <c r="Q307" s="114"/>
    </row>
    <row r="308" spans="1:17">
      <c r="A308" s="140"/>
      <c r="B308" s="114"/>
      <c r="C308" s="114"/>
      <c r="D308" s="114"/>
      <c r="E308" s="114"/>
      <c r="F308" s="114"/>
      <c r="G308" s="114"/>
      <c r="H308" s="114"/>
      <c r="I308" s="114"/>
      <c r="J308" s="114"/>
      <c r="K308" s="114"/>
      <c r="L308" s="114"/>
      <c r="M308" s="114"/>
      <c r="N308" s="114"/>
      <c r="O308" s="114"/>
      <c r="P308" s="114"/>
      <c r="Q308" s="114"/>
    </row>
    <row r="309" spans="1:17">
      <c r="A309" s="140" t="s">
        <v>56</v>
      </c>
      <c r="B309" s="114"/>
      <c r="C309" s="114"/>
      <c r="D309" s="114"/>
      <c r="E309" s="114"/>
      <c r="F309" s="114"/>
      <c r="G309" s="140" t="s">
        <v>1144</v>
      </c>
      <c r="H309" s="114"/>
      <c r="I309" s="140" t="s">
        <v>102</v>
      </c>
      <c r="J309" s="114"/>
      <c r="K309" s="140" t="s">
        <v>1145</v>
      </c>
      <c r="L309" s="114"/>
      <c r="M309" s="140" t="s">
        <v>1146</v>
      </c>
      <c r="N309" s="114"/>
      <c r="O309" s="140" t="s">
        <v>1147</v>
      </c>
      <c r="P309" s="114"/>
      <c r="Q309" s="140" t="s">
        <v>1148</v>
      </c>
    </row>
    <row r="310" spans="1:17">
      <c r="A310" s="199" t="s">
        <v>57</v>
      </c>
      <c r="B310" s="114"/>
      <c r="C310" s="433" t="s">
        <v>194</v>
      </c>
      <c r="D310" s="114"/>
      <c r="E310" s="199" t="s">
        <v>245</v>
      </c>
      <c r="F310" s="140"/>
      <c r="G310" s="199" t="s">
        <v>235</v>
      </c>
      <c r="H310" s="114"/>
      <c r="I310" s="199" t="s">
        <v>1149</v>
      </c>
      <c r="J310" s="114"/>
      <c r="K310" s="199" t="s">
        <v>1147</v>
      </c>
      <c r="L310" s="114"/>
      <c r="M310" s="199" t="s">
        <v>1150</v>
      </c>
      <c r="N310" s="114"/>
      <c r="O310" s="199" t="s">
        <v>248</v>
      </c>
      <c r="P310" s="114"/>
      <c r="Q310" s="199" t="s">
        <v>248</v>
      </c>
    </row>
    <row r="311" spans="1:17">
      <c r="A311" s="140"/>
      <c r="B311" s="114"/>
      <c r="C311" s="114"/>
      <c r="D311" s="114"/>
      <c r="E311" s="114"/>
      <c r="F311" s="114"/>
      <c r="G311" s="202" t="s">
        <v>9</v>
      </c>
      <c r="H311" s="140"/>
      <c r="I311" s="202" t="s">
        <v>10</v>
      </c>
      <c r="J311" s="140"/>
      <c r="K311" s="202" t="s">
        <v>846</v>
      </c>
      <c r="L311" s="114"/>
      <c r="M311" s="202" t="s">
        <v>12</v>
      </c>
      <c r="N311" s="114"/>
      <c r="O311" s="202" t="s">
        <v>1151</v>
      </c>
      <c r="P311" s="114"/>
      <c r="Q311" s="140" t="s">
        <v>115</v>
      </c>
    </row>
    <row r="312" spans="1:17">
      <c r="A312" s="140"/>
      <c r="B312" s="114"/>
      <c r="C312" s="114"/>
      <c r="D312" s="114"/>
      <c r="E312" s="140"/>
      <c r="F312" s="140"/>
      <c r="G312" s="114"/>
      <c r="H312" s="114"/>
      <c r="I312" s="114"/>
      <c r="J312" s="114"/>
      <c r="K312" s="906"/>
      <c r="L312" s="114"/>
      <c r="M312" s="135"/>
      <c r="N312" s="135"/>
      <c r="O312" s="135"/>
      <c r="P312" s="135"/>
      <c r="Q312" s="135"/>
    </row>
    <row r="313" spans="1:17">
      <c r="A313" s="140"/>
      <c r="B313" s="114"/>
      <c r="C313" s="875" t="s">
        <v>1177</v>
      </c>
      <c r="D313" s="114"/>
      <c r="E313" s="140"/>
      <c r="F313" s="140"/>
      <c r="G313" s="926"/>
      <c r="H313" s="114"/>
      <c r="I313" s="925"/>
      <c r="J313" s="114"/>
      <c r="K313" s="906"/>
      <c r="L313" s="114"/>
      <c r="M313" s="135"/>
      <c r="N313" s="135"/>
      <c r="O313" s="135"/>
      <c r="P313" s="135"/>
      <c r="Q313" s="135"/>
    </row>
    <row r="314" spans="1:17">
      <c r="A314" s="140">
        <f>A299+1</f>
        <v>164</v>
      </c>
      <c r="B314" s="114"/>
      <c r="C314" s="114" t="s">
        <v>258</v>
      </c>
      <c r="D314" s="114"/>
      <c r="E314" s="140" t="s">
        <v>523</v>
      </c>
      <c r="F314" s="140"/>
      <c r="G314" s="99">
        <v>368.56</v>
      </c>
      <c r="H314" s="914"/>
      <c r="I314" s="99">
        <v>378.63100760700604</v>
      </c>
      <c r="J314" s="914"/>
      <c r="K314" s="99">
        <f>I314-G314</f>
        <v>10.071007607006038</v>
      </c>
      <c r="L314" s="114"/>
      <c r="M314" s="135">
        <v>288</v>
      </c>
      <c r="N314" s="135"/>
      <c r="O314" s="135">
        <f>K314*M314/1000</f>
        <v>2.9004501908177391</v>
      </c>
      <c r="P314" s="135"/>
      <c r="Q314" s="135"/>
    </row>
    <row r="315" spans="1:17">
      <c r="A315" s="140">
        <f>A314+1</f>
        <v>165</v>
      </c>
      <c r="B315" s="114"/>
      <c r="C315" s="114" t="s">
        <v>333</v>
      </c>
      <c r="D315" s="114"/>
      <c r="E315" s="140" t="s">
        <v>525</v>
      </c>
      <c r="F315" s="140"/>
      <c r="G315" s="902">
        <v>3.2303027215464297</v>
      </c>
      <c r="H315" s="114"/>
      <c r="I315" s="902">
        <v>3.3447470376096833</v>
      </c>
      <c r="J315" s="114"/>
      <c r="K315" s="906">
        <f>I315-G315</f>
        <v>0.11444431606325356</v>
      </c>
      <c r="L315" s="114"/>
      <c r="M315" s="135">
        <v>33335.395989999997</v>
      </c>
      <c r="N315" s="135"/>
      <c r="O315" s="135">
        <f>K315*M315/1000</f>
        <v>3.8150465947732752</v>
      </c>
      <c r="P315" s="135"/>
      <c r="Q315" s="135">
        <f>O315+O314</f>
        <v>6.7154967855910144</v>
      </c>
    </row>
    <row r="316" spans="1:17">
      <c r="A316" s="140"/>
      <c r="B316" s="114"/>
      <c r="C316" s="114"/>
      <c r="D316" s="114"/>
      <c r="E316" s="140"/>
      <c r="F316" s="140"/>
      <c r="G316" s="902"/>
      <c r="H316" s="114"/>
      <c r="I316" s="877"/>
      <c r="J316" s="114"/>
      <c r="K316" s="906"/>
      <c r="L316" s="114"/>
      <c r="M316" s="135"/>
      <c r="N316" s="135"/>
      <c r="O316" s="135"/>
      <c r="P316" s="135"/>
      <c r="Q316" s="135"/>
    </row>
    <row r="317" spans="1:17">
      <c r="A317" s="140">
        <f>A315+1</f>
        <v>166</v>
      </c>
      <c r="B317" s="114"/>
      <c r="C317" s="114" t="s">
        <v>1170</v>
      </c>
      <c r="D317" s="114"/>
      <c r="E317" s="140" t="s">
        <v>525</v>
      </c>
      <c r="F317" s="140"/>
      <c r="G317" s="902">
        <v>3.4721432355431703</v>
      </c>
      <c r="H317" s="114"/>
      <c r="I317" s="902">
        <v>3.59319591294825</v>
      </c>
      <c r="J317" s="114"/>
      <c r="K317" s="906">
        <f>I317-G317</f>
        <v>0.12105267740507974</v>
      </c>
      <c r="L317" s="114"/>
      <c r="M317" s="135">
        <v>1830.635</v>
      </c>
      <c r="N317" s="135"/>
      <c r="O317" s="135">
        <f>K317*M317/1000</f>
        <v>0.22160326810144815</v>
      </c>
      <c r="P317" s="135"/>
      <c r="Q317" s="135">
        <f>O317</f>
        <v>0.22160326810144815</v>
      </c>
    </row>
    <row r="318" spans="1:17">
      <c r="A318" s="140"/>
      <c r="B318" s="114"/>
      <c r="C318" s="114"/>
      <c r="D318" s="114"/>
      <c r="E318" s="140"/>
      <c r="F318" s="140"/>
      <c r="G318" s="902"/>
      <c r="H318" s="114"/>
      <c r="I318" s="877"/>
      <c r="J318" s="114"/>
      <c r="K318" s="906"/>
      <c r="L318" s="114"/>
      <c r="M318" s="135"/>
      <c r="N318" s="135"/>
      <c r="O318" s="135"/>
      <c r="P318" s="135"/>
      <c r="Q318" s="135"/>
    </row>
    <row r="319" spans="1:17">
      <c r="A319" s="140">
        <f>A317+1</f>
        <v>167</v>
      </c>
      <c r="B319" s="114"/>
      <c r="C319" s="114" t="s">
        <v>1171</v>
      </c>
      <c r="D319" s="114"/>
      <c r="E319" s="140" t="s">
        <v>523</v>
      </c>
      <c r="F319" s="140"/>
      <c r="G319" s="99">
        <v>248.07</v>
      </c>
      <c r="H319" s="914"/>
      <c r="I319" s="99">
        <v>254.84858383185909</v>
      </c>
      <c r="J319" s="914"/>
      <c r="K319" s="99">
        <f>I319-G319</f>
        <v>6.7785838318590947</v>
      </c>
      <c r="L319" s="114"/>
      <c r="M319" s="135">
        <v>55.999999999999993</v>
      </c>
      <c r="N319" s="135"/>
      <c r="O319" s="135">
        <f>K319*M319/1000</f>
        <v>0.37960069458410922</v>
      </c>
      <c r="P319" s="135"/>
      <c r="Q319" s="135">
        <f>O319</f>
        <v>0.37960069458410922</v>
      </c>
    </row>
    <row r="320" spans="1:17">
      <c r="A320" s="140"/>
      <c r="B320" s="114"/>
      <c r="C320" s="114"/>
      <c r="D320" s="114"/>
      <c r="E320" s="140"/>
      <c r="F320" s="140"/>
      <c r="G320" s="902"/>
      <c r="H320" s="114"/>
      <c r="I320" s="907"/>
      <c r="J320" s="114"/>
      <c r="K320" s="906"/>
      <c r="L320" s="114"/>
      <c r="M320" s="135"/>
      <c r="N320" s="135"/>
      <c r="O320" s="135"/>
      <c r="P320" s="135"/>
      <c r="Q320" s="135"/>
    </row>
    <row r="321" spans="1:17">
      <c r="A321" s="140">
        <f>A319+1</f>
        <v>168</v>
      </c>
      <c r="B321" s="114"/>
      <c r="C321" s="114" t="s">
        <v>268</v>
      </c>
      <c r="D321" s="114"/>
      <c r="E321" s="140" t="s">
        <v>525</v>
      </c>
      <c r="F321" s="140"/>
      <c r="G321" s="902">
        <v>1.1345000000000001</v>
      </c>
      <c r="H321" s="114"/>
      <c r="I321" s="902">
        <v>1.1281992548299247</v>
      </c>
      <c r="J321" s="114"/>
      <c r="K321" s="906">
        <f>I321-G321</f>
        <v>-6.3007451700753947E-3</v>
      </c>
      <c r="L321" s="114"/>
      <c r="M321" s="135">
        <v>877.16987999999992</v>
      </c>
      <c r="N321" s="135"/>
      <c r="O321" s="135">
        <f>K321*M321/1000</f>
        <v>-5.5268238847456129E-3</v>
      </c>
      <c r="P321" s="135"/>
      <c r="Q321" s="135">
        <f>O321</f>
        <v>-5.5268238847456129E-3</v>
      </c>
    </row>
    <row r="322" spans="1:17">
      <c r="A322" s="140"/>
      <c r="B322" s="114"/>
      <c r="C322" s="114"/>
      <c r="D322" s="114"/>
      <c r="E322" s="140"/>
      <c r="F322" s="140"/>
      <c r="G322" s="902"/>
      <c r="H322" s="114"/>
      <c r="I322" s="877"/>
      <c r="J322" s="114"/>
      <c r="K322" s="906"/>
      <c r="L322" s="114"/>
      <c r="M322" s="135"/>
      <c r="N322" s="135"/>
      <c r="O322" s="135"/>
      <c r="P322" s="135"/>
      <c r="Q322" s="135"/>
    </row>
    <row r="323" spans="1:17">
      <c r="A323" s="140">
        <f>A321+1</f>
        <v>169</v>
      </c>
      <c r="B323" s="114"/>
      <c r="C323" s="429" t="s">
        <v>568</v>
      </c>
      <c r="D323" s="114"/>
      <c r="E323" s="140" t="s">
        <v>525</v>
      </c>
      <c r="F323" s="140"/>
      <c r="G323" s="902">
        <v>21.412978924585243</v>
      </c>
      <c r="H323" s="114"/>
      <c r="I323" s="902">
        <v>21.418676246828731</v>
      </c>
      <c r="J323" s="114"/>
      <c r="K323" s="906">
        <f>I323-G323</f>
        <v>5.6973222434884008E-3</v>
      </c>
      <c r="L323" s="114"/>
      <c r="M323" s="135">
        <v>389.47527000000002</v>
      </c>
      <c r="N323" s="135"/>
      <c r="O323" s="135">
        <f>K323*M323/1000</f>
        <v>2.2189661190596508E-3</v>
      </c>
      <c r="P323" s="135"/>
      <c r="Q323" s="135">
        <f>O323</f>
        <v>2.2189661190596508E-3</v>
      </c>
    </row>
    <row r="324" spans="1:17">
      <c r="A324" s="140">
        <f>A323+1</f>
        <v>170</v>
      </c>
      <c r="B324" s="114"/>
      <c r="C324" s="429" t="s">
        <v>569</v>
      </c>
      <c r="D324" s="114"/>
      <c r="E324" s="140" t="s">
        <v>525</v>
      </c>
      <c r="F324" s="140"/>
      <c r="G324" s="902">
        <v>24.261380223452743</v>
      </c>
      <c r="H324" s="114"/>
      <c r="I324" s="902">
        <v>24.267077545696232</v>
      </c>
      <c r="J324" s="114"/>
      <c r="K324" s="906">
        <f>I324-G324</f>
        <v>5.6973222434884008E-3</v>
      </c>
      <c r="L324" s="114"/>
      <c r="M324" s="923">
        <v>487.69461000000001</v>
      </c>
      <c r="N324" s="135"/>
      <c r="O324" s="923">
        <f>K324*M324/1000</f>
        <v>2.7785533495824008E-3</v>
      </c>
      <c r="P324" s="135"/>
      <c r="Q324" s="135">
        <f>O324</f>
        <v>2.7785533495824008E-3</v>
      </c>
    </row>
    <row r="325" spans="1:17">
      <c r="A325" s="140">
        <f>A324+1</f>
        <v>171</v>
      </c>
      <c r="B325" s="114"/>
      <c r="C325" s="114" t="s">
        <v>270</v>
      </c>
      <c r="D325" s="114"/>
      <c r="E325" s="140" t="s">
        <v>525</v>
      </c>
      <c r="F325" s="140"/>
      <c r="G325" s="902"/>
      <c r="H325" s="114"/>
      <c r="I325" s="902"/>
      <c r="J325" s="114"/>
      <c r="K325" s="908"/>
      <c r="L325" s="114"/>
      <c r="M325" s="135">
        <f>SUM(M323:M324)</f>
        <v>877.16988000000003</v>
      </c>
      <c r="N325" s="135"/>
      <c r="O325" s="135">
        <f>SUM(O323:O324)</f>
        <v>4.9975194686420511E-3</v>
      </c>
      <c r="P325" s="135"/>
      <c r="Q325" s="135"/>
    </row>
    <row r="326" spans="1:17">
      <c r="A326" s="140"/>
      <c r="B326" s="114"/>
      <c r="C326" s="114"/>
      <c r="D326" s="114"/>
      <c r="E326" s="140"/>
      <c r="F326" s="140"/>
      <c r="G326" s="902"/>
      <c r="H326" s="114"/>
      <c r="I326" s="907"/>
      <c r="J326" s="114"/>
      <c r="K326" s="906"/>
      <c r="L326" s="114"/>
      <c r="M326" s="135"/>
      <c r="N326" s="135"/>
      <c r="O326" s="135"/>
      <c r="P326" s="135"/>
      <c r="Q326" s="135"/>
    </row>
    <row r="327" spans="1:17" ht="12.95" thickBot="1">
      <c r="A327" s="140">
        <f>A325+1</f>
        <v>172</v>
      </c>
      <c r="B327" s="114"/>
      <c r="C327" s="114" t="s">
        <v>335</v>
      </c>
      <c r="D327" s="114"/>
      <c r="E327" s="140"/>
      <c r="F327" s="140"/>
      <c r="G327" s="902"/>
      <c r="H327" s="114"/>
      <c r="I327" s="902"/>
      <c r="J327" s="114"/>
      <c r="K327" s="908"/>
      <c r="L327" s="114"/>
      <c r="M327" s="135"/>
      <c r="N327" s="135"/>
      <c r="O327" s="905">
        <f>O314+O315+O317+O319+O321+O323+O324</f>
        <v>7.3161714438604681</v>
      </c>
      <c r="P327" s="135"/>
      <c r="Q327" s="905">
        <f>SUM(Q314:Q324)</f>
        <v>7.3161714438604681</v>
      </c>
    </row>
    <row r="328" spans="1:17" ht="12.95" thickTop="1">
      <c r="A328" s="140"/>
      <c r="B328" s="114"/>
      <c r="C328" s="114"/>
      <c r="D328" s="114"/>
      <c r="E328" s="140"/>
      <c r="F328" s="140"/>
      <c r="G328" s="902"/>
      <c r="H328" s="114"/>
      <c r="I328" s="907"/>
      <c r="J328" s="114"/>
      <c r="K328" s="906"/>
      <c r="L328" s="114"/>
      <c r="M328" s="135"/>
      <c r="N328" s="135"/>
      <c r="O328" s="135"/>
      <c r="P328" s="135"/>
      <c r="Q328" s="135"/>
    </row>
    <row r="329" spans="1:17">
      <c r="A329" s="140"/>
      <c r="B329" s="114"/>
      <c r="C329" s="875" t="s">
        <v>1178</v>
      </c>
      <c r="D329" s="114"/>
      <c r="E329" s="140"/>
      <c r="F329" s="140"/>
      <c r="G329" s="902"/>
      <c r="H329" s="114"/>
      <c r="I329" s="907"/>
      <c r="J329" s="114"/>
      <c r="K329" s="906"/>
      <c r="L329" s="114"/>
      <c r="M329" s="135"/>
      <c r="N329" s="135"/>
      <c r="O329" s="135"/>
      <c r="P329" s="135"/>
      <c r="Q329" s="135"/>
    </row>
    <row r="330" spans="1:17">
      <c r="A330" s="140">
        <f>A327+1</f>
        <v>173</v>
      </c>
      <c r="B330" s="114"/>
      <c r="C330" s="114" t="s">
        <v>258</v>
      </c>
      <c r="D330" s="114"/>
      <c r="E330" s="140" t="s">
        <v>523</v>
      </c>
      <c r="F330" s="140"/>
      <c r="G330" s="99">
        <v>1620.86</v>
      </c>
      <c r="H330" s="914"/>
      <c r="I330" s="99">
        <v>1665.1504639404488</v>
      </c>
      <c r="J330" s="914"/>
      <c r="K330" s="99">
        <f>I330-G330</f>
        <v>44.290463940448944</v>
      </c>
      <c r="L330" s="114"/>
      <c r="M330" s="135">
        <v>48.000000000000007</v>
      </c>
      <c r="N330" s="135"/>
      <c r="O330" s="135">
        <f>K330*M330/1000</f>
        <v>2.1259422691415497</v>
      </c>
      <c r="P330" s="135"/>
      <c r="Q330" s="135"/>
    </row>
    <row r="331" spans="1:17">
      <c r="A331" s="140">
        <f>A330+1</f>
        <v>174</v>
      </c>
      <c r="B331" s="114"/>
      <c r="C331" s="114" t="s">
        <v>280</v>
      </c>
      <c r="D331" s="114"/>
      <c r="E331" s="140" t="s">
        <v>540</v>
      </c>
      <c r="F331" s="140"/>
      <c r="G331" s="902">
        <v>19.945999999999998</v>
      </c>
      <c r="H331" s="114"/>
      <c r="I331" s="902">
        <v>19.885122103222486</v>
      </c>
      <c r="J331" s="114"/>
      <c r="K331" s="906">
        <f>I331-G331</f>
        <v>-6.0877896777512319E-2</v>
      </c>
      <c r="L331" s="114"/>
      <c r="M331" s="135">
        <v>14016.68</v>
      </c>
      <c r="N331" s="135"/>
      <c r="O331" s="135">
        <f>K331*M331/1000</f>
        <v>-0.85330599820342135</v>
      </c>
      <c r="P331" s="135"/>
      <c r="Q331" s="135">
        <f>SUM(O330:O331)</f>
        <v>1.2726362709381283</v>
      </c>
    </row>
    <row r="332" spans="1:17">
      <c r="A332" s="140">
        <f>A331+1</f>
        <v>175</v>
      </c>
      <c r="B332" s="114"/>
      <c r="C332" s="114" t="s">
        <v>260</v>
      </c>
      <c r="D332" s="114"/>
      <c r="E332" s="140" t="s">
        <v>525</v>
      </c>
      <c r="F332" s="140"/>
      <c r="G332" s="902">
        <v>0.28710000000000002</v>
      </c>
      <c r="H332" s="114"/>
      <c r="I332" s="902">
        <v>0.28579945893462799</v>
      </c>
      <c r="J332" s="114"/>
      <c r="K332" s="906">
        <f>I332-G332</f>
        <v>-1.3005410653720295E-3</v>
      </c>
      <c r="L332" s="114"/>
      <c r="M332" s="135">
        <v>366344.48666</v>
      </c>
      <c r="N332" s="135"/>
      <c r="O332" s="135">
        <f>K332*M332/1000</f>
        <v>-0.4764460489739657</v>
      </c>
      <c r="P332" s="135"/>
      <c r="Q332" s="135">
        <f>O332</f>
        <v>-0.4764460489739657</v>
      </c>
    </row>
    <row r="333" spans="1:17">
      <c r="A333" s="140"/>
      <c r="B333" s="114"/>
      <c r="C333" s="114"/>
      <c r="D333" s="114"/>
      <c r="E333" s="140"/>
      <c r="F333" s="140"/>
      <c r="G333" s="902"/>
      <c r="H333" s="114"/>
      <c r="I333" s="907"/>
      <c r="J333" s="114"/>
      <c r="K333" s="906"/>
      <c r="L333" s="114"/>
      <c r="M333" s="135"/>
      <c r="N333" s="135"/>
      <c r="O333" s="135"/>
      <c r="P333" s="135"/>
      <c r="Q333" s="135"/>
    </row>
    <row r="334" spans="1:17">
      <c r="A334" s="140">
        <f>A332+1</f>
        <v>176</v>
      </c>
      <c r="B334" s="114"/>
      <c r="C334" s="114" t="s">
        <v>1170</v>
      </c>
      <c r="D334" s="114"/>
      <c r="E334" s="140" t="s">
        <v>525</v>
      </c>
      <c r="F334" s="140"/>
      <c r="G334" s="902">
        <v>0.28710000000000002</v>
      </c>
      <c r="H334" s="114"/>
      <c r="I334" s="902">
        <v>0.28586983200382732</v>
      </c>
      <c r="J334" s="114"/>
      <c r="K334" s="906">
        <f>I334-G334</f>
        <v>-1.2301679961727041E-3</v>
      </c>
      <c r="L334" s="114"/>
      <c r="M334" s="135">
        <v>0</v>
      </c>
      <c r="N334" s="135"/>
      <c r="O334" s="135">
        <f>K334*M334/1000</f>
        <v>0</v>
      </c>
      <c r="P334" s="135"/>
      <c r="Q334" s="921">
        <f>O334</f>
        <v>0</v>
      </c>
    </row>
    <row r="335" spans="1:17">
      <c r="A335" s="140"/>
      <c r="B335" s="114"/>
      <c r="C335" s="114"/>
      <c r="D335" s="114"/>
      <c r="E335" s="140"/>
      <c r="F335" s="140"/>
      <c r="G335" s="902"/>
      <c r="H335" s="114"/>
      <c r="I335" s="877"/>
      <c r="J335" s="114"/>
      <c r="K335" s="906"/>
      <c r="L335" s="114"/>
      <c r="M335" s="135"/>
      <c r="N335" s="135"/>
      <c r="O335" s="135"/>
      <c r="P335" s="135"/>
      <c r="Q335" s="135"/>
    </row>
    <row r="336" spans="1:17">
      <c r="A336" s="140">
        <f>A334+1</f>
        <v>177</v>
      </c>
      <c r="B336" s="114"/>
      <c r="C336" s="114" t="s">
        <v>1171</v>
      </c>
      <c r="D336" s="114"/>
      <c r="E336" s="140" t="s">
        <v>523</v>
      </c>
      <c r="F336" s="140"/>
      <c r="G336" s="99">
        <v>248.07</v>
      </c>
      <c r="H336" s="914"/>
      <c r="I336" s="99">
        <v>254.84858383185909</v>
      </c>
      <c r="J336" s="914"/>
      <c r="K336" s="99">
        <f>I336-G336</f>
        <v>6.7785838318590947</v>
      </c>
      <c r="L336" s="114"/>
      <c r="M336" s="135">
        <v>47.999999999999993</v>
      </c>
      <c r="N336" s="135"/>
      <c r="O336" s="135">
        <f>K336*M336/1000</f>
        <v>0.32537202392923648</v>
      </c>
      <c r="P336" s="135"/>
      <c r="Q336" s="921">
        <f>O336</f>
        <v>0.32537202392923648</v>
      </c>
    </row>
    <row r="337" spans="1:17">
      <c r="A337" s="140"/>
      <c r="B337" s="114"/>
      <c r="C337" s="876"/>
      <c r="D337" s="114"/>
      <c r="E337" s="140"/>
      <c r="F337" s="140"/>
      <c r="G337" s="903"/>
      <c r="H337" s="114"/>
      <c r="I337" s="907"/>
      <c r="J337" s="114"/>
      <c r="K337" s="906"/>
      <c r="L337" s="114"/>
      <c r="M337" s="135"/>
      <c r="N337" s="135"/>
      <c r="O337" s="135"/>
      <c r="P337" s="135"/>
      <c r="Q337" s="135"/>
    </row>
    <row r="338" spans="1:17">
      <c r="A338" s="140"/>
      <c r="B338" s="114"/>
      <c r="C338" s="114" t="s">
        <v>323</v>
      </c>
      <c r="D338" s="114"/>
      <c r="E338" s="140"/>
      <c r="F338" s="140"/>
      <c r="G338" s="902"/>
      <c r="H338" s="114"/>
      <c r="I338" s="907"/>
      <c r="J338" s="114"/>
      <c r="K338" s="906"/>
      <c r="L338" s="114"/>
      <c r="M338" s="135"/>
      <c r="N338" s="135"/>
      <c r="O338" s="135"/>
      <c r="P338" s="135"/>
      <c r="Q338" s="135"/>
    </row>
    <row r="339" spans="1:17">
      <c r="A339" s="140">
        <f>A336+1</f>
        <v>178</v>
      </c>
      <c r="B339" s="114"/>
      <c r="C339" s="876" t="s">
        <v>306</v>
      </c>
      <c r="D339" s="114"/>
      <c r="E339" s="140" t="s">
        <v>540</v>
      </c>
      <c r="F339" s="140"/>
      <c r="G339" s="902">
        <v>75.2744</v>
      </c>
      <c r="H339" s="114"/>
      <c r="I339" s="902">
        <v>75.548019024234847</v>
      </c>
      <c r="J339" s="114"/>
      <c r="K339" s="906">
        <f>I339-G339</f>
        <v>0.27361902423484707</v>
      </c>
      <c r="L339" s="114"/>
      <c r="M339" s="135">
        <v>0</v>
      </c>
      <c r="N339" s="135"/>
      <c r="O339" s="135">
        <f>K339*M339/1000</f>
        <v>0</v>
      </c>
      <c r="P339" s="135"/>
      <c r="Q339" s="921">
        <f>O339</f>
        <v>0</v>
      </c>
    </row>
    <row r="340" spans="1:17">
      <c r="A340" s="140">
        <f>A339+1</f>
        <v>179</v>
      </c>
      <c r="B340" s="114"/>
      <c r="C340" s="876" t="s">
        <v>307</v>
      </c>
      <c r="D340" s="114"/>
      <c r="E340" s="140" t="s">
        <v>540</v>
      </c>
      <c r="F340" s="140"/>
      <c r="G340" s="902">
        <v>114.0459</v>
      </c>
      <c r="H340" s="114"/>
      <c r="I340" s="902">
        <v>114.27806109949708</v>
      </c>
      <c r="J340" s="114"/>
      <c r="K340" s="906">
        <f>I340-G340</f>
        <v>0.23216109949707686</v>
      </c>
      <c r="L340" s="114"/>
      <c r="M340" s="135">
        <v>0</v>
      </c>
      <c r="N340" s="135"/>
      <c r="O340" s="135">
        <f>K340*M340/1000</f>
        <v>0</v>
      </c>
      <c r="P340" s="135"/>
      <c r="Q340" s="921">
        <f>O340</f>
        <v>0</v>
      </c>
    </row>
    <row r="341" spans="1:17">
      <c r="A341" s="140"/>
      <c r="B341" s="114"/>
      <c r="C341" s="114"/>
      <c r="D341" s="114"/>
      <c r="E341" s="140"/>
      <c r="F341" s="140"/>
      <c r="G341" s="902"/>
      <c r="H341" s="114"/>
      <c r="I341" s="907"/>
      <c r="J341" s="114"/>
      <c r="K341" s="906"/>
      <c r="L341" s="114"/>
      <c r="M341" s="135"/>
      <c r="N341" s="135"/>
      <c r="O341" s="135"/>
      <c r="P341" s="135"/>
      <c r="Q341" s="135"/>
    </row>
    <row r="342" spans="1:17">
      <c r="A342" s="114"/>
      <c r="B342" s="114"/>
      <c r="C342" s="114" t="s">
        <v>1172</v>
      </c>
      <c r="D342" s="114"/>
      <c r="E342" s="114"/>
      <c r="F342" s="114"/>
      <c r="G342" s="114"/>
      <c r="H342" s="114"/>
      <c r="I342" s="114"/>
      <c r="J342" s="114"/>
      <c r="K342" s="114"/>
      <c r="L342" s="114"/>
      <c r="M342" s="114"/>
      <c r="N342" s="114"/>
      <c r="O342" s="114"/>
      <c r="P342" s="114"/>
      <c r="Q342" s="114"/>
    </row>
    <row r="343" spans="1:17">
      <c r="A343" s="140"/>
      <c r="B343" s="114"/>
      <c r="C343" s="114" t="s">
        <v>1174</v>
      </c>
      <c r="D343" s="114"/>
      <c r="E343" s="140"/>
      <c r="F343" s="140"/>
      <c r="G343" s="902"/>
      <c r="H343" s="114"/>
      <c r="I343" s="907"/>
      <c r="J343" s="114"/>
      <c r="K343" s="906"/>
      <c r="L343" s="114"/>
      <c r="M343" s="135"/>
      <c r="N343" s="135"/>
      <c r="O343" s="135"/>
      <c r="P343" s="135"/>
      <c r="Q343" s="135"/>
    </row>
    <row r="344" spans="1:17">
      <c r="A344" s="140">
        <f>A340+1</f>
        <v>180</v>
      </c>
      <c r="B344" s="114"/>
      <c r="C344" s="876" t="s">
        <v>306</v>
      </c>
      <c r="D344" s="114"/>
      <c r="E344" s="140" t="s">
        <v>525</v>
      </c>
      <c r="F344" s="140"/>
      <c r="G344" s="902">
        <v>4.2342000000000004</v>
      </c>
      <c r="H344" s="114"/>
      <c r="I344" s="902">
        <v>4.2433075180036228</v>
      </c>
      <c r="J344" s="114"/>
      <c r="K344" s="906">
        <f>I344-G344</f>
        <v>9.1075180036224168E-3</v>
      </c>
      <c r="L344" s="114"/>
      <c r="M344" s="135">
        <v>0</v>
      </c>
      <c r="N344" s="135"/>
      <c r="O344" s="135">
        <f>K344*M344/1000</f>
        <v>0</v>
      </c>
      <c r="P344" s="135"/>
      <c r="Q344" s="921">
        <f>O344</f>
        <v>0</v>
      </c>
    </row>
    <row r="345" spans="1:17">
      <c r="A345" s="140">
        <f>A344+1</f>
        <v>181</v>
      </c>
      <c r="B345" s="114"/>
      <c r="C345" s="876" t="s">
        <v>307</v>
      </c>
      <c r="D345" s="114"/>
      <c r="E345" s="140" t="s">
        <v>525</v>
      </c>
      <c r="F345" s="140"/>
      <c r="G345" s="902">
        <v>6.54</v>
      </c>
      <c r="H345" s="114"/>
      <c r="I345" s="902">
        <v>6.5474188152954804</v>
      </c>
      <c r="J345" s="114"/>
      <c r="K345" s="906">
        <f>I345-G345</f>
        <v>7.4188152954803854E-3</v>
      </c>
      <c r="L345" s="114"/>
      <c r="M345" s="135">
        <v>0</v>
      </c>
      <c r="N345" s="135"/>
      <c r="O345" s="135">
        <f>K345*M345/1000</f>
        <v>0</v>
      </c>
      <c r="P345" s="135"/>
      <c r="Q345" s="921">
        <f>O345</f>
        <v>0</v>
      </c>
    </row>
    <row r="346" spans="1:17">
      <c r="A346" s="140"/>
      <c r="B346" s="114"/>
      <c r="C346" s="114" t="s">
        <v>1175</v>
      </c>
      <c r="D346" s="114"/>
      <c r="E346" s="140"/>
      <c r="F346" s="140"/>
      <c r="G346" s="902"/>
      <c r="H346" s="114"/>
      <c r="I346" s="907"/>
      <c r="J346" s="114"/>
      <c r="K346" s="906"/>
      <c r="L346" s="114"/>
      <c r="M346" s="135"/>
      <c r="N346" s="135"/>
      <c r="O346" s="135"/>
      <c r="P346" s="135"/>
      <c r="Q346" s="135"/>
    </row>
    <row r="347" spans="1:17">
      <c r="A347" s="140">
        <f>A345+1</f>
        <v>182</v>
      </c>
      <c r="B347" s="114"/>
      <c r="C347" s="876" t="s">
        <v>306</v>
      </c>
      <c r="D347" s="114"/>
      <c r="E347" s="140" t="s">
        <v>525</v>
      </c>
      <c r="F347" s="140"/>
      <c r="G347" s="902">
        <v>0</v>
      </c>
      <c r="H347" s="114"/>
      <c r="I347" s="902">
        <v>0</v>
      </c>
      <c r="J347" s="114"/>
      <c r="K347" s="906">
        <f>I347-G347</f>
        <v>0</v>
      </c>
      <c r="L347" s="114"/>
      <c r="M347" s="135">
        <v>0</v>
      </c>
      <c r="N347" s="135"/>
      <c r="O347" s="135">
        <f>K347*M347/1000</f>
        <v>0</v>
      </c>
      <c r="P347" s="135"/>
      <c r="Q347" s="921">
        <f>O347</f>
        <v>0</v>
      </c>
    </row>
    <row r="348" spans="1:17">
      <c r="A348" s="140">
        <f>A347+1</f>
        <v>183</v>
      </c>
      <c r="B348" s="114"/>
      <c r="C348" s="876" t="s">
        <v>307</v>
      </c>
      <c r="D348" s="114"/>
      <c r="E348" s="140" t="s">
        <v>525</v>
      </c>
      <c r="F348" s="140"/>
      <c r="G348" s="902">
        <v>0</v>
      </c>
      <c r="H348" s="114"/>
      <c r="I348" s="902">
        <v>0</v>
      </c>
      <c r="J348" s="114"/>
      <c r="K348" s="906">
        <f>I348-G348</f>
        <v>0</v>
      </c>
      <c r="L348" s="114"/>
      <c r="M348" s="135">
        <v>0</v>
      </c>
      <c r="N348" s="135"/>
      <c r="O348" s="135">
        <f>K348*M348/1000</f>
        <v>0</v>
      </c>
      <c r="P348" s="135"/>
      <c r="Q348" s="921">
        <f>O348</f>
        <v>0</v>
      </c>
    </row>
    <row r="349" spans="1:17">
      <c r="A349" s="140"/>
      <c r="B349" s="114"/>
      <c r="C349" s="114"/>
      <c r="D349" s="114"/>
      <c r="E349" s="140"/>
      <c r="F349" s="140"/>
      <c r="G349" s="902"/>
      <c r="H349" s="114"/>
      <c r="I349" s="907"/>
      <c r="J349" s="114"/>
      <c r="K349" s="908"/>
      <c r="L349" s="114"/>
      <c r="M349" s="135"/>
      <c r="N349" s="135"/>
      <c r="O349" s="135"/>
      <c r="P349" s="135"/>
      <c r="Q349" s="135"/>
    </row>
    <row r="350" spans="1:17">
      <c r="A350" s="140"/>
      <c r="B350" s="114"/>
      <c r="C350" s="114" t="s">
        <v>327</v>
      </c>
      <c r="D350" s="114"/>
      <c r="E350" s="140"/>
      <c r="F350" s="140"/>
      <c r="G350" s="902"/>
      <c r="H350" s="114"/>
      <c r="I350" s="907"/>
      <c r="J350" s="114"/>
      <c r="K350" s="906"/>
      <c r="L350" s="114"/>
      <c r="M350" s="135"/>
      <c r="N350" s="135"/>
      <c r="O350" s="135"/>
      <c r="P350" s="135"/>
      <c r="Q350" s="135"/>
    </row>
    <row r="351" spans="1:17">
      <c r="A351" s="140">
        <f>A348+1</f>
        <v>184</v>
      </c>
      <c r="B351" s="114"/>
      <c r="C351" s="876" t="s">
        <v>581</v>
      </c>
      <c r="D351" s="114"/>
      <c r="E351" s="140" t="s">
        <v>582</v>
      </c>
      <c r="F351" s="140"/>
      <c r="G351" s="903">
        <v>18.835000000000001</v>
      </c>
      <c r="H351" s="114"/>
      <c r="I351" s="907">
        <v>19.050487209650669</v>
      </c>
      <c r="J351" s="114"/>
      <c r="K351" s="334">
        <f>I351-G351</f>
        <v>0.21548720965066792</v>
      </c>
      <c r="L351" s="114"/>
      <c r="M351" s="135">
        <v>0</v>
      </c>
      <c r="N351" s="135"/>
      <c r="O351" s="135">
        <f>K351*M351/1000</f>
        <v>0</v>
      </c>
      <c r="P351" s="135"/>
      <c r="Q351" s="921">
        <f>O351</f>
        <v>0</v>
      </c>
    </row>
    <row r="352" spans="1:17">
      <c r="A352" s="140">
        <f>A351+1</f>
        <v>185</v>
      </c>
      <c r="B352" s="114"/>
      <c r="C352" s="876" t="s">
        <v>583</v>
      </c>
      <c r="D352" s="114"/>
      <c r="E352" s="140" t="s">
        <v>584</v>
      </c>
      <c r="F352" s="140"/>
      <c r="G352" s="903">
        <v>0.24</v>
      </c>
      <c r="H352" s="114"/>
      <c r="I352" s="907">
        <v>0.2456690916945328</v>
      </c>
      <c r="J352" s="114"/>
      <c r="K352" s="334">
        <f>I352-G352</f>
        <v>5.6690916945328074E-3</v>
      </c>
      <c r="L352" s="114"/>
      <c r="M352" s="135">
        <v>0</v>
      </c>
      <c r="N352" s="135"/>
      <c r="O352" s="135">
        <f>K352*M352/1000</f>
        <v>0</v>
      </c>
      <c r="P352" s="135"/>
      <c r="Q352" s="921">
        <f>O352</f>
        <v>0</v>
      </c>
    </row>
    <row r="353" spans="1:17">
      <c r="A353" s="140"/>
      <c r="B353" s="114"/>
      <c r="C353" s="876"/>
      <c r="D353" s="114"/>
      <c r="E353" s="140"/>
      <c r="F353" s="140"/>
      <c r="G353" s="903"/>
      <c r="H353" s="114"/>
      <c r="I353" s="907"/>
      <c r="J353" s="114"/>
      <c r="K353" s="906"/>
      <c r="L353" s="114"/>
      <c r="M353" s="135"/>
      <c r="N353" s="135"/>
      <c r="O353" s="135"/>
      <c r="P353" s="135"/>
      <c r="Q353" s="135"/>
    </row>
    <row r="354" spans="1:17" ht="12.95" thickBot="1">
      <c r="A354" s="140">
        <f>A352+1</f>
        <v>186</v>
      </c>
      <c r="B354" s="114"/>
      <c r="C354" s="114" t="s">
        <v>282</v>
      </c>
      <c r="D354" s="114"/>
      <c r="E354" s="140"/>
      <c r="F354" s="140"/>
      <c r="G354" s="902"/>
      <c r="H354" s="114"/>
      <c r="I354" s="902"/>
      <c r="J354" s="114"/>
      <c r="K354" s="908"/>
      <c r="L354" s="114"/>
      <c r="M354" s="135"/>
      <c r="N354" s="135"/>
      <c r="O354" s="905">
        <f>O330+O331+O332+O334+O336+O339+O340+O344+O345+O347+O348+O351+O352</f>
        <v>1.1215622458933989</v>
      </c>
      <c r="P354" s="135"/>
      <c r="Q354" s="905">
        <f>SUM(Q330:Q352)</f>
        <v>1.1215622458933989</v>
      </c>
    </row>
    <row r="355" spans="1:17" ht="12.95" thickTop="1">
      <c r="A355" s="140"/>
      <c r="B355" s="114"/>
      <c r="C355" s="114"/>
      <c r="D355" s="114"/>
      <c r="E355" s="140"/>
      <c r="F355" s="140"/>
      <c r="G355" s="114"/>
      <c r="H355" s="114"/>
      <c r="I355" s="114"/>
      <c r="J355" s="114"/>
      <c r="K355" s="906"/>
      <c r="L355" s="114"/>
      <c r="M355" s="135"/>
      <c r="N355" s="135"/>
      <c r="O355" s="135"/>
      <c r="P355" s="135"/>
      <c r="Q355" s="135"/>
    </row>
    <row r="356" spans="1:17">
      <c r="A356" s="140"/>
      <c r="B356" s="114"/>
      <c r="C356" s="875" t="s">
        <v>1179</v>
      </c>
      <c r="D356" s="114"/>
      <c r="E356" s="140"/>
      <c r="F356" s="140"/>
      <c r="G356" s="114"/>
      <c r="H356" s="114"/>
      <c r="I356" s="114"/>
      <c r="J356" s="114"/>
      <c r="K356" s="906"/>
      <c r="L356" s="114"/>
      <c r="M356" s="135"/>
      <c r="N356" s="135"/>
      <c r="O356" s="135"/>
      <c r="P356" s="135"/>
      <c r="Q356" s="135"/>
    </row>
    <row r="357" spans="1:17">
      <c r="A357" s="140">
        <f>A354+1</f>
        <v>187</v>
      </c>
      <c r="B357" s="114"/>
      <c r="C357" s="114" t="s">
        <v>258</v>
      </c>
      <c r="D357" s="114"/>
      <c r="E357" s="140" t="s">
        <v>523</v>
      </c>
      <c r="F357" s="140"/>
      <c r="G357" s="99">
        <v>22.98</v>
      </c>
      <c r="H357" s="914"/>
      <c r="I357" s="99">
        <v>25.86030083293284</v>
      </c>
      <c r="J357" s="914"/>
      <c r="K357" s="99">
        <f>I357-G357</f>
        <v>2.8803008329328392</v>
      </c>
      <c r="L357" s="114"/>
      <c r="M357" s="135">
        <v>4806684</v>
      </c>
      <c r="N357" s="135"/>
      <c r="O357" s="135">
        <f>K357*M357/1000</f>
        <v>13844.695928844951</v>
      </c>
      <c r="P357" s="135"/>
      <c r="Q357" s="135"/>
    </row>
    <row r="358" spans="1:17">
      <c r="A358" s="140"/>
      <c r="B358" s="114"/>
      <c r="C358" s="114" t="s">
        <v>260</v>
      </c>
      <c r="D358" s="114"/>
      <c r="E358" s="140"/>
      <c r="F358" s="140"/>
      <c r="G358" s="114"/>
      <c r="H358" s="114"/>
      <c r="I358" s="907"/>
      <c r="J358" s="114"/>
      <c r="K358" s="906"/>
      <c r="L358" s="114"/>
      <c r="M358" s="135"/>
      <c r="N358" s="135"/>
      <c r="O358" s="135"/>
      <c r="P358" s="135"/>
      <c r="Q358" s="135"/>
    </row>
    <row r="359" spans="1:17">
      <c r="A359" s="140">
        <f>A357+1</f>
        <v>188</v>
      </c>
      <c r="B359" s="114"/>
      <c r="C359" s="876" t="s">
        <v>1180</v>
      </c>
      <c r="D359" s="114"/>
      <c r="E359" s="140" t="s">
        <v>525</v>
      </c>
      <c r="F359" s="140"/>
      <c r="G359" s="902">
        <v>6.5343999999999998</v>
      </c>
      <c r="H359" s="114"/>
      <c r="I359" s="902">
        <v>5.9103880348342681</v>
      </c>
      <c r="J359" s="114"/>
      <c r="K359" s="906">
        <f>I359-G359</f>
        <v>-0.62401196516573165</v>
      </c>
      <c r="L359" s="114"/>
      <c r="M359" s="135">
        <v>456709.25795298925</v>
      </c>
      <c r="N359" s="135"/>
      <c r="O359" s="135">
        <f>K359*M359/1000</f>
        <v>-284.99204156462793</v>
      </c>
      <c r="P359" s="135"/>
      <c r="Q359" s="135"/>
    </row>
    <row r="360" spans="1:17">
      <c r="A360" s="140">
        <f>A359+1</f>
        <v>189</v>
      </c>
      <c r="B360" s="114"/>
      <c r="C360" s="876" t="s">
        <v>1181</v>
      </c>
      <c r="D360" s="114"/>
      <c r="E360" s="140" t="s">
        <v>525</v>
      </c>
      <c r="F360" s="140"/>
      <c r="G360" s="902">
        <v>6.2202999999999999</v>
      </c>
      <c r="H360" s="114"/>
      <c r="I360" s="902">
        <v>5.6383522989586021</v>
      </c>
      <c r="J360" s="114"/>
      <c r="K360" s="906">
        <f>I360-G360</f>
        <v>-0.58194770104139781</v>
      </c>
      <c r="L360" s="114"/>
      <c r="M360" s="135">
        <v>559862.29491743655</v>
      </c>
      <c r="N360" s="135"/>
      <c r="O360" s="135">
        <f>K360*M360/1000</f>
        <v>-325.81057542696328</v>
      </c>
      <c r="P360" s="135"/>
      <c r="Q360" s="135"/>
    </row>
    <row r="361" spans="1:17">
      <c r="A361" s="140">
        <f>A360+1</f>
        <v>190</v>
      </c>
      <c r="B361" s="114"/>
      <c r="C361" s="876" t="s">
        <v>1182</v>
      </c>
      <c r="D361" s="114"/>
      <c r="E361" s="140" t="s">
        <v>525</v>
      </c>
      <c r="F361" s="140"/>
      <c r="G361" s="902">
        <v>5.4088000000000003</v>
      </c>
      <c r="H361" s="114"/>
      <c r="I361" s="902">
        <v>4.9355590704369181</v>
      </c>
      <c r="J361" s="114"/>
      <c r="K361" s="906">
        <f>I361-G361</f>
        <v>-0.47324092956308217</v>
      </c>
      <c r="L361" s="114"/>
      <c r="M361" s="135">
        <v>804072.99062450672</v>
      </c>
      <c r="N361" s="135"/>
      <c r="O361" s="135">
        <f>K361*M361/1000</f>
        <v>-380.52024951970901</v>
      </c>
      <c r="P361" s="135"/>
      <c r="Q361" s="135"/>
    </row>
    <row r="362" spans="1:17">
      <c r="A362" s="140">
        <f>A361+1</f>
        <v>191</v>
      </c>
      <c r="B362" s="114"/>
      <c r="C362" s="114" t="s">
        <v>260</v>
      </c>
      <c r="D362" s="114"/>
      <c r="E362" s="140"/>
      <c r="F362" s="140"/>
      <c r="G362" s="902"/>
      <c r="H362" s="114"/>
      <c r="I362" s="902"/>
      <c r="J362" s="114"/>
      <c r="K362" s="908"/>
      <c r="L362" s="114"/>
      <c r="M362" s="924">
        <f>SUM(M359:M361)</f>
        <v>1820644.5434949326</v>
      </c>
      <c r="N362" s="135"/>
      <c r="O362" s="924">
        <f>SUM(O359:O361)</f>
        <v>-991.32286651130016</v>
      </c>
      <c r="P362" s="135"/>
      <c r="Q362" s="135">
        <f>O357+O362</f>
        <v>12853.373062333651</v>
      </c>
    </row>
    <row r="363" spans="1:17">
      <c r="A363" s="140"/>
      <c r="B363" s="114"/>
      <c r="C363" s="114"/>
      <c r="D363" s="114"/>
      <c r="E363" s="140"/>
      <c r="F363" s="140"/>
      <c r="G363" s="902"/>
      <c r="H363" s="114"/>
      <c r="I363" s="907"/>
      <c r="J363" s="114"/>
      <c r="K363" s="906"/>
      <c r="L363" s="114"/>
      <c r="M363" s="135"/>
      <c r="N363" s="135"/>
      <c r="O363" s="135"/>
      <c r="P363" s="135"/>
      <c r="Q363" s="135"/>
    </row>
    <row r="364" spans="1:17">
      <c r="A364" s="140">
        <f>A362+1</f>
        <v>192</v>
      </c>
      <c r="B364" s="114"/>
      <c r="C364" s="114" t="s">
        <v>339</v>
      </c>
      <c r="D364" s="114"/>
      <c r="E364" s="140" t="s">
        <v>525</v>
      </c>
      <c r="F364" s="140"/>
      <c r="G364" s="902">
        <v>0.90249999999999997</v>
      </c>
      <c r="H364" s="114"/>
      <c r="I364" s="902">
        <v>0.9302845851033551</v>
      </c>
      <c r="J364" s="114"/>
      <c r="K364" s="906">
        <f>I364-G364</f>
        <v>2.7784585103355131E-2</v>
      </c>
      <c r="L364" s="114"/>
      <c r="M364" s="135">
        <v>1820644.5434949326</v>
      </c>
      <c r="N364" s="135"/>
      <c r="O364" s="135">
        <f>K364*M364/1000</f>
        <v>50.585853261694112</v>
      </c>
      <c r="P364" s="135"/>
      <c r="Q364" s="135">
        <f>O364</f>
        <v>50.585853261694112</v>
      </c>
    </row>
    <row r="365" spans="1:17">
      <c r="A365" s="140"/>
      <c r="B365" s="114"/>
      <c r="C365" s="114"/>
      <c r="D365" s="114"/>
      <c r="E365" s="140"/>
      <c r="F365" s="140"/>
      <c r="G365" s="902"/>
      <c r="H365" s="114"/>
      <c r="I365" s="907"/>
      <c r="J365" s="114"/>
      <c r="K365" s="906"/>
      <c r="L365" s="114"/>
      <c r="M365" s="135"/>
      <c r="N365" s="135"/>
      <c r="O365" s="135"/>
      <c r="P365" s="135"/>
      <c r="Q365" s="135"/>
    </row>
    <row r="366" spans="1:17">
      <c r="A366" s="140">
        <f>A364+1</f>
        <v>193</v>
      </c>
      <c r="B366" s="114"/>
      <c r="C366" s="114" t="s">
        <v>270</v>
      </c>
      <c r="D366" s="114"/>
      <c r="E366" s="140" t="s">
        <v>525</v>
      </c>
      <c r="F366" s="140"/>
      <c r="G366" s="902">
        <v>20.538400000000003</v>
      </c>
      <c r="H366" s="114"/>
      <c r="I366" s="902">
        <v>20.536380661324731</v>
      </c>
      <c r="J366" s="114"/>
      <c r="K366" s="906">
        <f>I366-G366</f>
        <v>-2.019338675271598E-3</v>
      </c>
      <c r="L366" s="114"/>
      <c r="M366" s="135">
        <v>1716178.8701904409</v>
      </c>
      <c r="N366" s="135"/>
      <c r="O366" s="135">
        <f>K366*M366/1000</f>
        <v>-3.4655463662594728</v>
      </c>
      <c r="P366" s="135"/>
      <c r="Q366" s="135">
        <f>O366</f>
        <v>-3.4655463662594728</v>
      </c>
    </row>
    <row r="367" spans="1:17">
      <c r="A367" s="140"/>
      <c r="B367" s="114"/>
      <c r="C367" s="114"/>
      <c r="D367" s="114"/>
      <c r="E367" s="140"/>
      <c r="F367" s="140"/>
      <c r="G367" s="902"/>
      <c r="H367" s="114"/>
      <c r="I367" s="907"/>
      <c r="J367" s="114"/>
      <c r="K367" s="906"/>
      <c r="L367" s="114"/>
      <c r="M367" s="135"/>
      <c r="N367" s="135"/>
      <c r="O367" s="135"/>
      <c r="P367" s="135"/>
      <c r="Q367" s="135"/>
    </row>
    <row r="368" spans="1:17" ht="12.95" thickBot="1">
      <c r="A368" s="140">
        <f>A366+1</f>
        <v>194</v>
      </c>
      <c r="B368" s="114"/>
      <c r="C368" s="114" t="s">
        <v>340</v>
      </c>
      <c r="D368" s="114"/>
      <c r="E368" s="140"/>
      <c r="F368" s="140"/>
      <c r="G368" s="902"/>
      <c r="H368" s="114"/>
      <c r="I368" s="902"/>
      <c r="J368" s="114"/>
      <c r="K368" s="908"/>
      <c r="L368" s="114"/>
      <c r="M368" s="135"/>
      <c r="N368" s="135"/>
      <c r="O368" s="905">
        <f>O357+O362+O364+O366</f>
        <v>12900.493369229085</v>
      </c>
      <c r="P368" s="135"/>
      <c r="Q368" s="905">
        <f>SUM(Q362:Q366)</f>
        <v>12900.493369229085</v>
      </c>
    </row>
    <row r="369" spans="1:17" ht="12.95" thickTop="1">
      <c r="A369" s="140"/>
      <c r="B369" s="114"/>
      <c r="C369" s="114"/>
      <c r="D369" s="114"/>
      <c r="E369" s="140"/>
      <c r="F369" s="140"/>
      <c r="G369" s="902"/>
      <c r="H369" s="114"/>
      <c r="I369" s="907"/>
      <c r="J369" s="114"/>
      <c r="K369" s="906"/>
      <c r="L369" s="114"/>
      <c r="M369" s="135"/>
      <c r="N369" s="135"/>
      <c r="O369" s="135"/>
      <c r="P369" s="135"/>
      <c r="Q369" s="135"/>
    </row>
    <row r="370" spans="1:17">
      <c r="A370" s="140"/>
      <c r="B370" s="114"/>
      <c r="C370" s="875" t="s">
        <v>1183</v>
      </c>
      <c r="D370" s="114"/>
      <c r="E370" s="140"/>
      <c r="F370" s="140"/>
      <c r="G370" s="902"/>
      <c r="H370" s="114"/>
      <c r="I370" s="907"/>
      <c r="J370" s="114"/>
      <c r="K370" s="906"/>
      <c r="L370" s="114"/>
      <c r="M370" s="135"/>
      <c r="N370" s="135"/>
      <c r="O370" s="135"/>
      <c r="P370" s="135"/>
      <c r="Q370" s="135"/>
    </row>
    <row r="371" spans="1:17">
      <c r="A371" s="140">
        <f>A368+1</f>
        <v>195</v>
      </c>
      <c r="B371" s="114"/>
      <c r="C371" s="114" t="s">
        <v>258</v>
      </c>
      <c r="D371" s="114"/>
      <c r="E371" s="140" t="s">
        <v>523</v>
      </c>
      <c r="F371" s="140"/>
      <c r="G371" s="99">
        <v>76.58</v>
      </c>
      <c r="H371" s="914"/>
      <c r="I371" s="99">
        <v>78.672570443196548</v>
      </c>
      <c r="J371" s="914"/>
      <c r="K371" s="99">
        <f>I371-G371</f>
        <v>2.0925704431965499</v>
      </c>
      <c r="L371" s="114"/>
      <c r="M371" s="135">
        <v>32236.000000000004</v>
      </c>
      <c r="N371" s="135"/>
      <c r="O371" s="135">
        <f>K371*M371/1000</f>
        <v>67.456100806883981</v>
      </c>
      <c r="P371" s="135"/>
      <c r="Q371" s="135"/>
    </row>
    <row r="372" spans="1:17">
      <c r="A372" s="140"/>
      <c r="B372" s="114"/>
      <c r="C372" s="114" t="s">
        <v>260</v>
      </c>
      <c r="D372" s="114"/>
      <c r="E372" s="140"/>
      <c r="F372" s="140"/>
      <c r="G372" s="902"/>
      <c r="H372" s="114"/>
      <c r="I372" s="907"/>
      <c r="J372" s="114"/>
      <c r="K372" s="906"/>
      <c r="L372" s="114"/>
      <c r="M372" s="135"/>
      <c r="N372" s="135"/>
      <c r="O372" s="135"/>
      <c r="P372" s="135"/>
      <c r="Q372" s="135"/>
    </row>
    <row r="373" spans="1:17">
      <c r="A373" s="140">
        <f>A371+1</f>
        <v>196</v>
      </c>
      <c r="B373" s="114"/>
      <c r="C373" s="876" t="s">
        <v>341</v>
      </c>
      <c r="D373" s="114"/>
      <c r="E373" s="140" t="s">
        <v>525</v>
      </c>
      <c r="F373" s="140"/>
      <c r="G373" s="902">
        <v>6.2404000000000002</v>
      </c>
      <c r="H373" s="114"/>
      <c r="I373" s="902">
        <v>5.9723173170023767</v>
      </c>
      <c r="J373" s="114"/>
      <c r="K373" s="906">
        <f>I373-G373</f>
        <v>-0.2680826829976235</v>
      </c>
      <c r="L373" s="114"/>
      <c r="M373" s="135">
        <v>30915.563207082523</v>
      </c>
      <c r="N373" s="135"/>
      <c r="O373" s="135">
        <f>K373*M373/1000</f>
        <v>-8.2879271309372964</v>
      </c>
      <c r="P373" s="135"/>
      <c r="Q373" s="135"/>
    </row>
    <row r="374" spans="1:17">
      <c r="A374" s="140">
        <f>A373+1</f>
        <v>197</v>
      </c>
      <c r="B374" s="114"/>
      <c r="C374" s="876" t="s">
        <v>342</v>
      </c>
      <c r="D374" s="114"/>
      <c r="E374" s="140" t="s">
        <v>525</v>
      </c>
      <c r="F374" s="140"/>
      <c r="G374" s="902">
        <v>6.1308000000000007</v>
      </c>
      <c r="H374" s="114"/>
      <c r="I374" s="902">
        <v>5.8680409729497667</v>
      </c>
      <c r="J374" s="114"/>
      <c r="K374" s="906">
        <f>I374-G374</f>
        <v>-0.26275902705023402</v>
      </c>
      <c r="L374" s="114"/>
      <c r="M374" s="135">
        <v>172997.0260513431</v>
      </c>
      <c r="N374" s="135"/>
      <c r="O374" s="135">
        <f>K374*M374/1000</f>
        <v>-45.456530247834898</v>
      </c>
      <c r="P374" s="135"/>
      <c r="Q374" s="135"/>
    </row>
    <row r="375" spans="1:17">
      <c r="A375" s="140">
        <f>A374+1</f>
        <v>198</v>
      </c>
      <c r="B375" s="114"/>
      <c r="C375" s="876" t="s">
        <v>343</v>
      </c>
      <c r="D375" s="114"/>
      <c r="E375" s="140" t="s">
        <v>525</v>
      </c>
      <c r="F375" s="140"/>
      <c r="G375" s="902">
        <v>5.7571000000000003</v>
      </c>
      <c r="H375" s="114"/>
      <c r="I375" s="902">
        <v>5.510567593512576</v>
      </c>
      <c r="J375" s="114"/>
      <c r="K375" s="906">
        <f>I375-G375</f>
        <v>-0.24653240648742436</v>
      </c>
      <c r="L375" s="114"/>
      <c r="M375" s="135">
        <v>205833.04896033043</v>
      </c>
      <c r="N375" s="135"/>
      <c r="O375" s="135">
        <f>K375*M375/1000</f>
        <v>-50.744516894834099</v>
      </c>
      <c r="P375" s="135"/>
      <c r="Q375" s="135"/>
    </row>
    <row r="376" spans="1:17">
      <c r="A376" s="140">
        <f>A375+1</f>
        <v>199</v>
      </c>
      <c r="B376" s="114"/>
      <c r="C376" s="876" t="s">
        <v>344</v>
      </c>
      <c r="D376" s="114"/>
      <c r="E376" s="140" t="s">
        <v>525</v>
      </c>
      <c r="F376" s="140"/>
      <c r="G376" s="902">
        <v>5.3672000000000004</v>
      </c>
      <c r="H376" s="114"/>
      <c r="I376" s="902">
        <v>5.1396735159846392</v>
      </c>
      <c r="J376" s="114"/>
      <c r="K376" s="906">
        <f>I376-G376</f>
        <v>-0.22752648401536124</v>
      </c>
      <c r="L376" s="114"/>
      <c r="M376" s="135">
        <v>261526.4696396488</v>
      </c>
      <c r="N376" s="135"/>
      <c r="O376" s="135">
        <f>K376*M376/1000</f>
        <v>-59.504198114059406</v>
      </c>
      <c r="P376" s="135"/>
      <c r="Q376" s="135"/>
    </row>
    <row r="377" spans="1:17">
      <c r="A377" s="140">
        <f>A376+1</f>
        <v>200</v>
      </c>
      <c r="B377" s="114"/>
      <c r="C377" s="114" t="s">
        <v>260</v>
      </c>
      <c r="D377" s="114"/>
      <c r="E377" s="140"/>
      <c r="F377" s="140"/>
      <c r="G377" s="902"/>
      <c r="H377" s="114"/>
      <c r="I377" s="902"/>
      <c r="J377" s="114"/>
      <c r="K377" s="908"/>
      <c r="L377" s="114"/>
      <c r="M377" s="924">
        <f>SUM(M373:M376)</f>
        <v>671272.10785840487</v>
      </c>
      <c r="N377" s="135"/>
      <c r="O377" s="924">
        <f>SUM(O373:O376)</f>
        <v>-163.99317238766571</v>
      </c>
      <c r="P377" s="135"/>
      <c r="Q377" s="135">
        <f>O377+O371</f>
        <v>-96.537071580781728</v>
      </c>
    </row>
    <row r="378" spans="1:17">
      <c r="A378" s="140"/>
      <c r="B378" s="114"/>
      <c r="C378" s="114"/>
      <c r="D378" s="114"/>
      <c r="E378" s="140"/>
      <c r="F378" s="140"/>
      <c r="G378" s="902"/>
      <c r="H378" s="114"/>
      <c r="I378" s="907"/>
      <c r="J378" s="114"/>
      <c r="K378" s="906"/>
      <c r="L378" s="114"/>
      <c r="M378" s="135"/>
      <c r="N378" s="135"/>
      <c r="O378" s="135"/>
      <c r="P378" s="135"/>
      <c r="Q378" s="135"/>
    </row>
    <row r="379" spans="1:17">
      <c r="A379" s="140">
        <f>A377+1</f>
        <v>201</v>
      </c>
      <c r="B379" s="114"/>
      <c r="C379" s="114" t="s">
        <v>339</v>
      </c>
      <c r="D379" s="114"/>
      <c r="E379" s="140" t="s">
        <v>525</v>
      </c>
      <c r="F379" s="140"/>
      <c r="G379" s="902">
        <v>0.85109999999999997</v>
      </c>
      <c r="H379" s="114"/>
      <c r="I379" s="902">
        <v>0.87723255721505922</v>
      </c>
      <c r="J379" s="114"/>
      <c r="K379" s="906">
        <f>I379-G379</f>
        <v>2.6132557215059249E-2</v>
      </c>
      <c r="L379" s="114"/>
      <c r="M379" s="135">
        <v>671272.10785840475</v>
      </c>
      <c r="N379" s="135"/>
      <c r="O379" s="135">
        <f>K379*M379/1000</f>
        <v>17.542056765483185</v>
      </c>
      <c r="P379" s="135"/>
      <c r="Q379" s="135">
        <f>O379</f>
        <v>17.542056765483185</v>
      </c>
    </row>
    <row r="380" spans="1:17">
      <c r="A380" s="140"/>
      <c r="B380" s="114"/>
      <c r="C380" s="114"/>
      <c r="D380" s="114"/>
      <c r="E380" s="140"/>
      <c r="F380" s="140"/>
      <c r="G380" s="902"/>
      <c r="H380" s="114"/>
      <c r="I380" s="907"/>
      <c r="J380" s="114"/>
      <c r="K380" s="906"/>
      <c r="L380" s="114"/>
      <c r="M380" s="135"/>
      <c r="N380" s="135"/>
      <c r="O380" s="135"/>
      <c r="P380" s="135"/>
      <c r="Q380" s="135"/>
    </row>
    <row r="381" spans="1:17">
      <c r="A381" s="140">
        <f>A379+1</f>
        <v>202</v>
      </c>
      <c r="B381" s="114"/>
      <c r="C381" s="114" t="s">
        <v>270</v>
      </c>
      <c r="D381" s="114"/>
      <c r="E381" s="140" t="s">
        <v>525</v>
      </c>
      <c r="F381" s="140"/>
      <c r="G381" s="902">
        <v>20.538400000000003</v>
      </c>
      <c r="H381" s="114"/>
      <c r="I381" s="902">
        <v>20.536380661324731</v>
      </c>
      <c r="J381" s="114"/>
      <c r="K381" s="906">
        <f>I381-G381</f>
        <v>-2.019338675271598E-3</v>
      </c>
      <c r="L381" s="114"/>
      <c r="M381" s="135">
        <v>337788.42871520738</v>
      </c>
      <c r="N381" s="135"/>
      <c r="O381" s="135">
        <f>K381*M381/1000</f>
        <v>-0.6821092381638415</v>
      </c>
      <c r="P381" s="135"/>
      <c r="Q381" s="135">
        <f>O381</f>
        <v>-0.6821092381638415</v>
      </c>
    </row>
    <row r="382" spans="1:17">
      <c r="A382" s="140"/>
      <c r="B382" s="114"/>
      <c r="C382" s="114"/>
      <c r="D382" s="114"/>
      <c r="E382" s="140"/>
      <c r="F382" s="140"/>
      <c r="G382" s="902"/>
      <c r="H382" s="114"/>
      <c r="I382" s="907"/>
      <c r="J382" s="114"/>
      <c r="K382" s="906"/>
      <c r="L382" s="114"/>
      <c r="M382" s="135"/>
      <c r="N382" s="135"/>
      <c r="O382" s="135"/>
      <c r="P382" s="135"/>
      <c r="Q382" s="135"/>
    </row>
    <row r="383" spans="1:17" ht="12.95" thickBot="1">
      <c r="A383" s="140">
        <f>A381+1</f>
        <v>203</v>
      </c>
      <c r="B383" s="114"/>
      <c r="C383" s="114" t="s">
        <v>1184</v>
      </c>
      <c r="D383" s="114"/>
      <c r="E383" s="140"/>
      <c r="F383" s="140"/>
      <c r="G383" s="902"/>
      <c r="H383" s="114"/>
      <c r="I383" s="902"/>
      <c r="J383" s="114"/>
      <c r="K383" s="908"/>
      <c r="L383" s="114"/>
      <c r="M383" s="135"/>
      <c r="N383" s="135"/>
      <c r="O383" s="905">
        <f>O371+O377+O379+O381</f>
        <v>-79.677124053462393</v>
      </c>
      <c r="P383" s="135"/>
      <c r="Q383" s="905">
        <f>SUM(Q371:Q381)</f>
        <v>-79.677124053462393</v>
      </c>
    </row>
    <row r="384" spans="1:17" ht="12.95" thickTop="1">
      <c r="A384" s="114"/>
      <c r="B384" s="114"/>
      <c r="C384" s="114"/>
      <c r="D384" s="114"/>
      <c r="E384" s="114"/>
      <c r="F384" s="114"/>
      <c r="G384" s="114"/>
      <c r="H384" s="114"/>
      <c r="I384" s="114"/>
      <c r="J384" s="114"/>
      <c r="K384" s="114"/>
      <c r="L384" s="114"/>
      <c r="M384" s="114"/>
      <c r="N384" s="114"/>
      <c r="O384" s="114"/>
      <c r="P384" s="114"/>
      <c r="Q384" s="114"/>
    </row>
    <row r="385" spans="1:17">
      <c r="A385" s="114"/>
      <c r="B385" s="114"/>
      <c r="C385" s="114"/>
      <c r="D385" s="114"/>
      <c r="E385" s="114"/>
      <c r="F385" s="114"/>
      <c r="G385" s="114"/>
      <c r="H385" s="114"/>
      <c r="I385" s="114"/>
      <c r="J385" s="114"/>
      <c r="K385" s="114"/>
      <c r="L385" s="114"/>
      <c r="M385" s="114"/>
      <c r="N385" s="114"/>
      <c r="O385" s="114"/>
      <c r="P385" s="114"/>
      <c r="Q385" s="114"/>
    </row>
    <row r="386" spans="1:17">
      <c r="A386" s="114"/>
      <c r="B386" s="114"/>
      <c r="C386" s="114"/>
      <c r="D386" s="114"/>
      <c r="E386" s="114"/>
      <c r="F386" s="114"/>
      <c r="G386" s="114"/>
      <c r="H386" s="114"/>
      <c r="I386" s="114"/>
      <c r="J386" s="114"/>
      <c r="K386" s="114"/>
      <c r="L386" s="114"/>
      <c r="M386" s="114"/>
      <c r="N386" s="114"/>
      <c r="O386" s="114"/>
      <c r="P386" s="114"/>
      <c r="Q386" s="114"/>
    </row>
    <row r="387" spans="1:17">
      <c r="A387" s="114"/>
      <c r="B387" s="114"/>
      <c r="C387" s="114"/>
      <c r="D387" s="114"/>
      <c r="E387" s="114"/>
      <c r="F387" s="114"/>
      <c r="G387" s="114"/>
      <c r="H387" s="114"/>
      <c r="I387" s="114"/>
      <c r="J387" s="114"/>
      <c r="K387" s="114"/>
      <c r="L387" s="114"/>
      <c r="M387" s="114"/>
      <c r="N387" s="114"/>
      <c r="O387" s="114"/>
      <c r="P387" s="114"/>
      <c r="Q387" s="114"/>
    </row>
    <row r="388" spans="1:17">
      <c r="A388" s="114"/>
      <c r="B388" s="114"/>
      <c r="C388" s="114"/>
      <c r="D388" s="114"/>
      <c r="E388" s="114"/>
      <c r="F388" s="114"/>
      <c r="G388" s="114"/>
      <c r="H388" s="114"/>
      <c r="I388" s="114"/>
      <c r="J388" s="114"/>
      <c r="K388" s="114"/>
      <c r="L388" s="114"/>
      <c r="M388" s="114"/>
      <c r="N388" s="114"/>
      <c r="O388" s="114"/>
      <c r="P388" s="114"/>
      <c r="Q388" s="114"/>
    </row>
    <row r="389" spans="1:17">
      <c r="A389" s="114"/>
      <c r="B389" s="114"/>
      <c r="C389" s="114"/>
      <c r="D389" s="114"/>
      <c r="E389" s="114"/>
      <c r="F389" s="114"/>
      <c r="G389" s="114"/>
      <c r="H389" s="114"/>
      <c r="I389" s="114"/>
      <c r="J389" s="114"/>
      <c r="K389" s="114"/>
      <c r="L389" s="114"/>
      <c r="M389" s="114"/>
      <c r="N389" s="114"/>
      <c r="O389" s="114"/>
      <c r="P389" s="114"/>
      <c r="Q389" s="114"/>
    </row>
    <row r="390" spans="1:17">
      <c r="A390" s="114"/>
      <c r="B390" s="114"/>
      <c r="C390" s="114"/>
      <c r="D390" s="114"/>
      <c r="E390" s="114"/>
      <c r="F390" s="114"/>
      <c r="G390" s="114"/>
      <c r="H390" s="114"/>
      <c r="I390" s="114"/>
      <c r="J390" s="114"/>
      <c r="K390" s="114"/>
      <c r="L390" s="114"/>
      <c r="M390" s="114"/>
      <c r="N390" s="114"/>
      <c r="O390" s="114"/>
      <c r="P390" s="114"/>
      <c r="Q390" s="114"/>
    </row>
    <row r="391" spans="1:17">
      <c r="A391" s="114"/>
      <c r="B391" s="114"/>
      <c r="C391" s="114"/>
      <c r="D391" s="114"/>
      <c r="E391" s="114"/>
      <c r="F391" s="114"/>
      <c r="G391" s="114"/>
      <c r="H391" s="114"/>
      <c r="I391" s="114"/>
      <c r="J391" s="114"/>
      <c r="K391" s="114"/>
      <c r="L391" s="114"/>
      <c r="M391" s="114"/>
      <c r="N391" s="114"/>
      <c r="O391" s="114"/>
      <c r="P391" s="114"/>
      <c r="Q391" s="114"/>
    </row>
    <row r="392" spans="1:17">
      <c r="A392" s="140"/>
      <c r="B392" s="114"/>
      <c r="C392" s="114"/>
      <c r="D392" s="114"/>
      <c r="E392" s="140"/>
      <c r="F392" s="140"/>
      <c r="G392" s="114"/>
      <c r="H392" s="114"/>
      <c r="I392" s="114"/>
      <c r="J392" s="114"/>
      <c r="K392" s="906"/>
      <c r="L392" s="114"/>
      <c r="M392" s="135"/>
      <c r="N392" s="135"/>
      <c r="O392" s="135"/>
      <c r="P392" s="135"/>
      <c r="Q392" s="135"/>
    </row>
    <row r="393" spans="1:17">
      <c r="A393" s="1187" t="s">
        <v>1138</v>
      </c>
      <c r="B393" s="1188"/>
      <c r="C393" s="1188"/>
      <c r="D393" s="1188"/>
      <c r="E393" s="1188"/>
      <c r="F393" s="1188"/>
      <c r="G393" s="1188"/>
      <c r="H393" s="1188"/>
      <c r="I393" s="1188"/>
      <c r="J393" s="1188"/>
      <c r="K393" s="1188"/>
      <c r="L393" s="1188"/>
      <c r="M393" s="1188"/>
      <c r="N393" s="1188"/>
      <c r="O393" s="1188"/>
      <c r="P393" s="1188"/>
      <c r="Q393" s="1188"/>
    </row>
    <row r="394" spans="1:17">
      <c r="A394" s="1187" t="s">
        <v>1157</v>
      </c>
      <c r="B394" s="1187"/>
      <c r="C394" s="1187"/>
      <c r="D394" s="1187"/>
      <c r="E394" s="1187"/>
      <c r="F394" s="1187"/>
      <c r="G394" s="1187"/>
      <c r="H394" s="1187"/>
      <c r="I394" s="1187"/>
      <c r="J394" s="1187"/>
      <c r="K394" s="1187"/>
      <c r="L394" s="1187"/>
      <c r="M394" s="1187"/>
      <c r="N394" s="1187"/>
      <c r="O394" s="1187"/>
      <c r="P394" s="1187"/>
      <c r="Q394" s="1187"/>
    </row>
    <row r="395" spans="1:17">
      <c r="A395" s="140"/>
      <c r="B395" s="114"/>
      <c r="C395" s="114"/>
      <c r="D395" s="114"/>
      <c r="E395" s="114"/>
      <c r="F395" s="114"/>
      <c r="G395" s="114"/>
      <c r="H395" s="114"/>
      <c r="I395" s="114"/>
      <c r="J395" s="114"/>
      <c r="K395" s="114"/>
      <c r="L395" s="114"/>
      <c r="M395" s="114"/>
      <c r="N395" s="114"/>
      <c r="O395" s="114"/>
      <c r="P395" s="114"/>
      <c r="Q395" s="114"/>
    </row>
    <row r="396" spans="1:17">
      <c r="A396" s="140"/>
      <c r="B396" s="114"/>
      <c r="C396" s="114"/>
      <c r="D396" s="114"/>
      <c r="E396" s="114"/>
      <c r="F396" s="114"/>
      <c r="G396" s="114"/>
      <c r="H396" s="114"/>
      <c r="I396" s="114"/>
      <c r="J396" s="114"/>
      <c r="K396" s="114"/>
      <c r="L396" s="114"/>
      <c r="M396" s="114"/>
      <c r="N396" s="114"/>
      <c r="O396" s="140" t="s">
        <v>103</v>
      </c>
      <c r="P396" s="114"/>
      <c r="Q396" s="140" t="s">
        <v>1140</v>
      </c>
    </row>
    <row r="397" spans="1:17">
      <c r="A397" s="140" t="s">
        <v>56</v>
      </c>
      <c r="B397" s="114"/>
      <c r="C397" s="114"/>
      <c r="D397" s="114"/>
      <c r="E397" s="114"/>
      <c r="F397" s="114"/>
      <c r="G397" s="140" t="s">
        <v>1144</v>
      </c>
      <c r="H397" s="114"/>
      <c r="I397" s="140" t="s">
        <v>102</v>
      </c>
      <c r="J397" s="114"/>
      <c r="K397" s="140" t="s">
        <v>1145</v>
      </c>
      <c r="L397" s="114"/>
      <c r="M397" s="140" t="s">
        <v>1146</v>
      </c>
      <c r="N397" s="114"/>
      <c r="O397" s="140" t="s">
        <v>1147</v>
      </c>
      <c r="P397" s="114"/>
      <c r="Q397" s="140" t="s">
        <v>1148</v>
      </c>
    </row>
    <row r="398" spans="1:17">
      <c r="A398" s="199" t="s">
        <v>57</v>
      </c>
      <c r="B398" s="114"/>
      <c r="C398" s="433" t="s">
        <v>194</v>
      </c>
      <c r="D398" s="114"/>
      <c r="E398" s="199" t="s">
        <v>245</v>
      </c>
      <c r="F398" s="140"/>
      <c r="G398" s="199" t="s">
        <v>235</v>
      </c>
      <c r="H398" s="114"/>
      <c r="I398" s="199" t="s">
        <v>1149</v>
      </c>
      <c r="J398" s="114"/>
      <c r="K398" s="199" t="s">
        <v>1147</v>
      </c>
      <c r="L398" s="114"/>
      <c r="M398" s="199" t="s">
        <v>1150</v>
      </c>
      <c r="N398" s="114"/>
      <c r="O398" s="199" t="s">
        <v>248</v>
      </c>
      <c r="P398" s="114"/>
      <c r="Q398" s="199" t="s">
        <v>248</v>
      </c>
    </row>
    <row r="399" spans="1:17">
      <c r="A399" s="140"/>
      <c r="B399" s="114"/>
      <c r="C399" s="114"/>
      <c r="D399" s="114"/>
      <c r="E399" s="114"/>
      <c r="F399" s="114"/>
      <c r="G399" s="202" t="s">
        <v>9</v>
      </c>
      <c r="H399" s="140"/>
      <c r="I399" s="202" t="s">
        <v>10</v>
      </c>
      <c r="J399" s="140"/>
      <c r="K399" s="202" t="s">
        <v>846</v>
      </c>
      <c r="L399" s="114"/>
      <c r="M399" s="202" t="s">
        <v>12</v>
      </c>
      <c r="N399" s="114"/>
      <c r="O399" s="202" t="s">
        <v>1151</v>
      </c>
      <c r="P399" s="114"/>
      <c r="Q399" s="140" t="s">
        <v>115</v>
      </c>
    </row>
    <row r="400" spans="1:17">
      <c r="A400" s="140"/>
      <c r="B400" s="114"/>
      <c r="C400" s="114"/>
      <c r="D400" s="114"/>
      <c r="E400" s="140"/>
      <c r="F400" s="140"/>
      <c r="G400" s="114"/>
      <c r="H400" s="114"/>
      <c r="I400" s="114"/>
      <c r="J400" s="114"/>
      <c r="K400" s="906"/>
      <c r="L400" s="114"/>
      <c r="M400" s="135"/>
      <c r="N400" s="135"/>
      <c r="O400" s="135"/>
      <c r="P400" s="135"/>
      <c r="Q400" s="135"/>
    </row>
    <row r="401" spans="1:17">
      <c r="A401" s="140"/>
      <c r="B401" s="114"/>
      <c r="C401" s="875" t="s">
        <v>148</v>
      </c>
      <c r="D401" s="114"/>
      <c r="E401" s="140"/>
      <c r="F401" s="140"/>
      <c r="G401" s="114"/>
      <c r="H401" s="114"/>
      <c r="I401" s="907"/>
      <c r="J401" s="114"/>
      <c r="K401" s="906"/>
      <c r="L401" s="114"/>
      <c r="M401" s="135"/>
      <c r="N401" s="135"/>
      <c r="O401" s="135"/>
      <c r="P401" s="135"/>
      <c r="Q401" s="135"/>
    </row>
    <row r="402" spans="1:17">
      <c r="A402" s="140"/>
      <c r="B402" s="114"/>
      <c r="C402" s="114" t="s">
        <v>280</v>
      </c>
      <c r="D402" s="114"/>
      <c r="E402" s="140"/>
      <c r="F402" s="140"/>
      <c r="G402" s="114"/>
      <c r="H402" s="114"/>
      <c r="I402" s="907"/>
      <c r="J402" s="114"/>
      <c r="K402" s="906"/>
      <c r="L402" s="114"/>
      <c r="M402" s="135"/>
      <c r="N402" s="135"/>
      <c r="O402" s="135"/>
      <c r="P402" s="135"/>
      <c r="Q402" s="135"/>
    </row>
    <row r="403" spans="1:17">
      <c r="A403" s="140">
        <f>A383+1</f>
        <v>204</v>
      </c>
      <c r="B403" s="114"/>
      <c r="C403" s="876" t="s">
        <v>1185</v>
      </c>
      <c r="D403" s="114"/>
      <c r="E403" s="140" t="s">
        <v>540</v>
      </c>
      <c r="F403" s="140"/>
      <c r="G403" s="902">
        <v>69.394599999999997</v>
      </c>
      <c r="H403" s="114"/>
      <c r="I403" s="902">
        <v>71.55792833140022</v>
      </c>
      <c r="J403" s="114"/>
      <c r="K403" s="906">
        <f>I403-G403</f>
        <v>2.1633283314002227</v>
      </c>
      <c r="L403" s="114"/>
      <c r="M403" s="135">
        <v>6959.78</v>
      </c>
      <c r="N403" s="135"/>
      <c r="O403" s="135">
        <f>K403*M403/1000</f>
        <v>15.056289254312642</v>
      </c>
      <c r="P403" s="135"/>
      <c r="Q403" s="135"/>
    </row>
    <row r="404" spans="1:17">
      <c r="A404" s="140">
        <f>A403+1</f>
        <v>205</v>
      </c>
      <c r="B404" s="114"/>
      <c r="C404" s="876" t="s">
        <v>1186</v>
      </c>
      <c r="D404" s="114"/>
      <c r="E404" s="140" t="s">
        <v>540</v>
      </c>
      <c r="F404" s="140"/>
      <c r="G404" s="902">
        <v>33.057699999999997</v>
      </c>
      <c r="H404" s="114"/>
      <c r="I404" s="902">
        <v>34.363103952621913</v>
      </c>
      <c r="J404" s="114"/>
      <c r="K404" s="906">
        <f>I404-G404</f>
        <v>1.3054039526219157</v>
      </c>
      <c r="L404" s="114"/>
      <c r="M404" s="135">
        <v>6721.2240000000002</v>
      </c>
      <c r="N404" s="135"/>
      <c r="O404" s="135">
        <f>K404*M404/1000</f>
        <v>8.7739123760572824</v>
      </c>
      <c r="P404" s="135"/>
      <c r="Q404" s="135"/>
    </row>
    <row r="405" spans="1:17">
      <c r="A405" s="140">
        <f>A404+1</f>
        <v>206</v>
      </c>
      <c r="B405" s="114"/>
      <c r="C405" s="876" t="s">
        <v>1187</v>
      </c>
      <c r="D405" s="114"/>
      <c r="E405" s="140" t="s">
        <v>540</v>
      </c>
      <c r="F405" s="140"/>
      <c r="G405" s="902">
        <v>28.335999999999999</v>
      </c>
      <c r="H405" s="114"/>
      <c r="I405" s="902">
        <v>29.529982099250425</v>
      </c>
      <c r="J405" s="114"/>
      <c r="K405" s="906">
        <f>I405-G405</f>
        <v>1.1939820992504266</v>
      </c>
      <c r="L405" s="114"/>
      <c r="M405" s="923">
        <v>1853.944</v>
      </c>
      <c r="N405" s="135"/>
      <c r="O405" s="923">
        <f>K405*M405/1000</f>
        <v>2.2135759490127329</v>
      </c>
      <c r="P405" s="135"/>
      <c r="Q405" s="135"/>
    </row>
    <row r="406" spans="1:17">
      <c r="A406" s="140">
        <f>A405+1</f>
        <v>207</v>
      </c>
      <c r="B406" s="114"/>
      <c r="C406" s="114" t="s">
        <v>280</v>
      </c>
      <c r="D406" s="114"/>
      <c r="E406" s="140"/>
      <c r="F406" s="140"/>
      <c r="G406" s="902"/>
      <c r="H406" s="114"/>
      <c r="I406" s="902"/>
      <c r="J406" s="114"/>
      <c r="K406" s="908"/>
      <c r="L406" s="114"/>
      <c r="M406" s="135">
        <f>SUM(M403:M405)</f>
        <v>15534.948</v>
      </c>
      <c r="N406" s="135"/>
      <c r="O406" s="135">
        <f>SUM(O403:O405)</f>
        <v>26.043777579382656</v>
      </c>
      <c r="P406" s="135"/>
      <c r="Q406" s="135">
        <f>SUM(O403:O405)</f>
        <v>26.043777579382656</v>
      </c>
    </row>
    <row r="407" spans="1:17">
      <c r="A407" s="140"/>
      <c r="B407" s="114"/>
      <c r="C407" s="114" t="s">
        <v>260</v>
      </c>
      <c r="D407" s="114"/>
      <c r="E407" s="140"/>
      <c r="F407" s="140"/>
      <c r="G407" s="902"/>
      <c r="H407" s="114"/>
      <c r="I407" s="907"/>
      <c r="J407" s="114"/>
      <c r="K407" s="906"/>
      <c r="L407" s="114"/>
      <c r="M407" s="135"/>
      <c r="N407" s="135"/>
      <c r="O407" s="135"/>
      <c r="P407" s="135"/>
      <c r="Q407" s="135"/>
    </row>
    <row r="408" spans="1:17">
      <c r="A408" s="140">
        <f>A406+1</f>
        <v>208</v>
      </c>
      <c r="B408" s="114"/>
      <c r="C408" s="876" t="s">
        <v>349</v>
      </c>
      <c r="D408" s="114"/>
      <c r="E408" s="140" t="s">
        <v>525</v>
      </c>
      <c r="F408" s="140"/>
      <c r="G408" s="902">
        <v>2.0339</v>
      </c>
      <c r="H408" s="114"/>
      <c r="I408" s="902">
        <v>2.1114479211218993</v>
      </c>
      <c r="J408" s="114"/>
      <c r="K408" s="906">
        <f>I408-G408</f>
        <v>7.7547921121899233E-2</v>
      </c>
      <c r="L408" s="114"/>
      <c r="M408" s="135">
        <v>249544.01287000001</v>
      </c>
      <c r="N408" s="135"/>
      <c r="O408" s="135">
        <f>K408*M408/1000</f>
        <v>19.351619426484969</v>
      </c>
      <c r="P408" s="135"/>
      <c r="Q408" s="135"/>
    </row>
    <row r="409" spans="1:17">
      <c r="A409" s="140">
        <f>A408+1</f>
        <v>209</v>
      </c>
      <c r="B409" s="114"/>
      <c r="C409" s="876" t="s">
        <v>350</v>
      </c>
      <c r="D409" s="114"/>
      <c r="E409" s="140" t="s">
        <v>525</v>
      </c>
      <c r="F409" s="140"/>
      <c r="G409" s="902">
        <v>0.87250000000000005</v>
      </c>
      <c r="H409" s="114"/>
      <c r="I409" s="902">
        <v>0.89039806268338662</v>
      </c>
      <c r="J409" s="114"/>
      <c r="K409" s="906">
        <f>I409-G409</f>
        <v>1.7898062683386562E-2</v>
      </c>
      <c r="L409" s="114"/>
      <c r="M409" s="923"/>
      <c r="N409" s="135"/>
      <c r="O409" s="923">
        <f>K409*M409/1000</f>
        <v>0</v>
      </c>
      <c r="P409" s="135"/>
      <c r="Q409" s="135"/>
    </row>
    <row r="410" spans="1:17">
      <c r="A410" s="140">
        <f>A409+1</f>
        <v>210</v>
      </c>
      <c r="B410" s="114"/>
      <c r="C410" s="114" t="s">
        <v>260</v>
      </c>
      <c r="D410" s="114"/>
      <c r="E410" s="140"/>
      <c r="F410" s="140"/>
      <c r="G410" s="902"/>
      <c r="H410" s="114"/>
      <c r="I410" s="902"/>
      <c r="J410" s="114"/>
      <c r="K410" s="908"/>
      <c r="L410" s="114"/>
      <c r="M410" s="135">
        <f>SUM(M408:M409)</f>
        <v>249544.01287000001</v>
      </c>
      <c r="N410" s="135"/>
      <c r="O410" s="135">
        <f>SUM(O408:O409)</f>
        <v>19.351619426484969</v>
      </c>
      <c r="P410" s="135"/>
      <c r="Q410" s="135">
        <f>SUM(O408:O409)</f>
        <v>19.351619426484969</v>
      </c>
    </row>
    <row r="411" spans="1:17">
      <c r="A411" s="140"/>
      <c r="B411" s="114"/>
      <c r="C411" s="114"/>
      <c r="D411" s="114"/>
      <c r="E411" s="140"/>
      <c r="F411" s="140"/>
      <c r="G411" s="902"/>
      <c r="H411" s="114"/>
      <c r="I411" s="907"/>
      <c r="J411" s="114"/>
      <c r="K411" s="906"/>
      <c r="L411" s="114"/>
      <c r="M411" s="135"/>
      <c r="N411" s="135"/>
      <c r="O411" s="135"/>
      <c r="P411" s="135"/>
      <c r="Q411" s="114"/>
    </row>
    <row r="412" spans="1:17">
      <c r="A412" s="140">
        <f>A410+1</f>
        <v>211</v>
      </c>
      <c r="B412" s="114"/>
      <c r="C412" s="114" t="s">
        <v>351</v>
      </c>
      <c r="D412" s="114"/>
      <c r="E412" s="140" t="s">
        <v>525</v>
      </c>
      <c r="F412" s="140"/>
      <c r="G412" s="902">
        <v>2.2423999999999999</v>
      </c>
      <c r="H412" s="114"/>
      <c r="I412" s="902">
        <v>2.3256452433653889</v>
      </c>
      <c r="J412" s="114"/>
      <c r="K412" s="906">
        <f>I412-G412</f>
        <v>8.3245243365388966E-2</v>
      </c>
      <c r="L412" s="114"/>
      <c r="M412" s="135">
        <v>8081.8826299999992</v>
      </c>
      <c r="N412" s="135"/>
      <c r="O412" s="135">
        <f>K412*M412/1000</f>
        <v>0.6727782863848597</v>
      </c>
      <c r="P412" s="135"/>
      <c r="Q412" s="135">
        <f>O412</f>
        <v>0.6727782863848597</v>
      </c>
    </row>
    <row r="413" spans="1:17">
      <c r="A413" s="140">
        <f>A412+1</f>
        <v>212</v>
      </c>
      <c r="B413" s="114"/>
      <c r="C413" s="114" t="s">
        <v>352</v>
      </c>
      <c r="D413" s="114"/>
      <c r="E413" s="140" t="s">
        <v>525</v>
      </c>
      <c r="F413" s="140"/>
      <c r="G413" s="902">
        <v>7.4368999999999996</v>
      </c>
      <c r="H413" s="114"/>
      <c r="I413" s="902">
        <v>7.6585777038146796</v>
      </c>
      <c r="J413" s="114"/>
      <c r="K413" s="906">
        <f>I413-G413</f>
        <v>0.22167770381467999</v>
      </c>
      <c r="L413" s="114"/>
      <c r="M413" s="135">
        <v>894.18842999999993</v>
      </c>
      <c r="N413" s="135"/>
      <c r="O413" s="135">
        <f>K413*M413/1000</f>
        <v>0.19822163794005371</v>
      </c>
      <c r="P413" s="135"/>
      <c r="Q413" s="135">
        <f>O413</f>
        <v>0.19822163794005371</v>
      </c>
    </row>
    <row r="414" spans="1:17">
      <c r="A414" s="140"/>
      <c r="B414" s="114"/>
      <c r="C414" s="114"/>
      <c r="D414" s="114"/>
      <c r="E414" s="140"/>
      <c r="F414" s="140"/>
      <c r="G414" s="902"/>
      <c r="H414" s="114"/>
      <c r="I414" s="907"/>
      <c r="J414" s="114"/>
      <c r="K414" s="906"/>
      <c r="L414" s="114"/>
      <c r="M414" s="135"/>
      <c r="N414" s="135"/>
      <c r="O414" s="135"/>
      <c r="P414" s="135"/>
      <c r="Q414" s="135"/>
    </row>
    <row r="415" spans="1:17">
      <c r="A415" s="140"/>
      <c r="B415" s="114"/>
      <c r="C415" s="114" t="s">
        <v>1188</v>
      </c>
      <c r="D415" s="114"/>
      <c r="E415" s="140"/>
      <c r="F415" s="140"/>
      <c r="G415" s="902"/>
      <c r="H415" s="114"/>
      <c r="I415" s="907"/>
      <c r="J415" s="114"/>
      <c r="K415" s="906"/>
      <c r="L415" s="114"/>
      <c r="M415" s="135"/>
      <c r="N415" s="135"/>
      <c r="O415" s="135"/>
      <c r="P415" s="135"/>
      <c r="Q415" s="135"/>
    </row>
    <row r="416" spans="1:17">
      <c r="A416" s="140">
        <f>A413+1</f>
        <v>213</v>
      </c>
      <c r="B416" s="114"/>
      <c r="C416" s="876" t="s">
        <v>604</v>
      </c>
      <c r="D416" s="114"/>
      <c r="E416" s="140" t="s">
        <v>523</v>
      </c>
      <c r="F416" s="140"/>
      <c r="G416" s="99">
        <v>755.88</v>
      </c>
      <c r="H416" s="914"/>
      <c r="I416" s="99">
        <v>776.53463758949351</v>
      </c>
      <c r="J416" s="914"/>
      <c r="K416" s="99">
        <f>I416-G416</f>
        <v>20.654637589493518</v>
      </c>
      <c r="L416" s="114"/>
      <c r="M416" s="203">
        <v>11.999999999999998</v>
      </c>
      <c r="N416" s="135"/>
      <c r="O416" s="135">
        <f>K416*M416/1000</f>
        <v>0.24785565107392218</v>
      </c>
      <c r="P416" s="135"/>
      <c r="Q416" s="135">
        <f>O416</f>
        <v>0.24785565107392218</v>
      </c>
    </row>
    <row r="417" spans="1:17">
      <c r="A417" s="140">
        <f>A416+1</f>
        <v>214</v>
      </c>
      <c r="B417" s="114"/>
      <c r="C417" s="876" t="s">
        <v>333</v>
      </c>
      <c r="D417" s="114"/>
      <c r="E417" s="140" t="s">
        <v>525</v>
      </c>
      <c r="F417" s="140"/>
      <c r="G417" s="902">
        <v>3.5886</v>
      </c>
      <c r="H417" s="114"/>
      <c r="I417" s="902">
        <v>3.2719052054076672</v>
      </c>
      <c r="J417" s="114"/>
      <c r="K417" s="906">
        <f>I417-G417</f>
        <v>-0.31669479459233285</v>
      </c>
      <c r="L417" s="114"/>
      <c r="M417" s="135">
        <v>8.2309999999999999</v>
      </c>
      <c r="N417" s="135"/>
      <c r="O417" s="135">
        <f>K417*M417/1000</f>
        <v>-2.606714854289492E-3</v>
      </c>
      <c r="P417" s="135"/>
      <c r="Q417" s="135">
        <f>O417</f>
        <v>-2.606714854289492E-3</v>
      </c>
    </row>
    <row r="418" spans="1:17">
      <c r="A418" s="140"/>
      <c r="B418" s="114"/>
      <c r="C418" s="114"/>
      <c r="D418" s="114"/>
      <c r="E418" s="140"/>
      <c r="F418" s="140"/>
      <c r="G418" s="902"/>
      <c r="H418" s="114"/>
      <c r="I418" s="907"/>
      <c r="J418" s="114"/>
      <c r="K418" s="906"/>
      <c r="L418" s="114"/>
      <c r="M418" s="135"/>
      <c r="N418" s="135"/>
      <c r="O418" s="135"/>
      <c r="P418" s="135"/>
      <c r="Q418" s="135"/>
    </row>
    <row r="419" spans="1:17">
      <c r="A419" s="140">
        <f>A417+1</f>
        <v>215</v>
      </c>
      <c r="B419" s="114"/>
      <c r="C419" s="114" t="s">
        <v>355</v>
      </c>
      <c r="D419" s="114"/>
      <c r="E419" s="140" t="s">
        <v>525</v>
      </c>
      <c r="F419" s="140"/>
      <c r="G419" s="902">
        <v>3.7970999999999999</v>
      </c>
      <c r="H419" s="114"/>
      <c r="I419" s="902">
        <v>3.6270483792677659</v>
      </c>
      <c r="J419" s="114"/>
      <c r="K419" s="906">
        <f>I419-G419</f>
        <v>-0.17005162073223401</v>
      </c>
      <c r="L419" s="114"/>
      <c r="M419" s="135">
        <v>120.74</v>
      </c>
      <c r="N419" s="135"/>
      <c r="O419" s="135">
        <f>K419*M419/1000</f>
        <v>-2.0532032687209933E-2</v>
      </c>
      <c r="P419" s="135"/>
      <c r="Q419" s="135">
        <f>O419</f>
        <v>-2.0532032687209933E-2</v>
      </c>
    </row>
    <row r="420" spans="1:17">
      <c r="A420" s="140"/>
      <c r="B420" s="114"/>
      <c r="C420" s="114"/>
      <c r="D420" s="114"/>
      <c r="E420" s="140"/>
      <c r="F420" s="140"/>
      <c r="G420" s="902"/>
      <c r="H420" s="114"/>
      <c r="I420" s="907"/>
      <c r="J420" s="114"/>
      <c r="K420" s="906"/>
      <c r="L420" s="114"/>
      <c r="M420" s="135"/>
      <c r="N420" s="135"/>
      <c r="O420" s="135"/>
      <c r="P420" s="135"/>
      <c r="Q420" s="135"/>
    </row>
    <row r="421" spans="1:17">
      <c r="A421" s="140">
        <f>A419+1</f>
        <v>216</v>
      </c>
      <c r="B421" s="114"/>
      <c r="C421" s="114" t="s">
        <v>606</v>
      </c>
      <c r="D421" s="114"/>
      <c r="E421" s="140" t="s">
        <v>525</v>
      </c>
      <c r="F421" s="140"/>
      <c r="G421" s="902">
        <v>0.20849999999999999</v>
      </c>
      <c r="H421" s="114"/>
      <c r="I421" s="902">
        <v>0.21419732224349022</v>
      </c>
      <c r="J421" s="114"/>
      <c r="K421" s="906">
        <f>I421-G421</f>
        <v>5.6973222434902326E-3</v>
      </c>
      <c r="L421" s="114"/>
      <c r="M421" s="135">
        <v>5122.0140199999996</v>
      </c>
      <c r="N421" s="135"/>
      <c r="O421" s="135">
        <f>K421*M421/1000</f>
        <v>2.9181764407614826E-2</v>
      </c>
      <c r="P421" s="135"/>
      <c r="Q421" s="135">
        <f>O421</f>
        <v>2.9181764407614826E-2</v>
      </c>
    </row>
    <row r="422" spans="1:17">
      <c r="A422" s="140">
        <f>A421+1</f>
        <v>217</v>
      </c>
      <c r="B422" s="114"/>
      <c r="C422" s="114" t="s">
        <v>270</v>
      </c>
      <c r="D422" s="114"/>
      <c r="E422" s="140" t="s">
        <v>525</v>
      </c>
      <c r="F422" s="140"/>
      <c r="G422" s="902">
        <v>20.538400000000003</v>
      </c>
      <c r="H422" s="114"/>
      <c r="I422" s="902">
        <v>20.536380661324731</v>
      </c>
      <c r="J422" s="114"/>
      <c r="K422" s="906">
        <f>I422-G422</f>
        <v>-2.019338675271598E-3</v>
      </c>
      <c r="L422" s="114"/>
      <c r="M422" s="135">
        <v>23899.440749999998</v>
      </c>
      <c r="N422" s="135"/>
      <c r="O422" s="135">
        <f>K422*M422/1000</f>
        <v>-4.8261065023837042E-2</v>
      </c>
      <c r="P422" s="135"/>
      <c r="Q422" s="135">
        <f>O422</f>
        <v>-4.8261065023837042E-2</v>
      </c>
    </row>
    <row r="423" spans="1:17">
      <c r="A423" s="140"/>
      <c r="B423" s="114"/>
      <c r="C423" s="429"/>
      <c r="D423" s="114"/>
      <c r="E423" s="114"/>
      <c r="F423" s="114"/>
      <c r="G423" s="902"/>
      <c r="H423" s="114"/>
      <c r="I423" s="907"/>
      <c r="J423" s="114"/>
      <c r="K423" s="906"/>
      <c r="L423" s="114"/>
      <c r="M423" s="135"/>
      <c r="N423" s="135"/>
      <c r="O423" s="135"/>
      <c r="P423" s="135"/>
      <c r="Q423" s="135"/>
    </row>
    <row r="424" spans="1:17" ht="12.95" thickBot="1">
      <c r="A424" s="140">
        <f>A422+1</f>
        <v>218</v>
      </c>
      <c r="B424" s="114"/>
      <c r="C424" s="114" t="s">
        <v>358</v>
      </c>
      <c r="D424" s="114"/>
      <c r="E424" s="140"/>
      <c r="F424" s="140"/>
      <c r="G424" s="902"/>
      <c r="H424" s="114"/>
      <c r="I424" s="902"/>
      <c r="J424" s="114"/>
      <c r="K424" s="908"/>
      <c r="L424" s="114"/>
      <c r="M424" s="135"/>
      <c r="N424" s="135"/>
      <c r="O424" s="905">
        <f>O403+O404+O405+O408+O409+O412+O413+O416+O417+O419+O421+O422</f>
        <v>46.47203453310874</v>
      </c>
      <c r="P424" s="135"/>
      <c r="Q424" s="905">
        <f>SUM(Q403:Q422)</f>
        <v>46.47203453310874</v>
      </c>
    </row>
    <row r="425" spans="1:17" ht="12.95" thickTop="1">
      <c r="A425" s="140"/>
      <c r="B425" s="114"/>
      <c r="C425" s="114"/>
      <c r="D425" s="114"/>
      <c r="E425" s="140"/>
      <c r="F425" s="140"/>
      <c r="G425" s="902"/>
      <c r="H425" s="114"/>
      <c r="I425" s="907"/>
      <c r="J425" s="114"/>
      <c r="K425" s="906"/>
      <c r="L425" s="114"/>
      <c r="M425" s="135"/>
      <c r="N425" s="135"/>
      <c r="O425" s="135"/>
      <c r="P425" s="135"/>
      <c r="Q425" s="135"/>
    </row>
    <row r="426" spans="1:17">
      <c r="A426" s="140"/>
      <c r="B426" s="114"/>
      <c r="C426" s="875" t="s">
        <v>149</v>
      </c>
      <c r="D426" s="114"/>
      <c r="E426" s="140"/>
      <c r="F426" s="140"/>
      <c r="G426" s="902"/>
      <c r="H426" s="114"/>
      <c r="I426" s="907"/>
      <c r="J426" s="114"/>
      <c r="K426" s="906"/>
      <c r="L426" s="114"/>
      <c r="M426" s="135"/>
      <c r="N426" s="135"/>
      <c r="O426" s="135"/>
      <c r="P426" s="135"/>
      <c r="Q426" s="135"/>
    </row>
    <row r="427" spans="1:17">
      <c r="A427" s="140"/>
      <c r="B427" s="114"/>
      <c r="C427" s="114" t="s">
        <v>1189</v>
      </c>
      <c r="D427" s="114"/>
      <c r="E427" s="140"/>
      <c r="F427" s="140"/>
      <c r="G427" s="902"/>
      <c r="H427" s="114"/>
      <c r="I427" s="907"/>
      <c r="J427" s="114"/>
      <c r="K427" s="906"/>
      <c r="L427" s="114"/>
      <c r="M427" s="135"/>
      <c r="N427" s="135"/>
      <c r="O427" s="135"/>
      <c r="P427" s="135"/>
      <c r="Q427" s="135"/>
    </row>
    <row r="428" spans="1:17">
      <c r="A428" s="140">
        <f>A424+1</f>
        <v>219</v>
      </c>
      <c r="B428" s="114"/>
      <c r="C428" s="476" t="s">
        <v>280</v>
      </c>
      <c r="D428" s="114"/>
      <c r="E428" s="140" t="s">
        <v>540</v>
      </c>
      <c r="F428" s="140"/>
      <c r="G428" s="902">
        <v>41.215699999999998</v>
      </c>
      <c r="H428" s="114"/>
      <c r="I428" s="902">
        <v>42.843837284773997</v>
      </c>
      <c r="J428" s="114"/>
      <c r="K428" s="906">
        <f>I428-G428</f>
        <v>1.6281372847739988</v>
      </c>
      <c r="L428" s="114"/>
      <c r="M428" s="135">
        <v>143.96799999999999</v>
      </c>
      <c r="N428" s="135"/>
      <c r="O428" s="135">
        <f>K428*M428/1000</f>
        <v>0.23439966861434303</v>
      </c>
      <c r="P428" s="135"/>
      <c r="Q428" s="135">
        <f>O428</f>
        <v>0.23439966861434303</v>
      </c>
    </row>
    <row r="429" spans="1:17">
      <c r="A429" s="140">
        <f>A428+1</f>
        <v>220</v>
      </c>
      <c r="B429" s="114"/>
      <c r="C429" s="476" t="s">
        <v>260</v>
      </c>
      <c r="D429" s="114"/>
      <c r="E429" s="140" t="s">
        <v>525</v>
      </c>
      <c r="F429" s="140"/>
      <c r="G429" s="902">
        <v>3.5497469625757372</v>
      </c>
      <c r="H429" s="114"/>
      <c r="I429" s="902">
        <v>3.4886437388688232</v>
      </c>
      <c r="J429" s="114"/>
      <c r="K429" s="906">
        <f>I429-G429</f>
        <v>-6.1103223706914012E-2</v>
      </c>
      <c r="L429" s="114"/>
      <c r="M429" s="135">
        <v>1668.864</v>
      </c>
      <c r="N429" s="135"/>
      <c r="O429" s="135">
        <f>K429*M429/1000</f>
        <v>-0.10197297032841535</v>
      </c>
      <c r="P429" s="135"/>
      <c r="Q429" s="135">
        <f>O429</f>
        <v>-0.10197297032841535</v>
      </c>
    </row>
    <row r="430" spans="1:17">
      <c r="A430" s="140"/>
      <c r="B430" s="114"/>
      <c r="C430" s="114"/>
      <c r="D430" s="114"/>
      <c r="E430" s="140"/>
      <c r="F430" s="140"/>
      <c r="G430" s="902"/>
      <c r="H430" s="114"/>
      <c r="I430" s="877"/>
      <c r="J430" s="114"/>
      <c r="K430" s="906"/>
      <c r="L430" s="114"/>
      <c r="M430" s="135"/>
      <c r="N430" s="135"/>
      <c r="O430" s="135"/>
      <c r="P430" s="135"/>
      <c r="Q430" s="114"/>
    </row>
    <row r="431" spans="1:17">
      <c r="A431" s="140">
        <f>A429+1</f>
        <v>221</v>
      </c>
      <c r="B431" s="114"/>
      <c r="C431" s="476" t="s">
        <v>351</v>
      </c>
      <c r="D431" s="114"/>
      <c r="E431" s="140" t="s">
        <v>525</v>
      </c>
      <c r="F431" s="140"/>
      <c r="G431" s="902">
        <v>3.8996858330865312</v>
      </c>
      <c r="H431" s="114"/>
      <c r="I431" s="902">
        <v>3.8481447892876419</v>
      </c>
      <c r="J431" s="114"/>
      <c r="K431" s="909">
        <f>I431-G431</f>
        <v>-5.1541043798889241E-2</v>
      </c>
      <c r="L431" s="114"/>
      <c r="M431" s="203">
        <v>0</v>
      </c>
      <c r="N431" s="203"/>
      <c r="O431" s="203">
        <f>K431*M431/1000</f>
        <v>0</v>
      </c>
      <c r="P431" s="203"/>
      <c r="Q431" s="921">
        <f>O431</f>
        <v>0</v>
      </c>
    </row>
    <row r="432" spans="1:17">
      <c r="A432" s="140"/>
      <c r="B432" s="114"/>
      <c r="C432" s="114"/>
      <c r="D432" s="114"/>
      <c r="E432" s="140"/>
      <c r="F432" s="140"/>
      <c r="G432" s="902"/>
      <c r="H432" s="114"/>
      <c r="I432" s="907"/>
      <c r="J432" s="114"/>
      <c r="K432" s="906"/>
      <c r="L432" s="114"/>
      <c r="M432" s="135"/>
      <c r="N432" s="135"/>
      <c r="O432" s="135"/>
      <c r="P432" s="135"/>
      <c r="Q432" s="135"/>
    </row>
    <row r="433" spans="1:17">
      <c r="A433" s="140"/>
      <c r="B433" s="114"/>
      <c r="C433" s="114" t="s">
        <v>1188</v>
      </c>
      <c r="D433" s="114"/>
      <c r="E433" s="140"/>
      <c r="F433" s="140"/>
      <c r="G433" s="902"/>
      <c r="H433" s="114"/>
      <c r="I433" s="907"/>
      <c r="J433" s="114"/>
      <c r="K433" s="906"/>
      <c r="L433" s="114"/>
      <c r="M433" s="135"/>
      <c r="N433" s="135"/>
      <c r="O433" s="135"/>
      <c r="P433" s="135"/>
      <c r="Q433" s="135"/>
    </row>
    <row r="434" spans="1:17">
      <c r="A434" s="140">
        <f>A431+1</f>
        <v>222</v>
      </c>
      <c r="B434" s="114"/>
      <c r="C434" s="476" t="s">
        <v>604</v>
      </c>
      <c r="D434" s="114"/>
      <c r="E434" s="140" t="s">
        <v>523</v>
      </c>
      <c r="F434" s="140"/>
      <c r="G434" s="99">
        <v>755.88</v>
      </c>
      <c r="H434" s="914"/>
      <c r="I434" s="99">
        <v>776.53463758949363</v>
      </c>
      <c r="J434" s="914"/>
      <c r="K434" s="99">
        <f>I434-G434</f>
        <v>20.654637589493632</v>
      </c>
      <c r="L434" s="114"/>
      <c r="M434" s="203">
        <v>152.00000000000003</v>
      </c>
      <c r="N434" s="135"/>
      <c r="O434" s="135">
        <f>K434*M434/1000</f>
        <v>3.1395049136030324</v>
      </c>
      <c r="P434" s="135"/>
      <c r="Q434" s="135">
        <f>O434</f>
        <v>3.1395049136030324</v>
      </c>
    </row>
    <row r="435" spans="1:17">
      <c r="A435" s="140"/>
      <c r="B435" s="114"/>
      <c r="C435" s="476" t="s">
        <v>260</v>
      </c>
      <c r="D435" s="114"/>
      <c r="E435" s="140"/>
      <c r="F435" s="140"/>
      <c r="G435" s="907"/>
      <c r="H435" s="114"/>
      <c r="I435" s="907"/>
      <c r="J435" s="114"/>
      <c r="K435" s="906"/>
      <c r="L435" s="114"/>
      <c r="M435" s="135"/>
      <c r="N435" s="135"/>
      <c r="O435" s="135"/>
      <c r="P435" s="135"/>
      <c r="Q435" s="135"/>
    </row>
    <row r="436" spans="1:17">
      <c r="A436" s="140"/>
      <c r="B436" s="114"/>
      <c r="C436" s="910" t="s">
        <v>1190</v>
      </c>
      <c r="D436" s="114"/>
      <c r="E436" s="140"/>
      <c r="F436" s="140"/>
      <c r="G436" s="907"/>
      <c r="H436" s="114"/>
      <c r="I436" s="907"/>
      <c r="J436" s="114"/>
      <c r="K436" s="906"/>
      <c r="L436" s="114"/>
      <c r="M436" s="135"/>
      <c r="N436" s="135"/>
      <c r="O436" s="135"/>
      <c r="P436" s="135"/>
      <c r="Q436" s="135"/>
    </row>
    <row r="437" spans="1:17">
      <c r="A437" s="140"/>
      <c r="B437" s="114"/>
      <c r="C437" s="910" t="s">
        <v>1191</v>
      </c>
      <c r="D437" s="114"/>
      <c r="E437" s="140"/>
      <c r="F437" s="140"/>
      <c r="G437" s="907"/>
      <c r="H437" s="114"/>
      <c r="I437" s="907"/>
      <c r="J437" s="114"/>
      <c r="K437" s="906"/>
      <c r="L437" s="114"/>
      <c r="M437" s="135"/>
      <c r="N437" s="135"/>
      <c r="O437" s="135"/>
      <c r="P437" s="135"/>
      <c r="Q437" s="135"/>
    </row>
    <row r="438" spans="1:17">
      <c r="A438" s="140"/>
      <c r="B438" s="114"/>
      <c r="C438" s="910" t="s">
        <v>1192</v>
      </c>
      <c r="D438" s="114"/>
      <c r="E438" s="140"/>
      <c r="F438" s="140"/>
      <c r="G438" s="907"/>
      <c r="H438" s="114"/>
      <c r="I438" s="907"/>
      <c r="J438" s="114"/>
      <c r="K438" s="906"/>
      <c r="L438" s="114"/>
      <c r="M438" s="135"/>
      <c r="N438" s="135"/>
      <c r="O438" s="135"/>
      <c r="P438" s="135"/>
      <c r="Q438" s="135"/>
    </row>
    <row r="439" spans="1:17">
      <c r="A439" s="140"/>
      <c r="B439" s="114"/>
      <c r="C439" s="910" t="s">
        <v>1193</v>
      </c>
      <c r="D439" s="114"/>
      <c r="E439" s="140"/>
      <c r="F439" s="140"/>
      <c r="G439" s="907"/>
      <c r="H439" s="114"/>
      <c r="I439" s="907"/>
      <c r="J439" s="114"/>
      <c r="K439" s="906"/>
      <c r="L439" s="114"/>
      <c r="M439" s="135"/>
      <c r="N439" s="135"/>
      <c r="O439" s="135"/>
      <c r="P439" s="135"/>
      <c r="Q439" s="135"/>
    </row>
    <row r="440" spans="1:17">
      <c r="A440" s="140">
        <f>A434+1</f>
        <v>223</v>
      </c>
      <c r="B440" s="114"/>
      <c r="C440" s="476" t="s">
        <v>333</v>
      </c>
      <c r="D440" s="114"/>
      <c r="E440" s="140" t="s">
        <v>525</v>
      </c>
      <c r="F440" s="140"/>
      <c r="G440" s="902">
        <v>3.4476824540554114</v>
      </c>
      <c r="H440" s="114"/>
      <c r="I440" s="902">
        <v>3.2719052054076672</v>
      </c>
      <c r="J440" s="114"/>
      <c r="K440" s="906">
        <f>I440-G440</f>
        <v>-0.17577724864774424</v>
      </c>
      <c r="L440" s="114"/>
      <c r="M440" s="135">
        <v>13357.983759999999</v>
      </c>
      <c r="N440" s="135"/>
      <c r="O440" s="135">
        <f>K440*M440/1000</f>
        <v>-2.3480296328140495</v>
      </c>
      <c r="P440" s="135"/>
      <c r="Q440" s="135">
        <f>O440</f>
        <v>-2.3480296328140495</v>
      </c>
    </row>
    <row r="441" spans="1:17">
      <c r="A441" s="140"/>
      <c r="B441" s="114"/>
      <c r="C441" s="114"/>
      <c r="D441" s="114"/>
      <c r="E441" s="140"/>
      <c r="F441" s="140"/>
      <c r="G441" s="902"/>
      <c r="H441" s="114"/>
      <c r="I441" s="907"/>
      <c r="J441" s="114"/>
      <c r="K441" s="906"/>
      <c r="L441" s="114"/>
      <c r="M441" s="135"/>
      <c r="N441" s="135"/>
      <c r="O441" s="135"/>
      <c r="P441" s="135"/>
      <c r="Q441" s="135"/>
    </row>
    <row r="442" spans="1:17">
      <c r="A442" s="140">
        <f>A440+1</f>
        <v>224</v>
      </c>
      <c r="B442" s="114"/>
      <c r="C442" s="476" t="s">
        <v>355</v>
      </c>
      <c r="D442" s="114"/>
      <c r="E442" s="140" t="s">
        <v>525</v>
      </c>
      <c r="F442" s="140"/>
      <c r="G442" s="902">
        <v>3.7970999999999999</v>
      </c>
      <c r="H442" s="114"/>
      <c r="I442" s="902">
        <v>3.6433022051426551</v>
      </c>
      <c r="J442" s="114"/>
      <c r="K442" s="909">
        <f>I442-G442</f>
        <v>-0.15379779485734479</v>
      </c>
      <c r="L442" s="114"/>
      <c r="M442" s="203">
        <v>0</v>
      </c>
      <c r="N442" s="203"/>
      <c r="O442" s="203">
        <f>K442*M442/1000</f>
        <v>0</v>
      </c>
      <c r="P442" s="203"/>
      <c r="Q442" s="921">
        <f>O442</f>
        <v>0</v>
      </c>
    </row>
    <row r="443" spans="1:17">
      <c r="A443" s="140">
        <f>A442+1</f>
        <v>225</v>
      </c>
      <c r="B443" s="114"/>
      <c r="C443" s="476" t="s">
        <v>359</v>
      </c>
      <c r="D443" s="114"/>
      <c r="E443" s="140" t="s">
        <v>525</v>
      </c>
      <c r="F443" s="140"/>
      <c r="G443" s="902">
        <v>-5.2999999999999999E-2</v>
      </c>
      <c r="H443" s="114"/>
      <c r="I443" s="902">
        <v>-5.2999999999999999E-2</v>
      </c>
      <c r="J443" s="114"/>
      <c r="K443" s="906">
        <f>I443-G443</f>
        <v>0</v>
      </c>
      <c r="L443" s="114"/>
      <c r="M443" s="135">
        <v>4763.6641599999994</v>
      </c>
      <c r="N443" s="135"/>
      <c r="O443" s="135">
        <f>K443*M443/1000</f>
        <v>0</v>
      </c>
      <c r="P443" s="135"/>
      <c r="Q443" s="921">
        <f>O443</f>
        <v>0</v>
      </c>
    </row>
    <row r="444" spans="1:17">
      <c r="A444" s="140">
        <f>A443+1</f>
        <v>226</v>
      </c>
      <c r="B444" s="114"/>
      <c r="C444" s="476" t="s">
        <v>360</v>
      </c>
      <c r="D444" s="114"/>
      <c r="E444" s="140" t="s">
        <v>525</v>
      </c>
      <c r="F444" s="140"/>
      <c r="G444" s="902">
        <v>-2.1199999999999999E-3</v>
      </c>
      <c r="H444" s="114"/>
      <c r="I444" s="902">
        <v>-2.1199999999999999E-3</v>
      </c>
      <c r="J444" s="114"/>
      <c r="K444" s="906">
        <f>I444-G444</f>
        <v>0</v>
      </c>
      <c r="L444" s="114"/>
      <c r="M444" s="135">
        <v>4846.4996999999994</v>
      </c>
      <c r="N444" s="135"/>
      <c r="O444" s="135">
        <f>K444*M444/1000</f>
        <v>0</v>
      </c>
      <c r="P444" s="135"/>
      <c r="Q444" s="921">
        <f>O444</f>
        <v>0</v>
      </c>
    </row>
    <row r="445" spans="1:17">
      <c r="A445" s="140"/>
      <c r="B445" s="114"/>
      <c r="C445" s="114"/>
      <c r="D445" s="114"/>
      <c r="E445" s="140"/>
      <c r="F445" s="140"/>
      <c r="G445" s="902"/>
      <c r="H445" s="114"/>
      <c r="I445" s="907"/>
      <c r="J445" s="114"/>
      <c r="K445" s="906"/>
      <c r="L445" s="114"/>
      <c r="M445" s="135"/>
      <c r="N445" s="135"/>
      <c r="O445" s="135"/>
      <c r="P445" s="135"/>
      <c r="Q445" s="135"/>
    </row>
    <row r="446" spans="1:17">
      <c r="A446" s="140">
        <f>A444+1</f>
        <v>227</v>
      </c>
      <c r="B446" s="114"/>
      <c r="C446" s="114" t="s">
        <v>606</v>
      </c>
      <c r="D446" s="114"/>
      <c r="E446" s="140" t="s">
        <v>525</v>
      </c>
      <c r="F446" s="140"/>
      <c r="G446" s="902">
        <v>0.20849999999999999</v>
      </c>
      <c r="H446" s="114"/>
      <c r="I446" s="902">
        <v>0.21419732224349022</v>
      </c>
      <c r="J446" s="114"/>
      <c r="K446" s="906">
        <f>I446-G446</f>
        <v>5.6973222434902326E-3</v>
      </c>
      <c r="L446" s="114"/>
      <c r="M446" s="135">
        <v>0</v>
      </c>
      <c r="N446" s="135"/>
      <c r="O446" s="135">
        <f>K446*M446/1000</f>
        <v>0</v>
      </c>
      <c r="P446" s="135"/>
      <c r="Q446" s="921">
        <f>O446</f>
        <v>0</v>
      </c>
    </row>
    <row r="447" spans="1:17">
      <c r="A447" s="140">
        <f>A446+1</f>
        <v>228</v>
      </c>
      <c r="B447" s="114"/>
      <c r="C447" s="114" t="s">
        <v>270</v>
      </c>
      <c r="D447" s="114"/>
      <c r="E447" s="140" t="s">
        <v>525</v>
      </c>
      <c r="F447" s="140"/>
      <c r="G447" s="902">
        <v>20.538400000000003</v>
      </c>
      <c r="H447" s="114"/>
      <c r="I447" s="902">
        <v>20.536380661324731</v>
      </c>
      <c r="J447" s="114"/>
      <c r="K447" s="906">
        <f>I447-G447</f>
        <v>-2.019338675271598E-3</v>
      </c>
      <c r="L447" s="114"/>
      <c r="M447" s="135">
        <v>564.92779999999993</v>
      </c>
      <c r="N447" s="135"/>
      <c r="O447" s="135">
        <f>K447*M447/1000</f>
        <v>-1.1407805552760982E-3</v>
      </c>
      <c r="P447" s="135"/>
      <c r="Q447" s="135">
        <f>O447</f>
        <v>-1.1407805552760982E-3</v>
      </c>
    </row>
    <row r="448" spans="1:17">
      <c r="A448" s="140"/>
      <c r="B448" s="114"/>
      <c r="C448" s="429"/>
      <c r="D448" s="114"/>
      <c r="E448" s="114"/>
      <c r="F448" s="114"/>
      <c r="G448" s="902"/>
      <c r="H448" s="114"/>
      <c r="I448" s="907"/>
      <c r="J448" s="114"/>
      <c r="K448" s="906"/>
      <c r="L448" s="114"/>
      <c r="M448" s="135"/>
      <c r="N448" s="135"/>
      <c r="O448" s="135"/>
      <c r="P448" s="135"/>
      <c r="Q448" s="135"/>
    </row>
    <row r="449" spans="1:17" ht="12.95" thickBot="1">
      <c r="A449" s="140">
        <f>A447+1</f>
        <v>229</v>
      </c>
      <c r="B449" s="114"/>
      <c r="C449" s="114" t="s">
        <v>1194</v>
      </c>
      <c r="D449" s="114"/>
      <c r="E449" s="140"/>
      <c r="F449" s="140"/>
      <c r="G449" s="902"/>
      <c r="H449" s="114"/>
      <c r="I449" s="902"/>
      <c r="J449" s="114"/>
      <c r="K449" s="908"/>
      <c r="L449" s="114"/>
      <c r="M449" s="135"/>
      <c r="N449" s="135"/>
      <c r="O449" s="905">
        <f>O428+O429+O431+O434+O440+O442+O443+O444+O446+O447</f>
        <v>0.92276119851963467</v>
      </c>
      <c r="P449" s="135"/>
      <c r="Q449" s="905">
        <f>SUM(Q428:Q447)</f>
        <v>0.92276119851963467</v>
      </c>
    </row>
    <row r="450" spans="1:17" ht="12.95" thickTop="1">
      <c r="A450" s="140"/>
      <c r="B450" s="114"/>
      <c r="C450" s="114"/>
      <c r="D450" s="114"/>
      <c r="E450" s="140"/>
      <c r="F450" s="140"/>
      <c r="G450" s="907"/>
      <c r="H450" s="114"/>
      <c r="I450" s="114"/>
      <c r="J450" s="114"/>
      <c r="K450" s="906"/>
      <c r="L450" s="114"/>
      <c r="M450" s="135"/>
      <c r="N450" s="135"/>
      <c r="O450" s="135"/>
      <c r="P450" s="135"/>
      <c r="Q450" s="135"/>
    </row>
    <row r="451" spans="1:17">
      <c r="A451" s="140"/>
      <c r="B451" s="114"/>
      <c r="C451" s="875" t="s">
        <v>150</v>
      </c>
      <c r="D451" s="114"/>
      <c r="E451" s="140"/>
      <c r="F451" s="140"/>
      <c r="G451" s="114"/>
      <c r="H451" s="114"/>
      <c r="I451" s="922"/>
      <c r="J451" s="114"/>
      <c r="K451" s="906"/>
      <c r="L451" s="114"/>
      <c r="M451" s="135"/>
      <c r="N451" s="135"/>
      <c r="O451" s="135"/>
      <c r="P451" s="135"/>
      <c r="Q451" s="135"/>
    </row>
    <row r="452" spans="1:17">
      <c r="A452" s="140"/>
      <c r="B452" s="114"/>
      <c r="C452" s="114" t="s">
        <v>361</v>
      </c>
      <c r="D452" s="114"/>
      <c r="E452" s="140"/>
      <c r="F452" s="140"/>
      <c r="G452" s="114"/>
      <c r="H452" s="114"/>
      <c r="I452" s="114"/>
      <c r="J452" s="114"/>
      <c r="K452" s="906"/>
      <c r="L452" s="114"/>
      <c r="M452" s="135"/>
      <c r="N452" s="135"/>
      <c r="O452" s="135"/>
      <c r="P452" s="135"/>
      <c r="Q452" s="135"/>
    </row>
    <row r="453" spans="1:17">
      <c r="A453" s="140">
        <f>A449+1</f>
        <v>230</v>
      </c>
      <c r="B453" s="114"/>
      <c r="C453" s="476" t="s">
        <v>280</v>
      </c>
      <c r="D453" s="114"/>
      <c r="E453" s="140" t="s">
        <v>540</v>
      </c>
      <c r="F453" s="140"/>
      <c r="G453" s="902">
        <v>34.034500000000001</v>
      </c>
      <c r="H453" s="114"/>
      <c r="I453" s="902">
        <v>37.184126254854291</v>
      </c>
      <c r="J453" s="114"/>
      <c r="K453" s="906">
        <f>I453-G453</f>
        <v>3.1496262548542902</v>
      </c>
      <c r="L453" s="114"/>
      <c r="M453" s="135">
        <v>23644.455999999998</v>
      </c>
      <c r="N453" s="135"/>
      <c r="O453" s="135">
        <f>K453*M453/1000</f>
        <v>74.471199399347043</v>
      </c>
      <c r="P453" s="135"/>
      <c r="Q453" s="135">
        <f>O453</f>
        <v>74.471199399347043</v>
      </c>
    </row>
    <row r="454" spans="1:17">
      <c r="A454" s="140">
        <f>A453+1</f>
        <v>231</v>
      </c>
      <c r="B454" s="114"/>
      <c r="C454" s="476" t="s">
        <v>260</v>
      </c>
      <c r="D454" s="114"/>
      <c r="E454" s="140" t="s">
        <v>525</v>
      </c>
      <c r="F454" s="140"/>
      <c r="G454" s="902">
        <v>0.45379999999999998</v>
      </c>
      <c r="H454" s="114"/>
      <c r="I454" s="902">
        <v>0.46984452849414055</v>
      </c>
      <c r="J454" s="114"/>
      <c r="K454" s="906">
        <f>I454-G454</f>
        <v>1.6044528494140564E-2</v>
      </c>
      <c r="L454" s="114"/>
      <c r="M454" s="135">
        <v>298268.05736000004</v>
      </c>
      <c r="N454" s="135"/>
      <c r="O454" s="135">
        <f>K454*M454/1000</f>
        <v>4.7855703452044729</v>
      </c>
      <c r="P454" s="135"/>
      <c r="Q454" s="135">
        <f>O454</f>
        <v>4.7855703452044729</v>
      </c>
    </row>
    <row r="455" spans="1:17">
      <c r="A455" s="140"/>
      <c r="B455" s="114"/>
      <c r="C455" s="114"/>
      <c r="D455" s="114"/>
      <c r="E455" s="140"/>
      <c r="F455" s="140"/>
      <c r="G455" s="902"/>
      <c r="H455" s="114"/>
      <c r="I455" s="907"/>
      <c r="J455" s="114"/>
      <c r="K455" s="906"/>
      <c r="L455" s="114"/>
      <c r="M455" s="135"/>
      <c r="N455" s="135"/>
      <c r="O455" s="135"/>
      <c r="P455" s="135"/>
      <c r="Q455" s="135"/>
    </row>
    <row r="456" spans="1:17">
      <c r="A456" s="140">
        <f>A454+1</f>
        <v>232</v>
      </c>
      <c r="B456" s="114"/>
      <c r="C456" s="476" t="s">
        <v>351</v>
      </c>
      <c r="D456" s="114"/>
      <c r="E456" s="140" t="s">
        <v>525</v>
      </c>
      <c r="F456" s="140"/>
      <c r="G456" s="902">
        <v>0.45379999999999998</v>
      </c>
      <c r="H456" s="114"/>
      <c r="I456" s="902">
        <v>0.46984452849414055</v>
      </c>
      <c r="J456" s="114"/>
      <c r="K456" s="906">
        <f>I456-G456</f>
        <v>1.6044528494140564E-2</v>
      </c>
      <c r="L456" s="114"/>
      <c r="M456" s="135">
        <v>1791.0060000000001</v>
      </c>
      <c r="N456" s="135"/>
      <c r="O456" s="135">
        <f>K456*M456/1000</f>
        <v>2.8735846800176715E-2</v>
      </c>
      <c r="P456" s="135"/>
      <c r="Q456" s="135">
        <f>O456</f>
        <v>2.8735846800176715E-2</v>
      </c>
    </row>
    <row r="457" spans="1:17">
      <c r="A457" s="140"/>
      <c r="B457" s="114"/>
      <c r="C457" s="114"/>
      <c r="D457" s="114"/>
      <c r="E457" s="140"/>
      <c r="F457" s="140"/>
      <c r="G457" s="902"/>
      <c r="H457" s="114"/>
      <c r="I457" s="907"/>
      <c r="J457" s="114"/>
      <c r="K457" s="906"/>
      <c r="L457" s="114"/>
      <c r="M457" s="135"/>
      <c r="N457" s="135"/>
      <c r="O457" s="135"/>
      <c r="P457" s="135"/>
      <c r="Q457" s="135"/>
    </row>
    <row r="458" spans="1:17">
      <c r="A458" s="140">
        <f>A456+1</f>
        <v>233</v>
      </c>
      <c r="B458" s="114"/>
      <c r="C458" s="114" t="s">
        <v>608</v>
      </c>
      <c r="D458" s="114"/>
      <c r="E458" s="140"/>
      <c r="F458" s="140"/>
      <c r="G458" s="902"/>
      <c r="H458" s="114"/>
      <c r="I458" s="907"/>
      <c r="J458" s="114"/>
      <c r="K458" s="906"/>
      <c r="L458" s="114"/>
      <c r="M458" s="135"/>
      <c r="N458" s="135"/>
      <c r="O458" s="135"/>
      <c r="P458" s="135"/>
      <c r="Q458" s="135"/>
    </row>
    <row r="459" spans="1:17">
      <c r="A459" s="140">
        <f>A458+1</f>
        <v>234</v>
      </c>
      <c r="B459" s="114"/>
      <c r="C459" s="476" t="s">
        <v>333</v>
      </c>
      <c r="D459" s="114"/>
      <c r="E459" s="140" t="s">
        <v>525</v>
      </c>
      <c r="F459" s="140"/>
      <c r="G459" s="902">
        <v>2.4513716001416475</v>
      </c>
      <c r="H459" s="114"/>
      <c r="I459" s="902">
        <v>2.792516869579234</v>
      </c>
      <c r="J459" s="114"/>
      <c r="K459" s="906">
        <f>I459-G459</f>
        <v>0.3411452694375865</v>
      </c>
      <c r="L459" s="114"/>
      <c r="M459" s="135">
        <v>34249.794279999995</v>
      </c>
      <c r="N459" s="135"/>
      <c r="O459" s="135">
        <f>K459*M459/1000</f>
        <v>11.684155297832508</v>
      </c>
      <c r="P459" s="135"/>
      <c r="Q459" s="135">
        <f>O459</f>
        <v>11.684155297832508</v>
      </c>
    </row>
    <row r="460" spans="1:17">
      <c r="A460" s="140"/>
      <c r="B460" s="114"/>
      <c r="C460" s="114"/>
      <c r="D460" s="114"/>
      <c r="E460" s="140"/>
      <c r="F460" s="140"/>
      <c r="G460" s="902"/>
      <c r="H460" s="114"/>
      <c r="I460" s="907"/>
      <c r="J460" s="114"/>
      <c r="K460" s="906"/>
      <c r="L460" s="114"/>
      <c r="M460" s="135"/>
      <c r="N460" s="135"/>
      <c r="O460" s="135"/>
      <c r="P460" s="135"/>
      <c r="Q460" s="135"/>
    </row>
    <row r="461" spans="1:17">
      <c r="A461" s="140">
        <f>A459+1</f>
        <v>235</v>
      </c>
      <c r="B461" s="114"/>
      <c r="C461" s="476" t="s">
        <v>355</v>
      </c>
      <c r="D461" s="114"/>
      <c r="E461" s="140" t="s">
        <v>525</v>
      </c>
      <c r="F461" s="140"/>
      <c r="G461" s="902">
        <v>2.5402936060527579</v>
      </c>
      <c r="H461" s="114"/>
      <c r="I461" s="902">
        <v>2.8658435532156523</v>
      </c>
      <c r="J461" s="114"/>
      <c r="K461" s="906">
        <f>I461-G461</f>
        <v>0.32554994716289443</v>
      </c>
      <c r="L461" s="114"/>
      <c r="M461" s="135">
        <v>0</v>
      </c>
      <c r="N461" s="135"/>
      <c r="O461" s="135">
        <f>K461*M461/1000</f>
        <v>0</v>
      </c>
      <c r="P461" s="135"/>
      <c r="Q461" s="921">
        <f>O461</f>
        <v>0</v>
      </c>
    </row>
    <row r="462" spans="1:17">
      <c r="A462" s="140"/>
      <c r="B462" s="114"/>
      <c r="C462" s="876"/>
      <c r="D462" s="114"/>
      <c r="E462" s="140"/>
      <c r="F462" s="140"/>
      <c r="G462" s="902"/>
      <c r="H462" s="114"/>
      <c r="I462" s="907"/>
      <c r="J462" s="114"/>
      <c r="K462" s="906"/>
      <c r="L462" s="114"/>
      <c r="M462" s="135"/>
      <c r="N462" s="135"/>
      <c r="O462" s="135"/>
      <c r="P462" s="135"/>
      <c r="Q462" s="135"/>
    </row>
    <row r="463" spans="1:17">
      <c r="A463" s="140">
        <f>A461+1</f>
        <v>236</v>
      </c>
      <c r="B463" s="114"/>
      <c r="C463" s="114" t="s">
        <v>270</v>
      </c>
      <c r="D463" s="114"/>
      <c r="E463" s="140" t="s">
        <v>525</v>
      </c>
      <c r="F463" s="140"/>
      <c r="G463" s="902">
        <v>20.538400000000003</v>
      </c>
      <c r="H463" s="114"/>
      <c r="I463" s="902">
        <v>20.536380661324731</v>
      </c>
      <c r="J463" s="114"/>
      <c r="K463" s="906">
        <f>I463-G463</f>
        <v>-2.019338675271598E-3</v>
      </c>
      <c r="L463" s="114"/>
      <c r="M463" s="135">
        <v>13353.064</v>
      </c>
      <c r="N463" s="135"/>
      <c r="O463" s="135">
        <f>K463*M463/1000</f>
        <v>-2.6964358568576867E-2</v>
      </c>
      <c r="P463" s="135"/>
      <c r="Q463" s="135">
        <f>O463</f>
        <v>-2.6964358568576867E-2</v>
      </c>
    </row>
    <row r="464" spans="1:17">
      <c r="A464" s="140"/>
      <c r="B464" s="114"/>
      <c r="C464" s="429"/>
      <c r="D464" s="114"/>
      <c r="E464" s="114"/>
      <c r="F464" s="114"/>
      <c r="G464" s="902"/>
      <c r="H464" s="114"/>
      <c r="I464" s="907"/>
      <c r="J464" s="114"/>
      <c r="K464" s="906"/>
      <c r="L464" s="114"/>
      <c r="M464" s="135"/>
      <c r="N464" s="135"/>
      <c r="O464" s="135"/>
      <c r="P464" s="135"/>
      <c r="Q464" s="135"/>
    </row>
    <row r="465" spans="1:17" ht="12.95" thickBot="1">
      <c r="A465" s="140">
        <f>A463+1</f>
        <v>237</v>
      </c>
      <c r="B465" s="114"/>
      <c r="C465" s="114" t="s">
        <v>364</v>
      </c>
      <c r="D465" s="114"/>
      <c r="E465" s="140"/>
      <c r="F465" s="140"/>
      <c r="G465" s="902"/>
      <c r="H465" s="114"/>
      <c r="I465" s="902"/>
      <c r="J465" s="114"/>
      <c r="K465" s="908"/>
      <c r="L465" s="114"/>
      <c r="M465" s="135"/>
      <c r="N465" s="135"/>
      <c r="O465" s="905">
        <f>O453+O454+O456+O459+O461+O463</f>
        <v>90.942696530615621</v>
      </c>
      <c r="P465" s="135"/>
      <c r="Q465" s="905">
        <f>SUM(Q453:Q464)</f>
        <v>90.942696530615621</v>
      </c>
    </row>
    <row r="466" spans="1:17" ht="12.95" thickTop="1">
      <c r="A466" s="140"/>
      <c r="B466" s="114"/>
      <c r="C466" s="114"/>
      <c r="D466" s="114"/>
      <c r="E466" s="140"/>
      <c r="F466" s="140"/>
      <c r="G466" s="902"/>
      <c r="H466" s="114"/>
      <c r="I466" s="907"/>
      <c r="J466" s="114"/>
      <c r="K466" s="906"/>
      <c r="L466" s="114"/>
      <c r="M466" s="135"/>
      <c r="N466" s="135"/>
      <c r="O466" s="135"/>
      <c r="P466" s="135"/>
      <c r="Q466" s="135"/>
    </row>
    <row r="467" spans="1:17">
      <c r="A467" s="140"/>
      <c r="B467" s="114"/>
      <c r="C467" s="875" t="s">
        <v>151</v>
      </c>
      <c r="D467" s="114"/>
      <c r="E467" s="140"/>
      <c r="F467" s="140"/>
      <c r="G467" s="902"/>
      <c r="H467" s="114"/>
      <c r="I467" s="907"/>
      <c r="J467" s="114"/>
      <c r="K467" s="906"/>
      <c r="L467" s="114"/>
      <c r="M467" s="135"/>
      <c r="N467" s="135"/>
      <c r="O467" s="135"/>
      <c r="P467" s="135"/>
      <c r="Q467" s="135"/>
    </row>
    <row r="468" spans="1:17">
      <c r="A468" s="140">
        <f>A465+1</f>
        <v>238</v>
      </c>
      <c r="B468" s="114"/>
      <c r="C468" s="114" t="s">
        <v>280</v>
      </c>
      <c r="D468" s="114"/>
      <c r="E468" s="140" t="s">
        <v>540</v>
      </c>
      <c r="F468" s="140"/>
      <c r="G468" s="902">
        <v>27.228400000000001</v>
      </c>
      <c r="H468" s="114"/>
      <c r="I468" s="902">
        <v>27.978651514597903</v>
      </c>
      <c r="J468" s="114"/>
      <c r="K468" s="906">
        <f>I468-G468</f>
        <v>0.75025151459790251</v>
      </c>
      <c r="L468" s="114"/>
      <c r="M468" s="135">
        <v>2013.4880000000001</v>
      </c>
      <c r="N468" s="135"/>
      <c r="O468" s="135">
        <f>K468*M468/1000</f>
        <v>1.5106224216247015</v>
      </c>
      <c r="P468" s="135"/>
      <c r="Q468" s="135">
        <f>O468</f>
        <v>1.5106224216247015</v>
      </c>
    </row>
    <row r="469" spans="1:17">
      <c r="A469" s="140">
        <f>A468+1</f>
        <v>239</v>
      </c>
      <c r="B469" s="114"/>
      <c r="C469" s="429" t="s">
        <v>260</v>
      </c>
      <c r="D469" s="114"/>
      <c r="E469" s="140" t="s">
        <v>525</v>
      </c>
      <c r="F469" s="140"/>
      <c r="G469" s="902">
        <v>0.30399999999999999</v>
      </c>
      <c r="H469" s="114"/>
      <c r="I469" s="902">
        <v>0.31775517164662925</v>
      </c>
      <c r="J469" s="114"/>
      <c r="K469" s="906">
        <f>I469-G469</f>
        <v>1.3755171646629261E-2</v>
      </c>
      <c r="L469" s="114"/>
      <c r="M469" s="135">
        <v>33496.639799999997</v>
      </c>
      <c r="N469" s="135"/>
      <c r="O469" s="135">
        <f>K469*M469/1000</f>
        <v>0.4607520300343132</v>
      </c>
      <c r="P469" s="135"/>
      <c r="Q469" s="135">
        <f>O469</f>
        <v>0.4607520300343132</v>
      </c>
    </row>
    <row r="470" spans="1:17">
      <c r="A470" s="140"/>
      <c r="B470" s="114"/>
      <c r="C470" s="114"/>
      <c r="D470" s="114"/>
      <c r="E470" s="140"/>
      <c r="F470" s="140"/>
      <c r="G470" s="902"/>
      <c r="H470" s="114"/>
      <c r="I470" s="907"/>
      <c r="J470" s="114"/>
      <c r="K470" s="906"/>
      <c r="L470" s="114"/>
      <c r="M470" s="135"/>
      <c r="N470" s="135"/>
      <c r="O470" s="135"/>
      <c r="P470" s="135"/>
      <c r="Q470" s="135"/>
    </row>
    <row r="471" spans="1:17">
      <c r="A471" s="140">
        <f>A469+1</f>
        <v>240</v>
      </c>
      <c r="B471" s="114"/>
      <c r="C471" s="114" t="s">
        <v>270</v>
      </c>
      <c r="D471" s="114"/>
      <c r="E471" s="140" t="s">
        <v>525</v>
      </c>
      <c r="F471" s="140"/>
      <c r="G471" s="902">
        <v>20.538400000000003</v>
      </c>
      <c r="H471" s="114"/>
      <c r="I471" s="902">
        <v>20.536380661324735</v>
      </c>
      <c r="J471" s="114"/>
      <c r="K471" s="906">
        <f>I471-G471</f>
        <v>-2.0193386752680453E-3</v>
      </c>
      <c r="L471" s="114"/>
      <c r="M471" s="135">
        <v>8636.8859000000011</v>
      </c>
      <c r="N471" s="135"/>
      <c r="O471" s="135">
        <f>K471*M471/1000</f>
        <v>-1.7440797731747261E-2</v>
      </c>
      <c r="P471" s="135"/>
      <c r="Q471" s="135">
        <f>O471</f>
        <v>-1.7440797731747261E-2</v>
      </c>
    </row>
    <row r="472" spans="1:17">
      <c r="A472" s="140"/>
      <c r="B472" s="114"/>
      <c r="C472" s="429"/>
      <c r="D472" s="114"/>
      <c r="E472" s="114"/>
      <c r="F472" s="114"/>
      <c r="G472" s="902"/>
      <c r="H472" s="114"/>
      <c r="I472" s="907"/>
      <c r="J472" s="114"/>
      <c r="K472" s="906"/>
      <c r="L472" s="114"/>
      <c r="M472" s="135"/>
      <c r="N472" s="135"/>
      <c r="O472" s="135"/>
      <c r="P472" s="135"/>
      <c r="Q472" s="135"/>
    </row>
    <row r="473" spans="1:17" ht="12.95" thickBot="1">
      <c r="A473" s="140">
        <f>A471+1</f>
        <v>241</v>
      </c>
      <c r="B473" s="114"/>
      <c r="C473" s="114" t="s">
        <v>365</v>
      </c>
      <c r="D473" s="114"/>
      <c r="E473" s="140"/>
      <c r="F473" s="140"/>
      <c r="G473" s="902"/>
      <c r="H473" s="114"/>
      <c r="I473" s="902"/>
      <c r="J473" s="114"/>
      <c r="K473" s="908"/>
      <c r="L473" s="114"/>
      <c r="M473" s="135"/>
      <c r="N473" s="135"/>
      <c r="O473" s="905">
        <f>O468+O469+O471</f>
        <v>1.9539336539272674</v>
      </c>
      <c r="P473" s="135"/>
      <c r="Q473" s="905">
        <f>SUM(Q468:Q471)</f>
        <v>1.9539336539272674</v>
      </c>
    </row>
    <row r="474" spans="1:17" ht="12.95" thickTop="1">
      <c r="A474" s="140"/>
      <c r="B474" s="114"/>
      <c r="C474" s="876"/>
      <c r="D474" s="114"/>
      <c r="E474" s="140"/>
      <c r="F474" s="140"/>
      <c r="G474" s="907"/>
      <c r="H474" s="114"/>
      <c r="I474" s="907"/>
      <c r="J474" s="114"/>
      <c r="K474" s="906"/>
      <c r="L474" s="114"/>
      <c r="M474" s="135"/>
      <c r="N474" s="135"/>
      <c r="O474" s="135"/>
      <c r="P474" s="135"/>
      <c r="Q474" s="135"/>
    </row>
    <row r="475" spans="1:17">
      <c r="A475" s="140"/>
      <c r="B475" s="114"/>
      <c r="C475" s="114"/>
      <c r="D475" s="114"/>
      <c r="E475" s="140"/>
      <c r="F475" s="140"/>
      <c r="G475" s="114"/>
      <c r="H475" s="114"/>
      <c r="I475" s="114"/>
      <c r="J475" s="114"/>
      <c r="K475" s="906"/>
      <c r="L475" s="114"/>
      <c r="M475" s="135"/>
      <c r="N475" s="135"/>
      <c r="O475" s="135"/>
      <c r="P475" s="135"/>
      <c r="Q475" s="135"/>
    </row>
    <row r="476" spans="1:17">
      <c r="A476" s="140"/>
      <c r="B476" s="114"/>
      <c r="C476" s="114"/>
      <c r="D476" s="114"/>
      <c r="E476" s="140"/>
      <c r="F476" s="140"/>
      <c r="G476" s="114"/>
      <c r="H476" s="114"/>
      <c r="I476" s="114"/>
      <c r="J476" s="114"/>
      <c r="K476" s="906"/>
      <c r="L476" s="114"/>
      <c r="M476" s="135"/>
      <c r="N476" s="135"/>
      <c r="O476" s="135"/>
      <c r="P476" s="135"/>
      <c r="Q476" s="135"/>
    </row>
    <row r="477" spans="1:17">
      <c r="A477" s="140"/>
      <c r="B477" s="114"/>
      <c r="C477" s="114"/>
      <c r="D477" s="114"/>
      <c r="E477" s="140"/>
      <c r="F477" s="140"/>
      <c r="G477" s="114"/>
      <c r="H477" s="114"/>
      <c r="I477" s="114"/>
      <c r="J477" s="114"/>
      <c r="K477" s="906"/>
      <c r="L477" s="114"/>
      <c r="M477" s="135"/>
      <c r="N477" s="135"/>
      <c r="O477" s="135"/>
      <c r="P477" s="135"/>
      <c r="Q477" s="135"/>
    </row>
    <row r="478" spans="1:17">
      <c r="A478" s="140"/>
      <c r="B478" s="114"/>
      <c r="C478" s="114"/>
      <c r="D478" s="114"/>
      <c r="E478" s="140"/>
      <c r="F478" s="140"/>
      <c r="G478" s="114"/>
      <c r="H478" s="114"/>
      <c r="I478" s="114"/>
      <c r="J478" s="114"/>
      <c r="K478" s="906"/>
      <c r="L478" s="114"/>
      <c r="M478" s="135"/>
      <c r="N478" s="135"/>
      <c r="O478" s="135"/>
      <c r="P478" s="135"/>
      <c r="Q478" s="135"/>
    </row>
    <row r="479" spans="1:17">
      <c r="A479" s="140"/>
      <c r="B479" s="114"/>
      <c r="C479" s="114"/>
      <c r="D479" s="114"/>
      <c r="E479" s="140"/>
      <c r="F479" s="140"/>
      <c r="G479" s="114"/>
      <c r="H479" s="114"/>
      <c r="I479" s="114"/>
      <c r="J479" s="114"/>
      <c r="K479" s="906"/>
      <c r="L479" s="114"/>
      <c r="M479" s="135"/>
      <c r="N479" s="135"/>
      <c r="O479" s="135"/>
      <c r="P479" s="135"/>
      <c r="Q479" s="135"/>
    </row>
    <row r="480" spans="1:17">
      <c r="A480" s="140"/>
      <c r="B480" s="114"/>
      <c r="C480" s="114"/>
      <c r="D480" s="114"/>
      <c r="E480" s="140"/>
      <c r="F480" s="140"/>
      <c r="G480" s="114"/>
      <c r="H480" s="114"/>
      <c r="I480" s="114"/>
      <c r="J480" s="114"/>
      <c r="K480" s="906"/>
      <c r="L480" s="114"/>
      <c r="M480" s="135"/>
      <c r="N480" s="135"/>
      <c r="O480" s="135"/>
      <c r="P480" s="135"/>
      <c r="Q480" s="135"/>
    </row>
    <row r="481" spans="1:17">
      <c r="A481" s="140"/>
      <c r="B481" s="114"/>
      <c r="C481" s="114"/>
      <c r="D481" s="114"/>
      <c r="E481" s="140"/>
      <c r="F481" s="140"/>
      <c r="G481" s="114"/>
      <c r="H481" s="114"/>
      <c r="I481" s="114"/>
      <c r="J481" s="114"/>
      <c r="K481" s="906"/>
      <c r="L481" s="114"/>
      <c r="M481" s="135"/>
      <c r="N481" s="135"/>
      <c r="O481" s="135"/>
      <c r="P481" s="135"/>
      <c r="Q481" s="135"/>
    </row>
    <row r="482" spans="1:17">
      <c r="A482" s="1187" t="s">
        <v>1138</v>
      </c>
      <c r="B482" s="1188"/>
      <c r="C482" s="1188"/>
      <c r="D482" s="1188"/>
      <c r="E482" s="1188"/>
      <c r="F482" s="1188"/>
      <c r="G482" s="1188"/>
      <c r="H482" s="1188"/>
      <c r="I482" s="1188"/>
      <c r="J482" s="1188"/>
      <c r="K482" s="1188"/>
      <c r="L482" s="1188"/>
      <c r="M482" s="1188"/>
      <c r="N482" s="1188"/>
      <c r="O482" s="1188"/>
      <c r="P482" s="1188"/>
      <c r="Q482" s="1188"/>
    </row>
    <row r="483" spans="1:17">
      <c r="A483" s="1187" t="s">
        <v>1157</v>
      </c>
      <c r="B483" s="1187"/>
      <c r="C483" s="1187"/>
      <c r="D483" s="1187"/>
      <c r="E483" s="1187"/>
      <c r="F483" s="1187"/>
      <c r="G483" s="1187"/>
      <c r="H483" s="1187"/>
      <c r="I483" s="1187"/>
      <c r="J483" s="1187"/>
      <c r="K483" s="1187"/>
      <c r="L483" s="1187"/>
      <c r="M483" s="1187"/>
      <c r="N483" s="1187"/>
      <c r="O483" s="1187"/>
      <c r="P483" s="1187"/>
      <c r="Q483" s="1187"/>
    </row>
    <row r="484" spans="1:17">
      <c r="A484" s="140"/>
      <c r="B484" s="114"/>
      <c r="C484" s="114"/>
      <c r="D484" s="114"/>
      <c r="E484" s="114"/>
      <c r="F484" s="114"/>
      <c r="G484" s="114"/>
      <c r="H484" s="114"/>
      <c r="I484" s="114"/>
      <c r="J484" s="114"/>
      <c r="K484" s="114"/>
      <c r="L484" s="114"/>
      <c r="M484" s="114"/>
      <c r="N484" s="114"/>
      <c r="O484" s="114"/>
      <c r="P484" s="114"/>
      <c r="Q484" s="114"/>
    </row>
    <row r="485" spans="1:17">
      <c r="A485" s="140"/>
      <c r="B485" s="114"/>
      <c r="C485" s="114"/>
      <c r="D485" s="114"/>
      <c r="E485" s="114"/>
      <c r="F485" s="114"/>
      <c r="G485" s="114"/>
      <c r="H485" s="114"/>
      <c r="I485" s="114"/>
      <c r="J485" s="114"/>
      <c r="K485" s="114"/>
      <c r="L485" s="114"/>
      <c r="M485" s="114"/>
      <c r="N485" s="114"/>
      <c r="O485" s="140" t="s">
        <v>103</v>
      </c>
      <c r="P485" s="114"/>
      <c r="Q485" s="140" t="s">
        <v>1140</v>
      </c>
    </row>
    <row r="486" spans="1:17">
      <c r="A486" s="140" t="s">
        <v>56</v>
      </c>
      <c r="B486" s="114"/>
      <c r="C486" s="114"/>
      <c r="D486" s="114"/>
      <c r="E486" s="114"/>
      <c r="F486" s="114"/>
      <c r="G486" s="140" t="s">
        <v>1144</v>
      </c>
      <c r="H486" s="114"/>
      <c r="I486" s="140" t="s">
        <v>102</v>
      </c>
      <c r="J486" s="114"/>
      <c r="K486" s="140" t="s">
        <v>1145</v>
      </c>
      <c r="L486" s="114"/>
      <c r="M486" s="140" t="s">
        <v>1146</v>
      </c>
      <c r="N486" s="114"/>
      <c r="O486" s="140" t="s">
        <v>1147</v>
      </c>
      <c r="P486" s="114"/>
      <c r="Q486" s="140" t="s">
        <v>1148</v>
      </c>
    </row>
    <row r="487" spans="1:17">
      <c r="A487" s="199" t="s">
        <v>57</v>
      </c>
      <c r="B487" s="114"/>
      <c r="C487" s="433" t="s">
        <v>194</v>
      </c>
      <c r="D487" s="114"/>
      <c r="E487" s="199" t="s">
        <v>245</v>
      </c>
      <c r="F487" s="140"/>
      <c r="G487" s="199" t="s">
        <v>235</v>
      </c>
      <c r="H487" s="114"/>
      <c r="I487" s="199" t="s">
        <v>1149</v>
      </c>
      <c r="J487" s="114"/>
      <c r="K487" s="199" t="s">
        <v>1147</v>
      </c>
      <c r="L487" s="114"/>
      <c r="M487" s="199" t="s">
        <v>1150</v>
      </c>
      <c r="N487" s="114"/>
      <c r="O487" s="199" t="s">
        <v>248</v>
      </c>
      <c r="P487" s="114"/>
      <c r="Q487" s="199" t="s">
        <v>248</v>
      </c>
    </row>
    <row r="488" spans="1:17">
      <c r="A488" s="140"/>
      <c r="B488" s="114"/>
      <c r="C488" s="114"/>
      <c r="D488" s="114"/>
      <c r="E488" s="114"/>
      <c r="F488" s="114"/>
      <c r="G488" s="202" t="s">
        <v>9</v>
      </c>
      <c r="H488" s="140"/>
      <c r="I488" s="202" t="s">
        <v>10</v>
      </c>
      <c r="J488" s="140"/>
      <c r="K488" s="202" t="s">
        <v>846</v>
      </c>
      <c r="L488" s="114"/>
      <c r="M488" s="202" t="s">
        <v>12</v>
      </c>
      <c r="N488" s="114"/>
      <c r="O488" s="202" t="s">
        <v>1151</v>
      </c>
      <c r="P488" s="114"/>
      <c r="Q488" s="140" t="s">
        <v>115</v>
      </c>
    </row>
    <row r="489" spans="1:17">
      <c r="A489" s="114"/>
      <c r="B489" s="114"/>
      <c r="C489" s="114"/>
      <c r="D489" s="114"/>
      <c r="E489" s="114"/>
      <c r="F489" s="114"/>
      <c r="G489" s="114"/>
      <c r="H489" s="114"/>
      <c r="I489" s="114"/>
      <c r="J489" s="114"/>
      <c r="K489" s="114"/>
      <c r="L489" s="114"/>
      <c r="M489" s="114"/>
      <c r="N489" s="114"/>
      <c r="O489" s="114"/>
      <c r="P489" s="114"/>
      <c r="Q489" s="114"/>
    </row>
    <row r="490" spans="1:17">
      <c r="A490" s="140"/>
      <c r="B490" s="114"/>
      <c r="C490" s="875" t="s">
        <v>152</v>
      </c>
      <c r="D490" s="114"/>
      <c r="E490" s="140"/>
      <c r="F490" s="140"/>
      <c r="G490" s="114"/>
      <c r="H490" s="114"/>
      <c r="I490" s="114"/>
      <c r="J490" s="114"/>
      <c r="K490" s="906"/>
      <c r="L490" s="114"/>
      <c r="M490" s="135"/>
      <c r="N490" s="135"/>
      <c r="O490" s="135"/>
      <c r="P490" s="135"/>
      <c r="Q490" s="135"/>
    </row>
    <row r="491" spans="1:17">
      <c r="A491" s="140">
        <f>A473+1</f>
        <v>242</v>
      </c>
      <c r="B491" s="114"/>
      <c r="C491" s="114" t="s">
        <v>1195</v>
      </c>
      <c r="D491" s="114"/>
      <c r="E491" s="140" t="s">
        <v>523</v>
      </c>
      <c r="F491" s="140"/>
      <c r="G491" s="99">
        <v>2155.61</v>
      </c>
      <c r="H491" s="920"/>
      <c r="I491" s="99">
        <v>2214.5126609174581</v>
      </c>
      <c r="J491" s="919"/>
      <c r="K491" s="99">
        <f>I491-G491</f>
        <v>58.902660917457979</v>
      </c>
      <c r="L491" s="114"/>
      <c r="M491" s="135">
        <v>188.00000000000003</v>
      </c>
      <c r="N491" s="135"/>
      <c r="O491" s="135">
        <f>K491*M491/1000</f>
        <v>11.073700252482102</v>
      </c>
      <c r="P491" s="135"/>
      <c r="Q491" s="135">
        <f>O491</f>
        <v>11.073700252482102</v>
      </c>
    </row>
    <row r="492" spans="1:17">
      <c r="A492" s="140"/>
      <c r="B492" s="114"/>
      <c r="C492" s="114" t="s">
        <v>1196</v>
      </c>
      <c r="D492" s="114"/>
      <c r="E492" s="140"/>
      <c r="F492" s="140"/>
      <c r="G492" s="902"/>
      <c r="H492" s="114"/>
      <c r="I492" s="907"/>
      <c r="J492" s="114"/>
      <c r="K492" s="906"/>
      <c r="L492" s="114"/>
      <c r="M492" s="135"/>
      <c r="N492" s="135"/>
      <c r="O492" s="135"/>
      <c r="P492" s="135"/>
      <c r="Q492" s="135"/>
    </row>
    <row r="493" spans="1:17">
      <c r="A493" s="140"/>
      <c r="B493" s="114"/>
      <c r="C493" s="476" t="s">
        <v>368</v>
      </c>
      <c r="D493" s="114"/>
      <c r="E493" s="140"/>
      <c r="F493" s="140"/>
      <c r="G493" s="902"/>
      <c r="H493" s="114"/>
      <c r="I493" s="907"/>
      <c r="J493" s="114"/>
      <c r="K493" s="906"/>
      <c r="L493" s="114"/>
      <c r="M493" s="135"/>
      <c r="N493" s="135"/>
      <c r="O493" s="135"/>
      <c r="P493" s="135"/>
      <c r="Q493" s="135"/>
    </row>
    <row r="494" spans="1:17">
      <c r="A494" s="140">
        <f>A491+1</f>
        <v>243</v>
      </c>
      <c r="B494" s="114"/>
      <c r="C494" s="910" t="s">
        <v>369</v>
      </c>
      <c r="D494" s="114"/>
      <c r="E494" s="140" t="s">
        <v>540</v>
      </c>
      <c r="F494" s="140"/>
      <c r="G494" s="902">
        <v>44.595399999999998</v>
      </c>
      <c r="H494" s="114"/>
      <c r="I494" s="902">
        <v>42.786710154204144</v>
      </c>
      <c r="J494" s="114"/>
      <c r="K494" s="906">
        <f>I494-G494</f>
        <v>-1.808689845795854</v>
      </c>
      <c r="L494" s="114"/>
      <c r="M494" s="135">
        <v>4787.6880000000001</v>
      </c>
      <c r="N494" s="135"/>
      <c r="O494" s="135">
        <f>K494*M494/1000</f>
        <v>-8.6594426704386613</v>
      </c>
      <c r="P494" s="135"/>
      <c r="Q494" s="135"/>
    </row>
    <row r="495" spans="1:17">
      <c r="A495" s="140">
        <f>A494+1</f>
        <v>244</v>
      </c>
      <c r="B495" s="114"/>
      <c r="C495" s="910" t="s">
        <v>371</v>
      </c>
      <c r="D495" s="114"/>
      <c r="E495" s="140" t="s">
        <v>540</v>
      </c>
      <c r="F495" s="140"/>
      <c r="G495" s="902">
        <v>31.676299999999998</v>
      </c>
      <c r="H495" s="114"/>
      <c r="I495" s="902">
        <v>30.538782414930214</v>
      </c>
      <c r="J495" s="114"/>
      <c r="K495" s="906">
        <f>I495-G495</f>
        <v>-1.1375175850697836</v>
      </c>
      <c r="L495" s="114"/>
      <c r="M495" s="135">
        <v>4058.9279999999999</v>
      </c>
      <c r="N495" s="135"/>
      <c r="O495" s="135">
        <f>K495*M495/1000</f>
        <v>-4.6171019765321262</v>
      </c>
      <c r="P495" s="135"/>
      <c r="Q495" s="135"/>
    </row>
    <row r="496" spans="1:17">
      <c r="A496" s="140"/>
      <c r="B496" s="114"/>
      <c r="C496" s="476" t="s">
        <v>372</v>
      </c>
      <c r="D496" s="114"/>
      <c r="E496" s="140"/>
      <c r="F496" s="140"/>
      <c r="G496" s="902"/>
      <c r="H496" s="114"/>
      <c r="I496" s="907"/>
      <c r="J496" s="114"/>
      <c r="K496" s="906"/>
      <c r="L496" s="114"/>
      <c r="M496" s="135"/>
      <c r="N496" s="135"/>
      <c r="O496" s="135"/>
      <c r="P496" s="135"/>
      <c r="Q496" s="135"/>
    </row>
    <row r="497" spans="1:17">
      <c r="A497" s="140">
        <f>A495+1</f>
        <v>245</v>
      </c>
      <c r="B497" s="114"/>
      <c r="C497" s="910" t="s">
        <v>373</v>
      </c>
      <c r="D497" s="114"/>
      <c r="E497" s="140" t="s">
        <v>525</v>
      </c>
      <c r="F497" s="140"/>
      <c r="G497" s="902">
        <v>0.14000000000000001</v>
      </c>
      <c r="H497" s="114"/>
      <c r="I497" s="902">
        <v>0.13604659196531985</v>
      </c>
      <c r="J497" s="114"/>
      <c r="K497" s="906">
        <f>I497-G497</f>
        <v>-3.953408034680167E-3</v>
      </c>
      <c r="L497" s="114"/>
      <c r="M497" s="135">
        <v>148079.38154999999</v>
      </c>
      <c r="N497" s="135"/>
      <c r="O497" s="135">
        <f>K497*M497/1000</f>
        <v>-0.58541821679024009</v>
      </c>
      <c r="P497" s="135"/>
      <c r="Q497" s="135"/>
    </row>
    <row r="498" spans="1:17">
      <c r="A498" s="140">
        <f>A497+1</f>
        <v>246</v>
      </c>
      <c r="B498" s="114"/>
      <c r="C498" s="910" t="s">
        <v>374</v>
      </c>
      <c r="D498" s="114"/>
      <c r="E498" s="140" t="s">
        <v>525</v>
      </c>
      <c r="F498" s="140"/>
      <c r="G498" s="902">
        <v>2.1870000000000003</v>
      </c>
      <c r="H498" s="114"/>
      <c r="I498" s="902">
        <v>2.1452905513755893</v>
      </c>
      <c r="J498" s="114"/>
      <c r="K498" s="906">
        <f>I498-G498</f>
        <v>-4.170944862441095E-2</v>
      </c>
      <c r="L498" s="114"/>
      <c r="M498" s="135">
        <v>12900.742829999999</v>
      </c>
      <c r="N498" s="135"/>
      <c r="O498" s="135">
        <f>K498*M498/1000</f>
        <v>-0.53808287028462287</v>
      </c>
      <c r="P498" s="135"/>
      <c r="Q498" s="135"/>
    </row>
    <row r="499" spans="1:17">
      <c r="A499" s="140"/>
      <c r="B499" s="114"/>
      <c r="C499" s="910"/>
      <c r="D499" s="114"/>
      <c r="E499" s="140"/>
      <c r="F499" s="140"/>
      <c r="G499" s="114"/>
      <c r="H499" s="114"/>
      <c r="I499" s="114"/>
      <c r="J499" s="114"/>
      <c r="K499" s="906"/>
      <c r="L499" s="114"/>
      <c r="M499" s="135"/>
      <c r="N499" s="135"/>
      <c r="O499" s="135"/>
      <c r="P499" s="135"/>
      <c r="Q499" s="135"/>
    </row>
    <row r="500" spans="1:17">
      <c r="A500" s="140">
        <f>A498+1</f>
        <v>247</v>
      </c>
      <c r="B500" s="114"/>
      <c r="C500" s="476" t="s">
        <v>351</v>
      </c>
      <c r="D500" s="114"/>
      <c r="E500" s="140" t="s">
        <v>525</v>
      </c>
      <c r="F500" s="140"/>
      <c r="G500" s="902">
        <v>0.14000000000000001</v>
      </c>
      <c r="H500" s="114"/>
      <c r="I500" s="902">
        <v>0.13604659196531985</v>
      </c>
      <c r="J500" s="114"/>
      <c r="K500" s="906">
        <f>I500-G500</f>
        <v>-3.953408034680167E-3</v>
      </c>
      <c r="L500" s="114"/>
      <c r="M500" s="135">
        <v>167.09399999999999</v>
      </c>
      <c r="N500" s="135"/>
      <c r="O500" s="135">
        <f>K500*M500/1000</f>
        <v>-6.6059076214684776E-4</v>
      </c>
      <c r="P500" s="135"/>
      <c r="Q500" s="135"/>
    </row>
    <row r="501" spans="1:17">
      <c r="A501" s="140">
        <f>A500+1</f>
        <v>248</v>
      </c>
      <c r="B501" s="114"/>
      <c r="C501" s="476" t="s">
        <v>1197</v>
      </c>
      <c r="D501" s="114"/>
      <c r="E501" s="140" t="s">
        <v>525</v>
      </c>
      <c r="F501" s="140"/>
      <c r="G501" s="902">
        <v>3.0979999999999999</v>
      </c>
      <c r="H501" s="114"/>
      <c r="I501" s="902">
        <v>3.0884381900617477</v>
      </c>
      <c r="J501" s="114"/>
      <c r="K501" s="906">
        <f>I501-G501</f>
        <v>-9.5618099382521748E-3</v>
      </c>
      <c r="L501" s="114"/>
      <c r="M501" s="135">
        <v>0</v>
      </c>
      <c r="N501" s="135"/>
      <c r="O501" s="135">
        <f>K501*M501/1000</f>
        <v>0</v>
      </c>
      <c r="P501" s="135"/>
      <c r="Q501" s="135"/>
    </row>
    <row r="502" spans="1:17">
      <c r="A502" s="140"/>
      <c r="B502" s="114"/>
      <c r="C502" s="910"/>
      <c r="D502" s="114"/>
      <c r="E502" s="140"/>
      <c r="F502" s="140"/>
      <c r="G502" s="114"/>
      <c r="H502" s="114"/>
      <c r="I502" s="114"/>
      <c r="J502" s="114"/>
      <c r="K502" s="906"/>
      <c r="L502" s="114"/>
      <c r="M502" s="135"/>
      <c r="N502" s="135"/>
      <c r="O502" s="135"/>
      <c r="P502" s="135"/>
      <c r="Q502" s="135"/>
    </row>
    <row r="503" spans="1:17">
      <c r="A503" s="140">
        <f>A501+1</f>
        <v>249</v>
      </c>
      <c r="B503" s="114"/>
      <c r="C503" s="476" t="s">
        <v>377</v>
      </c>
      <c r="D503" s="114"/>
      <c r="E503" s="140" t="s">
        <v>584</v>
      </c>
      <c r="F503" s="140"/>
      <c r="G503" s="114">
        <v>5.3090000000000002</v>
      </c>
      <c r="H503" s="114"/>
      <c r="I503" s="902">
        <v>6.2198033412512048</v>
      </c>
      <c r="J503" s="114"/>
      <c r="K503" s="906">
        <f>I503-G503</f>
        <v>0.91080334125120466</v>
      </c>
      <c r="L503" s="114"/>
      <c r="M503" s="135">
        <v>22965.690000000002</v>
      </c>
      <c r="N503" s="135"/>
      <c r="O503" s="135">
        <f>K503*M503/1000</f>
        <v>20.917227186139382</v>
      </c>
      <c r="P503" s="135"/>
      <c r="Q503" s="135"/>
    </row>
    <row r="504" spans="1:17">
      <c r="A504" s="140">
        <f>A503+1</f>
        <v>250</v>
      </c>
      <c r="B504" s="114"/>
      <c r="C504" s="114" t="s">
        <v>378</v>
      </c>
      <c r="D504" s="114"/>
      <c r="E504" s="140"/>
      <c r="F504" s="140"/>
      <c r="G504" s="902"/>
      <c r="H504" s="114"/>
      <c r="I504" s="902"/>
      <c r="J504" s="114"/>
      <c r="K504" s="906"/>
      <c r="L504" s="114"/>
      <c r="M504" s="135"/>
      <c r="N504" s="135"/>
      <c r="O504" s="135"/>
      <c r="P504" s="135"/>
      <c r="Q504" s="135">
        <f>SUM(O494:O503)</f>
        <v>6.5165208613315855</v>
      </c>
    </row>
    <row r="505" spans="1:17">
      <c r="A505" s="140"/>
      <c r="B505" s="114"/>
      <c r="C505" s="114"/>
      <c r="D505" s="114"/>
      <c r="E505" s="140"/>
      <c r="F505" s="140"/>
      <c r="G505" s="918"/>
      <c r="H505" s="918"/>
      <c r="I505" s="918"/>
      <c r="J505" s="330"/>
      <c r="K505" s="330"/>
      <c r="L505" s="114"/>
      <c r="M505" s="135"/>
      <c r="N505" s="135"/>
      <c r="O505" s="135"/>
      <c r="P505" s="135"/>
      <c r="Q505" s="135"/>
    </row>
    <row r="506" spans="1:17">
      <c r="A506" s="140"/>
      <c r="B506" s="114"/>
      <c r="C506" s="114" t="s">
        <v>1198</v>
      </c>
      <c r="D506" s="114"/>
      <c r="E506" s="140"/>
      <c r="F506" s="140"/>
      <c r="G506" s="114"/>
      <c r="H506" s="114"/>
      <c r="I506" s="114"/>
      <c r="J506" s="114"/>
      <c r="K506" s="906"/>
      <c r="L506" s="114"/>
      <c r="M506" s="135"/>
      <c r="N506" s="135"/>
      <c r="O506" s="135"/>
      <c r="P506" s="135"/>
      <c r="Q506" s="135"/>
    </row>
    <row r="507" spans="1:17">
      <c r="A507" s="140"/>
      <c r="B507" s="114"/>
      <c r="C507" s="476" t="s">
        <v>380</v>
      </c>
      <c r="D507" s="114"/>
      <c r="E507" s="140"/>
      <c r="F507" s="140"/>
      <c r="G507" s="911"/>
      <c r="H507" s="114"/>
      <c r="I507" s="877"/>
      <c r="J507" s="114"/>
      <c r="K507" s="906"/>
      <c r="L507" s="114"/>
      <c r="M507" s="135"/>
      <c r="N507" s="135"/>
      <c r="O507" s="135"/>
      <c r="P507" s="135"/>
      <c r="Q507" s="135"/>
    </row>
    <row r="508" spans="1:17">
      <c r="A508" s="140">
        <f>A504+1</f>
        <v>251</v>
      </c>
      <c r="B508" s="114"/>
      <c r="C508" s="910" t="s">
        <v>381</v>
      </c>
      <c r="D508" s="114"/>
      <c r="E508" s="140" t="s">
        <v>582</v>
      </c>
      <c r="F508" s="140"/>
      <c r="G508" s="903">
        <v>1.2E-2</v>
      </c>
      <c r="H508" s="114"/>
      <c r="I508" s="903">
        <v>1.2327903438474258E-2</v>
      </c>
      <c r="J508" s="903"/>
      <c r="K508" s="916">
        <f>I508-G508</f>
        <v>3.2790343847425782E-4</v>
      </c>
      <c r="L508" s="114"/>
      <c r="M508" s="135">
        <v>5938416</v>
      </c>
      <c r="N508" s="135"/>
      <c r="O508" s="135">
        <f>K508*M508/1000</f>
        <v>1.9472270254905482</v>
      </c>
      <c r="P508" s="135"/>
      <c r="Q508" s="135"/>
    </row>
    <row r="509" spans="1:17">
      <c r="A509" s="140"/>
      <c r="B509" s="114"/>
      <c r="C509" s="476" t="s">
        <v>383</v>
      </c>
      <c r="D509" s="114"/>
      <c r="E509" s="140"/>
      <c r="F509" s="140"/>
      <c r="G509" s="911"/>
      <c r="H509" s="114"/>
      <c r="I509" s="903"/>
      <c r="J509" s="903"/>
      <c r="K509" s="916"/>
      <c r="L509" s="114"/>
      <c r="M509" s="135"/>
      <c r="N509" s="135"/>
      <c r="O509" s="135"/>
      <c r="P509" s="135"/>
      <c r="Q509" s="135"/>
    </row>
    <row r="510" spans="1:17">
      <c r="A510" s="140">
        <f>A508+1</f>
        <v>252</v>
      </c>
      <c r="B510" s="114"/>
      <c r="C510" s="910" t="s">
        <v>1199</v>
      </c>
      <c r="D510" s="114"/>
      <c r="E510" s="140" t="s">
        <v>582</v>
      </c>
      <c r="F510" s="140"/>
      <c r="G510" s="903">
        <v>1.8779999999999999</v>
      </c>
      <c r="H510" s="114"/>
      <c r="I510" s="903">
        <v>1.927</v>
      </c>
      <c r="J510" s="903"/>
      <c r="K510" s="916">
        <f>I510-G510</f>
        <v>4.9000000000000155E-2</v>
      </c>
      <c r="L510" s="114"/>
      <c r="M510" s="135">
        <v>224724</v>
      </c>
      <c r="N510" s="135"/>
      <c r="O510" s="135">
        <f>K510*M510/1000</f>
        <v>11.011476000000036</v>
      </c>
      <c r="P510" s="135"/>
      <c r="Q510" s="135"/>
    </row>
    <row r="511" spans="1:17">
      <c r="A511" s="140">
        <f>A510+1</f>
        <v>253</v>
      </c>
      <c r="B511" s="114"/>
      <c r="C511" s="910" t="s">
        <v>385</v>
      </c>
      <c r="D511" s="114"/>
      <c r="E511" s="140" t="s">
        <v>582</v>
      </c>
      <c r="F511" s="140"/>
      <c r="G511" s="903">
        <v>1.4730000000000001</v>
      </c>
      <c r="H511" s="114"/>
      <c r="I511" s="903">
        <v>1.5187525197395906</v>
      </c>
      <c r="J511" s="903"/>
      <c r="K511" s="916">
        <f>I511-G511</f>
        <v>4.5752519739590491E-2</v>
      </c>
      <c r="L511" s="114"/>
      <c r="M511" s="135">
        <v>3492</v>
      </c>
      <c r="N511" s="135"/>
      <c r="O511" s="135">
        <f>K511*M511/1000</f>
        <v>0.15976779893064999</v>
      </c>
      <c r="P511" s="135"/>
      <c r="Q511" s="135"/>
    </row>
    <row r="512" spans="1:17">
      <c r="A512" s="140">
        <f>A511+1</f>
        <v>254</v>
      </c>
      <c r="B512" s="114"/>
      <c r="C512" s="910" t="s">
        <v>386</v>
      </c>
      <c r="D512" s="114"/>
      <c r="E512" s="140" t="s">
        <v>582</v>
      </c>
      <c r="F512" s="140"/>
      <c r="G512" s="903">
        <v>1.4730000000000001</v>
      </c>
      <c r="H512" s="114"/>
      <c r="I512" s="903">
        <v>1.5187525197395906</v>
      </c>
      <c r="J512" s="903"/>
      <c r="K512" s="916">
        <f>I512-G512</f>
        <v>4.5752519739590491E-2</v>
      </c>
      <c r="L512" s="114"/>
      <c r="M512" s="135">
        <v>0</v>
      </c>
      <c r="N512" s="135"/>
      <c r="O512" s="135">
        <f>K512*M512/1000</f>
        <v>0</v>
      </c>
      <c r="P512" s="135"/>
      <c r="Q512" s="135"/>
    </row>
    <row r="513" spans="1:17">
      <c r="A513" s="140">
        <f>A512+1</f>
        <v>255</v>
      </c>
      <c r="B513" s="114"/>
      <c r="C513" s="910" t="s">
        <v>387</v>
      </c>
      <c r="D513" s="114"/>
      <c r="E513" s="140" t="s">
        <v>582</v>
      </c>
      <c r="F513" s="140"/>
      <c r="G513" s="903">
        <v>1.4730000000000001</v>
      </c>
      <c r="H513" s="114"/>
      <c r="I513" s="903">
        <v>1.5187525197395906</v>
      </c>
      <c r="J513" s="903"/>
      <c r="K513" s="916">
        <f>I513-G513</f>
        <v>4.5752519739590491E-2</v>
      </c>
      <c r="L513" s="114"/>
      <c r="M513" s="135">
        <v>0</v>
      </c>
      <c r="N513" s="135"/>
      <c r="O513" s="135">
        <f>K513*M513/1000</f>
        <v>0</v>
      </c>
      <c r="P513" s="135"/>
      <c r="Q513" s="135"/>
    </row>
    <row r="514" spans="1:17">
      <c r="A514" s="140"/>
      <c r="B514" s="114"/>
      <c r="C514" s="476"/>
      <c r="D514" s="114"/>
      <c r="E514" s="140"/>
      <c r="F514" s="140"/>
      <c r="G514" s="114"/>
      <c r="H514" s="114"/>
      <c r="I514" s="903"/>
      <c r="J514" s="903"/>
      <c r="K514" s="916"/>
      <c r="L514" s="114"/>
      <c r="M514" s="135"/>
      <c r="N514" s="135"/>
      <c r="O514" s="135"/>
      <c r="P514" s="135"/>
      <c r="Q514" s="135"/>
    </row>
    <row r="515" spans="1:17">
      <c r="A515" s="140">
        <f>A513+1</f>
        <v>256</v>
      </c>
      <c r="B515" s="114"/>
      <c r="C515" s="910" t="s">
        <v>389</v>
      </c>
      <c r="D515" s="114"/>
      <c r="E515" s="140" t="s">
        <v>584</v>
      </c>
      <c r="F515" s="140"/>
      <c r="G515" s="903">
        <v>1.2E-2</v>
      </c>
      <c r="H515" s="114"/>
      <c r="I515" s="903">
        <v>1.2327903438474258E-2</v>
      </c>
      <c r="J515" s="903"/>
      <c r="K515" s="917">
        <f>I515-G515</f>
        <v>3.2790343847425782E-4</v>
      </c>
      <c r="L515" s="114"/>
      <c r="M515" s="203">
        <v>1105201.6400000001</v>
      </c>
      <c r="N515" s="203"/>
      <c r="O515" s="203">
        <f>K515*M515/1000</f>
        <v>0.36239941796338887</v>
      </c>
      <c r="P515" s="203"/>
      <c r="Q515" s="203"/>
    </row>
    <row r="516" spans="1:17">
      <c r="A516" s="140"/>
      <c r="B516" s="114"/>
      <c r="C516" s="910"/>
      <c r="D516" s="114"/>
      <c r="E516" s="140"/>
      <c r="F516" s="140"/>
      <c r="G516" s="903"/>
      <c r="H516" s="114"/>
      <c r="I516" s="903"/>
      <c r="J516" s="903"/>
      <c r="K516" s="917"/>
      <c r="L516" s="114"/>
      <c r="M516" s="203"/>
      <c r="N516" s="203"/>
      <c r="O516" s="203"/>
      <c r="P516" s="203"/>
      <c r="Q516" s="203"/>
    </row>
    <row r="517" spans="1:17">
      <c r="A517" s="140">
        <f>A515+1</f>
        <v>257</v>
      </c>
      <c r="B517" s="114"/>
      <c r="C517" s="476" t="s">
        <v>390</v>
      </c>
      <c r="D517" s="114"/>
      <c r="E517" s="140" t="s">
        <v>584</v>
      </c>
      <c r="F517" s="140"/>
      <c r="G517" s="114">
        <v>5.3090000000000002</v>
      </c>
      <c r="H517" s="114"/>
      <c r="I517" s="903">
        <v>5.7433187992280264</v>
      </c>
      <c r="J517" s="903"/>
      <c r="K517" s="916">
        <f>I517-G517</f>
        <v>0.43431879922802619</v>
      </c>
      <c r="L517" s="114"/>
      <c r="M517" s="135">
        <v>4918.16</v>
      </c>
      <c r="N517" s="135"/>
      <c r="O517" s="135">
        <f>K517*M517/1000</f>
        <v>2.1360493456113092</v>
      </c>
      <c r="P517" s="135"/>
      <c r="Q517" s="135"/>
    </row>
    <row r="518" spans="1:17">
      <c r="A518" s="140">
        <f>A517+1</f>
        <v>258</v>
      </c>
      <c r="B518" s="114"/>
      <c r="C518" s="114" t="s">
        <v>391</v>
      </c>
      <c r="D518" s="114"/>
      <c r="E518" s="140"/>
      <c r="F518" s="140"/>
      <c r="G518" s="902"/>
      <c r="H518" s="114"/>
      <c r="I518" s="902"/>
      <c r="J518" s="114"/>
      <c r="K518" s="906"/>
      <c r="L518" s="114"/>
      <c r="M518" s="135"/>
      <c r="N518" s="135"/>
      <c r="O518" s="135"/>
      <c r="P518" s="135"/>
      <c r="Q518" s="135">
        <f>SUM(O508:O517)</f>
        <v>15.61691958799593</v>
      </c>
    </row>
    <row r="519" spans="1:17">
      <c r="A519" s="140"/>
      <c r="B519" s="114"/>
      <c r="C519" s="114"/>
      <c r="D519" s="114"/>
      <c r="E519" s="140"/>
      <c r="F519" s="140"/>
      <c r="G519" s="902"/>
      <c r="H519" s="114"/>
      <c r="I519" s="907"/>
      <c r="J519" s="114"/>
      <c r="K519" s="906"/>
      <c r="L519" s="114"/>
      <c r="M519" s="135"/>
      <c r="N519" s="135"/>
      <c r="O519" s="135"/>
      <c r="P519" s="135"/>
      <c r="Q519" s="135"/>
    </row>
    <row r="520" spans="1:17" ht="12.95" thickBot="1">
      <c r="A520" s="140">
        <f>A518+1</f>
        <v>259</v>
      </c>
      <c r="B520" s="114"/>
      <c r="C520" s="114" t="s">
        <v>392</v>
      </c>
      <c r="D520" s="114"/>
      <c r="E520" s="140"/>
      <c r="F520" s="140"/>
      <c r="G520" s="902"/>
      <c r="H520" s="114"/>
      <c r="I520" s="902"/>
      <c r="J520" s="114"/>
      <c r="K520" s="909"/>
      <c r="L520" s="114"/>
      <c r="M520" s="135"/>
      <c r="N520" s="135"/>
      <c r="O520" s="905">
        <f>O508+O510+O511+O512+O513+O515+O516+O517+O494+O495+O497+O498+O500+O501+O491+O503</f>
        <v>33.207140701809614</v>
      </c>
      <c r="P520" s="135"/>
      <c r="Q520" s="905">
        <f>SUM(Q491:Q518)</f>
        <v>33.207140701809621</v>
      </c>
    </row>
    <row r="521" spans="1:17" ht="12.95" thickTop="1">
      <c r="A521" s="140"/>
      <c r="B521" s="114"/>
      <c r="C521" s="114"/>
      <c r="D521" s="114"/>
      <c r="E521" s="114"/>
      <c r="F521" s="114"/>
      <c r="G521" s="114"/>
      <c r="H521" s="114"/>
      <c r="I521" s="114"/>
      <c r="J521" s="114"/>
      <c r="K521" s="114"/>
      <c r="L521" s="114"/>
      <c r="M521" s="114"/>
      <c r="N521" s="114"/>
      <c r="O521" s="114"/>
      <c r="P521" s="114"/>
      <c r="Q521" s="114"/>
    </row>
    <row r="522" spans="1:17">
      <c r="A522" s="140"/>
      <c r="B522" s="114"/>
      <c r="C522" s="875" t="s">
        <v>153</v>
      </c>
      <c r="D522" s="114"/>
      <c r="E522" s="140"/>
      <c r="F522" s="140"/>
      <c r="G522" s="902"/>
      <c r="H522" s="114"/>
      <c r="I522" s="907"/>
      <c r="J522" s="114"/>
      <c r="K522" s="906"/>
      <c r="L522" s="114"/>
      <c r="M522" s="135"/>
      <c r="N522" s="135"/>
      <c r="O522" s="135"/>
      <c r="P522" s="135"/>
      <c r="Q522" s="135"/>
    </row>
    <row r="523" spans="1:17">
      <c r="A523" s="140">
        <f>A520+1</f>
        <v>260</v>
      </c>
      <c r="B523" s="114"/>
      <c r="C523" s="114" t="s">
        <v>1195</v>
      </c>
      <c r="D523" s="114"/>
      <c r="E523" s="140" t="s">
        <v>523</v>
      </c>
      <c r="F523" s="140"/>
      <c r="G523" s="99">
        <v>6803.81</v>
      </c>
      <c r="H523" s="914"/>
      <c r="I523" s="99">
        <v>6989.7260578104624</v>
      </c>
      <c r="J523" s="914"/>
      <c r="K523" s="99">
        <f>I523-G523</f>
        <v>185.91605781046201</v>
      </c>
      <c r="L523" s="114"/>
      <c r="M523" s="135">
        <v>164.99999999999994</v>
      </c>
      <c r="N523" s="135"/>
      <c r="O523" s="135">
        <f>K523*M523/1000</f>
        <v>30.676149538726222</v>
      </c>
      <c r="P523" s="135"/>
      <c r="Q523" s="135">
        <f>O523</f>
        <v>30.676149538726222</v>
      </c>
    </row>
    <row r="524" spans="1:17">
      <c r="A524" s="140"/>
      <c r="B524" s="114"/>
      <c r="C524" s="114" t="s">
        <v>1196</v>
      </c>
      <c r="D524" s="114"/>
      <c r="E524" s="140"/>
      <c r="F524" s="140"/>
      <c r="G524" s="902"/>
      <c r="H524" s="114"/>
      <c r="I524" s="907"/>
      <c r="J524" s="114"/>
      <c r="K524" s="906"/>
      <c r="L524" s="114"/>
      <c r="M524" s="135"/>
      <c r="N524" s="135"/>
      <c r="O524" s="135"/>
      <c r="P524" s="135"/>
      <c r="Q524" s="135"/>
    </row>
    <row r="525" spans="1:17">
      <c r="A525" s="140"/>
      <c r="B525" s="114"/>
      <c r="C525" s="476" t="s">
        <v>368</v>
      </c>
      <c r="D525" s="114"/>
      <c r="E525" s="140"/>
      <c r="F525" s="140"/>
      <c r="G525" s="902"/>
      <c r="H525" s="114"/>
      <c r="I525" s="907"/>
      <c r="J525" s="114"/>
      <c r="K525" s="906"/>
      <c r="L525" s="114"/>
      <c r="M525" s="135"/>
      <c r="N525" s="135"/>
      <c r="O525" s="135"/>
      <c r="P525" s="135"/>
      <c r="Q525" s="135"/>
    </row>
    <row r="526" spans="1:17">
      <c r="A526" s="140">
        <f>A523+1</f>
        <v>261</v>
      </c>
      <c r="B526" s="114"/>
      <c r="C526" s="910" t="s">
        <v>621</v>
      </c>
      <c r="D526" s="114"/>
      <c r="E526" s="140" t="s">
        <v>540</v>
      </c>
      <c r="F526" s="140"/>
      <c r="G526" s="902">
        <v>33.160600000000002</v>
      </c>
      <c r="H526" s="114"/>
      <c r="I526" s="902">
        <v>33.260634803794325</v>
      </c>
      <c r="J526" s="114"/>
      <c r="K526" s="906">
        <f>I526-G526</f>
        <v>0.10003480379432261</v>
      </c>
      <c r="L526" s="114"/>
      <c r="M526" s="135">
        <v>19829.498</v>
      </c>
      <c r="N526" s="135"/>
      <c r="O526" s="135">
        <f>K526*M526/1000</f>
        <v>1.9836399417699127</v>
      </c>
      <c r="P526" s="135"/>
      <c r="Q526" s="135"/>
    </row>
    <row r="527" spans="1:17">
      <c r="A527" s="140">
        <f>A526+1</f>
        <v>262</v>
      </c>
      <c r="B527" s="114"/>
      <c r="C527" s="910" t="s">
        <v>622</v>
      </c>
      <c r="D527" s="114"/>
      <c r="E527" s="140" t="s">
        <v>540</v>
      </c>
      <c r="F527" s="140"/>
      <c r="G527" s="902">
        <v>18.477399999999999</v>
      </c>
      <c r="H527" s="114"/>
      <c r="I527" s="902">
        <v>18.609194259488817</v>
      </c>
      <c r="J527" s="114"/>
      <c r="K527" s="906">
        <f>I527-G527</f>
        <v>0.13179425948881729</v>
      </c>
      <c r="L527" s="114"/>
      <c r="M527" s="135">
        <v>81850.91</v>
      </c>
      <c r="N527" s="135"/>
      <c r="O527" s="135">
        <f>K527*M527/1000</f>
        <v>10.78748007193583</v>
      </c>
      <c r="P527" s="135"/>
      <c r="Q527" s="135"/>
    </row>
    <row r="528" spans="1:17">
      <c r="A528" s="140"/>
      <c r="B528" s="114"/>
      <c r="C528" s="476" t="s">
        <v>372</v>
      </c>
      <c r="D528" s="114"/>
      <c r="E528" s="140"/>
      <c r="F528" s="140"/>
      <c r="G528" s="902"/>
      <c r="H528" s="114"/>
      <c r="I528" s="907"/>
      <c r="J528" s="114"/>
      <c r="K528" s="906"/>
      <c r="L528" s="114"/>
      <c r="M528" s="135"/>
      <c r="N528" s="135"/>
      <c r="O528" s="135"/>
      <c r="P528" s="135"/>
      <c r="Q528" s="135"/>
    </row>
    <row r="529" spans="1:17">
      <c r="A529" s="140">
        <f>A527+1</f>
        <v>263</v>
      </c>
      <c r="B529" s="114"/>
      <c r="C529" s="910" t="s">
        <v>373</v>
      </c>
      <c r="D529" s="114"/>
      <c r="E529" s="140" t="s">
        <v>525</v>
      </c>
      <c r="F529" s="140"/>
      <c r="G529" s="902">
        <v>3.0599999999999999E-2</v>
      </c>
      <c r="H529" s="114"/>
      <c r="I529" s="902">
        <v>2.8906566429391087E-2</v>
      </c>
      <c r="J529" s="114"/>
      <c r="K529" s="906">
        <f>I529-G529</f>
        <v>-1.6934335706089119E-3</v>
      </c>
      <c r="L529" s="114"/>
      <c r="M529" s="135">
        <v>1616633.3569799999</v>
      </c>
      <c r="N529" s="135"/>
      <c r="O529" s="135">
        <f>K529*M529/1000</f>
        <v>-2.737661198076113</v>
      </c>
      <c r="P529" s="135"/>
      <c r="Q529" s="135"/>
    </row>
    <row r="530" spans="1:17">
      <c r="A530" s="140">
        <f>A529+1</f>
        <v>264</v>
      </c>
      <c r="B530" s="114"/>
      <c r="C530" s="910" t="s">
        <v>374</v>
      </c>
      <c r="D530" s="114"/>
      <c r="E530" s="140" t="s">
        <v>525</v>
      </c>
      <c r="F530" s="140"/>
      <c r="G530" s="902">
        <v>2.7176999999999998</v>
      </c>
      <c r="H530" s="114"/>
      <c r="I530" s="902">
        <v>2.8356637323953287</v>
      </c>
      <c r="J530" s="114"/>
      <c r="K530" s="906">
        <f>I530-G530</f>
        <v>0.11796373239532887</v>
      </c>
      <c r="L530" s="114"/>
      <c r="M530" s="135">
        <v>22921.857660000001</v>
      </c>
      <c r="N530" s="135"/>
      <c r="O530" s="135">
        <f>K530*M530/1000</f>
        <v>2.7039478830080594</v>
      </c>
      <c r="P530" s="135"/>
      <c r="Q530" s="135"/>
    </row>
    <row r="531" spans="1:17">
      <c r="A531" s="140"/>
      <c r="B531" s="114"/>
      <c r="C531" s="910"/>
      <c r="D531" s="114"/>
      <c r="E531" s="140"/>
      <c r="F531" s="140"/>
      <c r="G531" s="114"/>
      <c r="H531" s="114"/>
      <c r="I531" s="114"/>
      <c r="J531" s="114"/>
      <c r="K531" s="906"/>
      <c r="L531" s="114"/>
      <c r="M531" s="135"/>
      <c r="N531" s="135"/>
      <c r="O531" s="135"/>
      <c r="P531" s="135"/>
      <c r="Q531" s="135"/>
    </row>
    <row r="532" spans="1:17">
      <c r="A532" s="140">
        <f>A530+1</f>
        <v>265</v>
      </c>
      <c r="B532" s="114"/>
      <c r="C532" s="476" t="s">
        <v>351</v>
      </c>
      <c r="D532" s="114"/>
      <c r="E532" s="140" t="s">
        <v>525</v>
      </c>
      <c r="F532" s="140"/>
      <c r="G532" s="902">
        <v>3.0599999999999999E-2</v>
      </c>
      <c r="H532" s="114"/>
      <c r="I532" s="902">
        <v>2.8906566429391087E-2</v>
      </c>
      <c r="J532" s="114"/>
      <c r="K532" s="906">
        <f>I532-G532</f>
        <v>-1.6934335706089119E-3</v>
      </c>
      <c r="L532" s="114"/>
      <c r="M532" s="135">
        <v>0</v>
      </c>
      <c r="N532" s="135"/>
      <c r="O532" s="135">
        <f>K532*M532/1000</f>
        <v>0</v>
      </c>
      <c r="P532" s="135"/>
      <c r="Q532" s="135"/>
    </row>
    <row r="533" spans="1:17">
      <c r="A533" s="140">
        <f>A532+1</f>
        <v>266</v>
      </c>
      <c r="B533" s="114"/>
      <c r="C533" s="476" t="s">
        <v>1197</v>
      </c>
      <c r="D533" s="114"/>
      <c r="E533" s="140" t="s">
        <v>525</v>
      </c>
      <c r="F533" s="140"/>
      <c r="G533" s="902">
        <v>3.2397999999999998</v>
      </c>
      <c r="H533" s="114"/>
      <c r="I533" s="902">
        <v>3.372030280222158</v>
      </c>
      <c r="J533" s="114"/>
      <c r="K533" s="906">
        <f>I533-G533</f>
        <v>0.13223028022215821</v>
      </c>
      <c r="L533" s="114"/>
      <c r="M533" s="135">
        <v>0</v>
      </c>
      <c r="N533" s="135"/>
      <c r="O533" s="135">
        <f>K533*M533/1000</f>
        <v>0</v>
      </c>
      <c r="P533" s="135"/>
      <c r="Q533" s="135"/>
    </row>
    <row r="534" spans="1:17">
      <c r="A534" s="140"/>
      <c r="B534" s="114"/>
      <c r="C534" s="910"/>
      <c r="D534" s="114"/>
      <c r="E534" s="140"/>
      <c r="F534" s="140"/>
      <c r="G534" s="114"/>
      <c r="H534" s="114"/>
      <c r="I534" s="114"/>
      <c r="J534" s="114"/>
      <c r="K534" s="906"/>
      <c r="L534" s="114"/>
      <c r="M534" s="135"/>
      <c r="N534" s="135"/>
      <c r="O534" s="135"/>
      <c r="P534" s="135"/>
      <c r="Q534" s="135"/>
    </row>
    <row r="535" spans="1:17">
      <c r="A535" s="140">
        <f>A533+1</f>
        <v>267</v>
      </c>
      <c r="B535" s="114"/>
      <c r="C535" s="429" t="s">
        <v>377</v>
      </c>
      <c r="D535" s="114"/>
      <c r="E535" s="140" t="s">
        <v>584</v>
      </c>
      <c r="F535" s="140"/>
      <c r="G535" s="114">
        <v>5.3090000000000002</v>
      </c>
      <c r="H535" s="114"/>
      <c r="I535" s="902">
        <v>6.247629189323721</v>
      </c>
      <c r="J535" s="114"/>
      <c r="K535" s="906">
        <f>I535-G535</f>
        <v>0.93862918932372086</v>
      </c>
      <c r="L535" s="114"/>
      <c r="M535" s="135">
        <v>198314.28000000003</v>
      </c>
      <c r="N535" s="135"/>
      <c r="O535" s="135">
        <f>K535*M535/1000</f>
        <v>186.14357186771741</v>
      </c>
      <c r="P535" s="135"/>
      <c r="Q535" s="135"/>
    </row>
    <row r="536" spans="1:17">
      <c r="A536" s="140">
        <f>A535+1</f>
        <v>268</v>
      </c>
      <c r="B536" s="114"/>
      <c r="C536" s="114" t="s">
        <v>378</v>
      </c>
      <c r="D536" s="114"/>
      <c r="E536" s="114"/>
      <c r="F536" s="140"/>
      <c r="G536" s="902"/>
      <c r="H536" s="114"/>
      <c r="I536" s="902"/>
      <c r="J536" s="114"/>
      <c r="K536" s="908"/>
      <c r="L536" s="114"/>
      <c r="M536" s="135"/>
      <c r="N536" s="135"/>
      <c r="O536" s="135"/>
      <c r="P536" s="135"/>
      <c r="Q536" s="135">
        <f>SUM(O526:O535)</f>
        <v>198.88097856635511</v>
      </c>
    </row>
    <row r="537" spans="1:17">
      <c r="A537" s="140"/>
      <c r="B537" s="114"/>
      <c r="C537" s="114"/>
      <c r="D537" s="114"/>
      <c r="E537" s="140"/>
      <c r="F537" s="140"/>
      <c r="G537" s="913"/>
      <c r="H537" s="913"/>
      <c r="I537" s="913"/>
      <c r="J537" s="913"/>
      <c r="K537" s="912"/>
      <c r="L537" s="114"/>
      <c r="M537" s="135"/>
      <c r="N537" s="135"/>
      <c r="O537" s="135"/>
      <c r="P537" s="135"/>
      <c r="Q537" s="135"/>
    </row>
    <row r="538" spans="1:17">
      <c r="A538" s="140"/>
      <c r="B538" s="114"/>
      <c r="C538" s="114" t="s">
        <v>1198</v>
      </c>
      <c r="D538" s="114"/>
      <c r="E538" s="140"/>
      <c r="F538" s="140"/>
      <c r="G538" s="902"/>
      <c r="H538" s="114"/>
      <c r="I538" s="907"/>
      <c r="J538" s="114"/>
      <c r="K538" s="906"/>
      <c r="L538" s="114"/>
      <c r="M538" s="135"/>
      <c r="N538" s="135"/>
      <c r="O538" s="135"/>
      <c r="P538" s="135"/>
      <c r="Q538" s="135"/>
    </row>
    <row r="539" spans="1:17">
      <c r="A539" s="140"/>
      <c r="B539" s="114"/>
      <c r="C539" s="476" t="s">
        <v>630</v>
      </c>
      <c r="D539" s="114"/>
      <c r="E539" s="114"/>
      <c r="F539" s="140"/>
      <c r="G539" s="902"/>
      <c r="H539" s="114"/>
      <c r="I539" s="907"/>
      <c r="J539" s="114"/>
      <c r="K539" s="906"/>
      <c r="L539" s="114"/>
      <c r="M539" s="135"/>
      <c r="N539" s="135"/>
      <c r="O539" s="135"/>
      <c r="P539" s="135"/>
      <c r="Q539" s="135"/>
    </row>
    <row r="540" spans="1:17">
      <c r="A540" s="140">
        <f>A536+1</f>
        <v>269</v>
      </c>
      <c r="B540" s="114"/>
      <c r="C540" s="910" t="s">
        <v>381</v>
      </c>
      <c r="D540" s="114"/>
      <c r="E540" s="140" t="s">
        <v>582</v>
      </c>
      <c r="F540" s="140"/>
      <c r="G540" s="902">
        <v>1.2E-2</v>
      </c>
      <c r="H540" s="114"/>
      <c r="I540" s="902">
        <v>1.2327903438474258E-2</v>
      </c>
      <c r="J540" s="114"/>
      <c r="K540" s="906">
        <f>I540-G540</f>
        <v>3.2790343847425782E-4</v>
      </c>
      <c r="L540" s="114"/>
      <c r="M540" s="135">
        <v>37609982</v>
      </c>
      <c r="N540" s="135"/>
      <c r="O540" s="135">
        <f>K540*M540/1000</f>
        <v>12.332442418754944</v>
      </c>
      <c r="P540" s="135"/>
      <c r="Q540" s="135"/>
    </row>
    <row r="541" spans="1:17">
      <c r="A541" s="140"/>
      <c r="B541" s="114"/>
      <c r="C541" s="476" t="s">
        <v>383</v>
      </c>
      <c r="D541" s="114"/>
      <c r="E541" s="140"/>
      <c r="F541" s="140"/>
      <c r="G541" s="911"/>
      <c r="H541" s="114"/>
      <c r="I541" s="877"/>
      <c r="J541" s="114"/>
      <c r="K541" s="906"/>
      <c r="L541" s="114"/>
      <c r="M541" s="135"/>
      <c r="N541" s="135"/>
      <c r="O541" s="135"/>
      <c r="P541" s="135"/>
      <c r="Q541" s="135"/>
    </row>
    <row r="542" spans="1:17">
      <c r="A542" s="140">
        <f>A540+1</f>
        <v>270</v>
      </c>
      <c r="B542" s="114"/>
      <c r="C542" s="910" t="s">
        <v>1199</v>
      </c>
      <c r="D542" s="114"/>
      <c r="E542" s="140" t="s">
        <v>582</v>
      </c>
      <c r="F542" s="140"/>
      <c r="G542" s="903">
        <v>1.8779999999999999</v>
      </c>
      <c r="H542" s="114"/>
      <c r="I542" s="902">
        <v>1.927</v>
      </c>
      <c r="J542" s="114"/>
      <c r="K542" s="906">
        <f>I542-G542</f>
        <v>4.9000000000000155E-2</v>
      </c>
      <c r="L542" s="114"/>
      <c r="M542" s="135">
        <v>782230</v>
      </c>
      <c r="N542" s="135"/>
      <c r="O542" s="135">
        <f>K542*M542/1000</f>
        <v>38.329270000000122</v>
      </c>
      <c r="P542" s="135"/>
      <c r="Q542" s="135"/>
    </row>
    <row r="543" spans="1:17">
      <c r="A543" s="140">
        <f>A542+1</f>
        <v>271</v>
      </c>
      <c r="B543" s="114"/>
      <c r="C543" s="910" t="s">
        <v>385</v>
      </c>
      <c r="D543" s="114"/>
      <c r="E543" s="140" t="s">
        <v>582</v>
      </c>
      <c r="F543" s="140"/>
      <c r="G543" s="903">
        <v>1.4730000000000001</v>
      </c>
      <c r="H543" s="114"/>
      <c r="I543" s="902">
        <v>1.5187525197395906</v>
      </c>
      <c r="J543" s="114"/>
      <c r="K543" s="906">
        <f>I543-G543</f>
        <v>4.5752519739590491E-2</v>
      </c>
      <c r="L543" s="114"/>
      <c r="M543" s="135">
        <v>300000</v>
      </c>
      <c r="N543" s="135"/>
      <c r="O543" s="135">
        <f>K543*M543/1000</f>
        <v>13.725755921877148</v>
      </c>
      <c r="P543" s="135"/>
      <c r="Q543" s="135"/>
    </row>
    <row r="544" spans="1:17">
      <c r="A544" s="140">
        <f>A543+1</f>
        <v>272</v>
      </c>
      <c r="B544" s="114"/>
      <c r="C544" s="910" t="s">
        <v>386</v>
      </c>
      <c r="D544" s="114"/>
      <c r="E544" s="140" t="s">
        <v>582</v>
      </c>
      <c r="F544" s="140"/>
      <c r="G544" s="903">
        <v>1.4730000000000001</v>
      </c>
      <c r="H544" s="114"/>
      <c r="I544" s="902">
        <v>1.5187525197395906</v>
      </c>
      <c r="J544" s="114"/>
      <c r="K544" s="906">
        <f>I544-G544</f>
        <v>4.5752519739590491E-2</v>
      </c>
      <c r="L544" s="114"/>
      <c r="M544" s="135">
        <v>4000</v>
      </c>
      <c r="N544" s="135"/>
      <c r="O544" s="135">
        <f>K544*M544/1000</f>
        <v>0.18301007895836197</v>
      </c>
      <c r="P544" s="135"/>
      <c r="Q544" s="135"/>
    </row>
    <row r="545" spans="1:17">
      <c r="A545" s="140">
        <f>A544+1</f>
        <v>273</v>
      </c>
      <c r="B545" s="114"/>
      <c r="C545" s="910" t="s">
        <v>387</v>
      </c>
      <c r="D545" s="114"/>
      <c r="E545" s="140" t="s">
        <v>582</v>
      </c>
      <c r="F545" s="140"/>
      <c r="G545" s="903">
        <v>1.4730000000000001</v>
      </c>
      <c r="H545" s="114"/>
      <c r="I545" s="902">
        <v>1.5187525197395906</v>
      </c>
      <c r="J545" s="114"/>
      <c r="K545" s="906">
        <f>I545-G545</f>
        <v>4.5752519739590491E-2</v>
      </c>
      <c r="L545" s="114"/>
      <c r="M545" s="135">
        <v>60000</v>
      </c>
      <c r="N545" s="135"/>
      <c r="O545" s="135">
        <f>K545*M545/1000</f>
        <v>2.7451511843754295</v>
      </c>
      <c r="P545" s="135"/>
      <c r="Q545" s="135"/>
    </row>
    <row r="546" spans="1:17">
      <c r="A546" s="140"/>
      <c r="B546" s="114"/>
      <c r="C546" s="476"/>
      <c r="D546" s="114"/>
      <c r="E546" s="140"/>
      <c r="F546" s="140"/>
      <c r="G546" s="114"/>
      <c r="H546" s="114"/>
      <c r="I546" s="114"/>
      <c r="J546" s="114"/>
      <c r="K546" s="906"/>
      <c r="L546" s="114"/>
      <c r="M546" s="135"/>
      <c r="N546" s="135"/>
      <c r="O546" s="135"/>
      <c r="P546" s="135"/>
      <c r="Q546" s="135"/>
    </row>
    <row r="547" spans="1:17">
      <c r="A547" s="140">
        <f>A545+1</f>
        <v>274</v>
      </c>
      <c r="B547" s="114"/>
      <c r="C547" s="910" t="s">
        <v>389</v>
      </c>
      <c r="D547" s="114"/>
      <c r="E547" s="140" t="s">
        <v>584</v>
      </c>
      <c r="F547" s="140"/>
      <c r="G547" s="903">
        <v>1.2E-2</v>
      </c>
      <c r="H547" s="114"/>
      <c r="I547" s="902">
        <v>1.232790343847426E-2</v>
      </c>
      <c r="J547" s="114"/>
      <c r="K547" s="906">
        <f>I547-G547</f>
        <v>3.2790343847425955E-4</v>
      </c>
      <c r="L547" s="114"/>
      <c r="M547" s="135">
        <v>9672118.9299999997</v>
      </c>
      <c r="N547" s="135"/>
      <c r="O547" s="135">
        <f>K547*M547/1000</f>
        <v>3.1715210544789763</v>
      </c>
      <c r="P547" s="135"/>
      <c r="Q547" s="135"/>
    </row>
    <row r="548" spans="1:17">
      <c r="A548" s="140"/>
      <c r="B548" s="114"/>
      <c r="C548" s="910"/>
      <c r="D548" s="114"/>
      <c r="E548" s="140"/>
      <c r="F548" s="140"/>
      <c r="G548" s="903"/>
      <c r="H548" s="114"/>
      <c r="I548" s="907"/>
      <c r="J548" s="114"/>
      <c r="K548" s="909"/>
      <c r="L548" s="114"/>
      <c r="M548" s="203"/>
      <c r="N548" s="203"/>
      <c r="O548" s="203"/>
      <c r="P548" s="203"/>
      <c r="Q548" s="203"/>
    </row>
    <row r="549" spans="1:17">
      <c r="A549" s="140">
        <f>A547+1</f>
        <v>275</v>
      </c>
      <c r="B549" s="114"/>
      <c r="C549" s="476" t="s">
        <v>390</v>
      </c>
      <c r="D549" s="114"/>
      <c r="E549" s="140" t="s">
        <v>584</v>
      </c>
      <c r="F549" s="140"/>
      <c r="G549" s="114">
        <v>5.3090000000000002</v>
      </c>
      <c r="H549" s="114"/>
      <c r="I549" s="902">
        <v>5.9723563908413375</v>
      </c>
      <c r="J549" s="114"/>
      <c r="K549" s="906">
        <f>I549-G549</f>
        <v>0.66335639084133735</v>
      </c>
      <c r="L549" s="114"/>
      <c r="M549" s="135">
        <v>43040.95</v>
      </c>
      <c r="N549" s="135"/>
      <c r="O549" s="135">
        <f>K549*M549/1000</f>
        <v>28.551489250382456</v>
      </c>
      <c r="P549" s="135"/>
      <c r="Q549" s="135"/>
    </row>
    <row r="550" spans="1:17">
      <c r="A550" s="140">
        <f>A549+1</f>
        <v>276</v>
      </c>
      <c r="B550" s="114"/>
      <c r="C550" s="114" t="s">
        <v>391</v>
      </c>
      <c r="D550" s="114"/>
      <c r="E550" s="114"/>
      <c r="F550" s="140"/>
      <c r="G550" s="902"/>
      <c r="H550" s="114"/>
      <c r="I550" s="902"/>
      <c r="J550" s="114"/>
      <c r="K550" s="908"/>
      <c r="L550" s="114"/>
      <c r="M550" s="915"/>
      <c r="N550" s="135"/>
      <c r="O550" s="135"/>
      <c r="P550" s="135"/>
      <c r="Q550" s="135">
        <f>SUM(O540:O549)</f>
        <v>99.038639908827435</v>
      </c>
    </row>
    <row r="551" spans="1:17">
      <c r="A551" s="140"/>
      <c r="B551" s="114"/>
      <c r="C551" s="114"/>
      <c r="D551" s="114"/>
      <c r="E551" s="140"/>
      <c r="F551" s="140"/>
      <c r="G551" s="902"/>
      <c r="H551" s="114"/>
      <c r="I551" s="907"/>
      <c r="J551" s="114"/>
      <c r="K551" s="906"/>
      <c r="L551" s="114"/>
      <c r="M551" s="135"/>
      <c r="N551" s="135"/>
      <c r="O551" s="135"/>
      <c r="P551" s="135"/>
      <c r="Q551" s="135"/>
    </row>
    <row r="552" spans="1:17" ht="12.95" thickBot="1">
      <c r="A552" s="140">
        <f>A550+1</f>
        <v>277</v>
      </c>
      <c r="B552" s="114"/>
      <c r="C552" s="114" t="s">
        <v>395</v>
      </c>
      <c r="D552" s="114"/>
      <c r="E552" s="140"/>
      <c r="F552" s="140"/>
      <c r="G552" s="902"/>
      <c r="H552" s="114"/>
      <c r="I552" s="902"/>
      <c r="J552" s="114"/>
      <c r="K552" s="908"/>
      <c r="L552" s="114"/>
      <c r="M552" s="135"/>
      <c r="N552" s="135"/>
      <c r="O552" s="905">
        <f>O540+O542+O543+O544+O545+O547+O548+O549+O526+O527+O529+O530+O532+O533+O523+O535</f>
        <v>328.59576801390875</v>
      </c>
      <c r="P552" s="135"/>
      <c r="Q552" s="905">
        <f>SUM(Q523:Q550)</f>
        <v>328.59576801390881</v>
      </c>
    </row>
    <row r="553" spans="1:17" ht="12.95" thickTop="1">
      <c r="A553" s="140"/>
      <c r="B553" s="114"/>
      <c r="C553" s="114"/>
      <c r="D553" s="114"/>
      <c r="E553" s="140"/>
      <c r="F553" s="140"/>
      <c r="G553" s="902"/>
      <c r="H553" s="114"/>
      <c r="I553" s="902"/>
      <c r="J553" s="114"/>
      <c r="K553" s="906"/>
      <c r="L553" s="114"/>
      <c r="M553" s="135"/>
      <c r="N553" s="135"/>
      <c r="O553" s="135"/>
      <c r="P553" s="135"/>
      <c r="Q553" s="135"/>
    </row>
    <row r="554" spans="1:17">
      <c r="A554" s="140"/>
      <c r="B554" s="114"/>
      <c r="C554" s="875" t="s">
        <v>154</v>
      </c>
      <c r="D554" s="114"/>
      <c r="E554" s="140"/>
      <c r="F554" s="140"/>
      <c r="G554" s="114"/>
      <c r="H554" s="114"/>
      <c r="I554" s="907"/>
      <c r="J554" s="114"/>
      <c r="K554" s="906"/>
      <c r="L554" s="114"/>
      <c r="M554" s="135"/>
      <c r="N554" s="135"/>
      <c r="O554" s="135"/>
      <c r="P554" s="135"/>
      <c r="Q554" s="135"/>
    </row>
    <row r="555" spans="1:17">
      <c r="A555" s="140">
        <f>A552+1</f>
        <v>278</v>
      </c>
      <c r="B555" s="114"/>
      <c r="C555" s="429" t="s">
        <v>1195</v>
      </c>
      <c r="D555" s="114"/>
      <c r="E555" s="140" t="s">
        <v>523</v>
      </c>
      <c r="F555" s="140"/>
      <c r="G555" s="99">
        <v>22703.73</v>
      </c>
      <c r="H555" s="914"/>
      <c r="I555" s="99">
        <v>23324.115927765928</v>
      </c>
      <c r="J555" s="914"/>
      <c r="K555" s="99">
        <f>I555-G555</f>
        <v>620.3859277659285</v>
      </c>
      <c r="L555" s="114"/>
      <c r="M555" s="135">
        <v>4</v>
      </c>
      <c r="N555" s="135"/>
      <c r="O555" s="135">
        <f>K555*M555/1000</f>
        <v>2.481543711063714</v>
      </c>
      <c r="P555" s="135"/>
      <c r="Q555" s="135">
        <f>O555</f>
        <v>2.481543711063714</v>
      </c>
    </row>
    <row r="556" spans="1:17">
      <c r="A556" s="140"/>
      <c r="B556" s="114"/>
      <c r="C556" s="114" t="s">
        <v>1196</v>
      </c>
      <c r="D556" s="114"/>
      <c r="E556" s="140"/>
      <c r="F556" s="140"/>
      <c r="G556" s="902"/>
      <c r="H556" s="114"/>
      <c r="I556" s="907"/>
      <c r="J556" s="114"/>
      <c r="K556" s="906"/>
      <c r="L556" s="114"/>
      <c r="M556" s="135"/>
      <c r="N556" s="135"/>
      <c r="O556" s="135"/>
      <c r="P556" s="135"/>
      <c r="Q556" s="135"/>
    </row>
    <row r="557" spans="1:17">
      <c r="A557" s="140">
        <f>A555+1</f>
        <v>279</v>
      </c>
      <c r="B557" s="114"/>
      <c r="C557" s="876" t="s">
        <v>368</v>
      </c>
      <c r="D557" s="114"/>
      <c r="E557" s="140" t="s">
        <v>540</v>
      </c>
      <c r="F557" s="140"/>
      <c r="G557" s="902">
        <v>20.7133</v>
      </c>
      <c r="H557" s="114"/>
      <c r="I557" s="902">
        <v>21.287604412392756</v>
      </c>
      <c r="J557" s="114"/>
      <c r="K557" s="906">
        <f>I557-G557</f>
        <v>0.57430441239275609</v>
      </c>
      <c r="L557" s="114"/>
      <c r="M557" s="135">
        <v>9400</v>
      </c>
      <c r="N557" s="135"/>
      <c r="O557" s="135">
        <f>K557*M557/1000</f>
        <v>5.3984614764919066</v>
      </c>
      <c r="P557" s="135"/>
      <c r="Q557" s="135"/>
    </row>
    <row r="558" spans="1:17">
      <c r="A558" s="140">
        <f>A557+1</f>
        <v>280</v>
      </c>
      <c r="B558" s="114"/>
      <c r="C558" s="876" t="s">
        <v>372</v>
      </c>
      <c r="D558" s="114"/>
      <c r="E558" s="140" t="s">
        <v>525</v>
      </c>
      <c r="F558" s="140"/>
      <c r="G558" s="902">
        <v>8.2100000000000006E-2</v>
      </c>
      <c r="H558" s="114"/>
      <c r="I558" s="902">
        <v>8.0131372350082677E-2</v>
      </c>
      <c r="J558" s="114"/>
      <c r="K558" s="906">
        <f>I558-G558</f>
        <v>-1.9686276499173289E-3</v>
      </c>
      <c r="L558" s="114"/>
      <c r="M558" s="135">
        <v>131618.19731000002</v>
      </c>
      <c r="N558" s="135"/>
      <c r="O558" s="135">
        <f>K558*M558/1000</f>
        <v>-0.25910722245674067</v>
      </c>
      <c r="P558" s="135"/>
      <c r="Q558" s="135"/>
    </row>
    <row r="559" spans="1:17">
      <c r="A559" s="140"/>
      <c r="B559" s="114"/>
      <c r="C559" s="114"/>
      <c r="D559" s="114"/>
      <c r="E559" s="114"/>
      <c r="F559" s="114"/>
      <c r="G559" s="114"/>
      <c r="H559" s="114"/>
      <c r="I559" s="114"/>
      <c r="J559" s="114"/>
      <c r="K559" s="114"/>
      <c r="L559" s="114"/>
      <c r="M559" s="114"/>
      <c r="N559" s="114"/>
      <c r="O559" s="114"/>
      <c r="P559" s="114"/>
      <c r="Q559" s="114"/>
    </row>
    <row r="560" spans="1:17">
      <c r="A560" s="140">
        <f>A558+1</f>
        <v>281</v>
      </c>
      <c r="B560" s="114"/>
      <c r="C560" s="429" t="s">
        <v>377</v>
      </c>
      <c r="D560" s="114"/>
      <c r="E560" s="140" t="s">
        <v>584</v>
      </c>
      <c r="F560" s="140"/>
      <c r="G560" s="114">
        <v>5.3090000000000002</v>
      </c>
      <c r="H560" s="114"/>
      <c r="I560" s="907">
        <v>6.0946606163661592</v>
      </c>
      <c r="J560" s="114"/>
      <c r="K560" s="906">
        <f>I560-G560</f>
        <v>0.78566061636615903</v>
      </c>
      <c r="L560" s="114"/>
      <c r="M560" s="135">
        <v>21551.84</v>
      </c>
      <c r="N560" s="135"/>
      <c r="O560" s="135">
        <f>K560*M560/1000</f>
        <v>16.932431898224841</v>
      </c>
      <c r="P560" s="135"/>
      <c r="Q560" s="135"/>
    </row>
    <row r="561" spans="1:17">
      <c r="A561" s="140">
        <f>A560+1</f>
        <v>282</v>
      </c>
      <c r="B561" s="114"/>
      <c r="C561" s="114" t="s">
        <v>378</v>
      </c>
      <c r="D561" s="114"/>
      <c r="E561" s="140"/>
      <c r="F561" s="140"/>
      <c r="G561" s="902"/>
      <c r="H561" s="114"/>
      <c r="I561" s="902"/>
      <c r="J561" s="114"/>
      <c r="K561" s="908"/>
      <c r="L561" s="114"/>
      <c r="M561" s="135"/>
      <c r="N561" s="135"/>
      <c r="O561" s="135"/>
      <c r="P561" s="135"/>
      <c r="Q561" s="204">
        <f>SUM(O557:O560)</f>
        <v>22.071786152260007</v>
      </c>
    </row>
    <row r="562" spans="1:17">
      <c r="A562" s="140"/>
      <c r="B562" s="114"/>
      <c r="C562" s="429"/>
      <c r="D562" s="114"/>
      <c r="E562" s="140"/>
      <c r="F562" s="140"/>
      <c r="G562" s="913"/>
      <c r="H562" s="913"/>
      <c r="I562" s="913"/>
      <c r="J562" s="913"/>
      <c r="K562" s="912"/>
      <c r="L562" s="114"/>
      <c r="M562" s="135"/>
      <c r="N562" s="135"/>
      <c r="O562" s="135"/>
      <c r="P562" s="135"/>
      <c r="Q562" s="135"/>
    </row>
    <row r="563" spans="1:17">
      <c r="A563" s="140"/>
      <c r="B563" s="114"/>
      <c r="C563" s="114" t="s">
        <v>1198</v>
      </c>
      <c r="D563" s="114"/>
      <c r="E563" s="140"/>
      <c r="F563" s="140"/>
      <c r="G563" s="114"/>
      <c r="H563" s="114"/>
      <c r="I563" s="114"/>
      <c r="J563" s="114"/>
      <c r="K563" s="906"/>
      <c r="L563" s="114"/>
      <c r="M563" s="135"/>
      <c r="N563" s="135"/>
      <c r="O563" s="135"/>
      <c r="P563" s="135"/>
      <c r="Q563" s="135"/>
    </row>
    <row r="564" spans="1:17">
      <c r="A564" s="140"/>
      <c r="B564" s="114"/>
      <c r="C564" s="476" t="s">
        <v>630</v>
      </c>
      <c r="D564" s="114"/>
      <c r="E564" s="140"/>
      <c r="F564" s="140"/>
      <c r="G564" s="114"/>
      <c r="H564" s="114"/>
      <c r="I564" s="114"/>
      <c r="J564" s="114"/>
      <c r="K564" s="906"/>
      <c r="L564" s="114"/>
      <c r="M564" s="135"/>
      <c r="N564" s="135"/>
      <c r="O564" s="135"/>
      <c r="P564" s="135"/>
      <c r="Q564" s="135"/>
    </row>
    <row r="565" spans="1:17">
      <c r="A565" s="140">
        <f>A561+1</f>
        <v>283</v>
      </c>
      <c r="B565" s="114"/>
      <c r="C565" s="910" t="s">
        <v>381</v>
      </c>
      <c r="D565" s="114"/>
      <c r="E565" s="140" t="s">
        <v>582</v>
      </c>
      <c r="F565" s="140"/>
      <c r="G565" s="902">
        <v>1.2E-2</v>
      </c>
      <c r="H565" s="114"/>
      <c r="I565" s="902">
        <v>1.2327903438474258E-2</v>
      </c>
      <c r="J565" s="114"/>
      <c r="K565" s="906">
        <f>I565-G565</f>
        <v>3.2790343847425782E-4</v>
      </c>
      <c r="L565" s="114"/>
      <c r="M565" s="135">
        <v>12824084</v>
      </c>
      <c r="N565" s="135"/>
      <c r="O565" s="135">
        <f>K565*M565/1000</f>
        <v>4.2050612388827142</v>
      </c>
      <c r="P565" s="135"/>
      <c r="Q565" s="135"/>
    </row>
    <row r="566" spans="1:17">
      <c r="A566" s="140"/>
      <c r="B566" s="114"/>
      <c r="C566" s="476" t="s">
        <v>383</v>
      </c>
      <c r="D566" s="114"/>
      <c r="E566" s="140"/>
      <c r="F566" s="140"/>
      <c r="G566" s="911"/>
      <c r="H566" s="114"/>
      <c r="I566" s="114"/>
      <c r="J566" s="114"/>
      <c r="K566" s="906"/>
      <c r="L566" s="114"/>
      <c r="M566" s="135"/>
      <c r="N566" s="135"/>
      <c r="O566" s="135"/>
      <c r="P566" s="135"/>
      <c r="Q566" s="135"/>
    </row>
    <row r="567" spans="1:17">
      <c r="A567" s="140">
        <f>A565+1</f>
        <v>284</v>
      </c>
      <c r="B567" s="114"/>
      <c r="C567" s="910" t="s">
        <v>1199</v>
      </c>
      <c r="D567" s="114"/>
      <c r="E567" s="140" t="s">
        <v>582</v>
      </c>
      <c r="F567" s="140"/>
      <c r="G567" s="903">
        <v>1.8779999999999999</v>
      </c>
      <c r="H567" s="114"/>
      <c r="I567" s="902">
        <v>1.927</v>
      </c>
      <c r="J567" s="114"/>
      <c r="K567" s="906">
        <f>I567-G567</f>
        <v>4.9000000000000155E-2</v>
      </c>
      <c r="L567" s="114"/>
      <c r="M567" s="135">
        <v>0</v>
      </c>
      <c r="N567" s="135"/>
      <c r="O567" s="135">
        <f>K567*M567/1000</f>
        <v>0</v>
      </c>
      <c r="P567" s="135"/>
      <c r="Q567" s="135"/>
    </row>
    <row r="568" spans="1:17">
      <c r="A568" s="140">
        <f>A567+1</f>
        <v>285</v>
      </c>
      <c r="B568" s="114"/>
      <c r="C568" s="910" t="s">
        <v>385</v>
      </c>
      <c r="D568" s="114"/>
      <c r="E568" s="140" t="s">
        <v>582</v>
      </c>
      <c r="F568" s="140"/>
      <c r="G568" s="903">
        <v>1.4730000000000001</v>
      </c>
      <c r="H568" s="114"/>
      <c r="I568" s="902">
        <v>1.5187525197395906</v>
      </c>
      <c r="J568" s="114"/>
      <c r="K568" s="906">
        <f>I568-G568</f>
        <v>4.5752519739590491E-2</v>
      </c>
      <c r="L568" s="114"/>
      <c r="M568" s="135">
        <v>216556</v>
      </c>
      <c r="N568" s="135"/>
      <c r="O568" s="135">
        <f>K568*M568/1000</f>
        <v>9.9079826647267577</v>
      </c>
      <c r="P568" s="135"/>
      <c r="Q568" s="135"/>
    </row>
    <row r="569" spans="1:17">
      <c r="A569" s="140">
        <f>A568+1</f>
        <v>286</v>
      </c>
      <c r="B569" s="114"/>
      <c r="C569" s="910" t="s">
        <v>386</v>
      </c>
      <c r="D569" s="114"/>
      <c r="E569" s="140" t="s">
        <v>582</v>
      </c>
      <c r="F569" s="140"/>
      <c r="G569" s="903">
        <v>1.4730000000000001</v>
      </c>
      <c r="H569" s="114"/>
      <c r="I569" s="902">
        <v>1.5187525197395906</v>
      </c>
      <c r="J569" s="114"/>
      <c r="K569" s="906">
        <f>I569-G569</f>
        <v>4.5752519739590491E-2</v>
      </c>
      <c r="L569" s="114"/>
      <c r="M569" s="135">
        <v>0</v>
      </c>
      <c r="N569" s="135"/>
      <c r="O569" s="135">
        <f>K569*M569/1000</f>
        <v>0</v>
      </c>
      <c r="P569" s="135"/>
      <c r="Q569" s="135"/>
    </row>
    <row r="570" spans="1:17">
      <c r="A570" s="140">
        <f>A569+1</f>
        <v>287</v>
      </c>
      <c r="B570" s="114"/>
      <c r="C570" s="910" t="s">
        <v>387</v>
      </c>
      <c r="D570" s="114"/>
      <c r="E570" s="140" t="s">
        <v>582</v>
      </c>
      <c r="F570" s="140"/>
      <c r="G570" s="903">
        <v>1.4730000000000001</v>
      </c>
      <c r="H570" s="114"/>
      <c r="I570" s="902">
        <v>1.5187525197395906</v>
      </c>
      <c r="J570" s="114"/>
      <c r="K570" s="906">
        <f>I570-G570</f>
        <v>4.5752519739590491E-2</v>
      </c>
      <c r="L570" s="114"/>
      <c r="M570" s="135">
        <v>0</v>
      </c>
      <c r="N570" s="135"/>
      <c r="O570" s="135">
        <f>K570*M570/1000</f>
        <v>0</v>
      </c>
      <c r="P570" s="135"/>
      <c r="Q570" s="135"/>
    </row>
    <row r="571" spans="1:17">
      <c r="A571" s="140"/>
      <c r="B571" s="114"/>
      <c r="C571" s="476"/>
      <c r="D571" s="114"/>
      <c r="E571" s="140"/>
      <c r="F571" s="140"/>
      <c r="G571" s="114"/>
      <c r="H571" s="114"/>
      <c r="I571" s="114"/>
      <c r="J571" s="114"/>
      <c r="K571" s="906"/>
      <c r="L571" s="114"/>
      <c r="M571" s="135"/>
      <c r="N571" s="135"/>
      <c r="O571" s="135"/>
      <c r="P571" s="135"/>
      <c r="Q571" s="135"/>
    </row>
    <row r="572" spans="1:17">
      <c r="A572" s="140">
        <f>A570+1</f>
        <v>288</v>
      </c>
      <c r="B572" s="114"/>
      <c r="C572" s="910" t="s">
        <v>389</v>
      </c>
      <c r="D572" s="114"/>
      <c r="E572" s="140" t="s">
        <v>584</v>
      </c>
      <c r="F572" s="140"/>
      <c r="G572" s="903">
        <v>1.2E-2</v>
      </c>
      <c r="H572" s="114"/>
      <c r="I572" s="902">
        <v>1.2327903438474256E-2</v>
      </c>
      <c r="J572" s="114"/>
      <c r="K572" s="906">
        <f>I572-G572</f>
        <v>3.2790343847425608E-4</v>
      </c>
      <c r="L572" s="114"/>
      <c r="M572" s="135">
        <v>2381547.5699999998</v>
      </c>
      <c r="N572" s="135"/>
      <c r="O572" s="135">
        <f>K572*M572/1000</f>
        <v>0.78091763709300899</v>
      </c>
      <c r="P572" s="135"/>
      <c r="Q572" s="135"/>
    </row>
    <row r="573" spans="1:17">
      <c r="A573" s="140"/>
      <c r="B573" s="114"/>
      <c r="C573" s="910"/>
      <c r="D573" s="114"/>
      <c r="E573" s="140"/>
      <c r="F573" s="140"/>
      <c r="G573" s="903"/>
      <c r="H573" s="114"/>
      <c r="I573" s="907"/>
      <c r="J573" s="114"/>
      <c r="K573" s="909"/>
      <c r="L573" s="114"/>
      <c r="M573" s="203"/>
      <c r="N573" s="203"/>
      <c r="O573" s="203"/>
      <c r="P573" s="203"/>
      <c r="Q573" s="203"/>
    </row>
    <row r="574" spans="1:17">
      <c r="A574" s="140">
        <f>A572+1</f>
        <v>289</v>
      </c>
      <c r="B574" s="114"/>
      <c r="C574" s="476" t="s">
        <v>390</v>
      </c>
      <c r="D574" s="114"/>
      <c r="E574" s="140" t="s">
        <v>584</v>
      </c>
      <c r="F574" s="140"/>
      <c r="G574" s="114">
        <v>5.3090000000000002</v>
      </c>
      <c r="H574" s="114"/>
      <c r="I574" s="902">
        <v>5.7433187992280281</v>
      </c>
      <c r="J574" s="114"/>
      <c r="K574" s="906">
        <f>I574-G574</f>
        <v>0.43431879922802796</v>
      </c>
      <c r="L574" s="114"/>
      <c r="M574" s="135">
        <v>10597.880000000001</v>
      </c>
      <c r="N574" s="135"/>
      <c r="O574" s="135">
        <f>K574*M574/1000</f>
        <v>4.6028585159627333</v>
      </c>
      <c r="P574" s="135"/>
      <c r="Q574" s="135"/>
    </row>
    <row r="575" spans="1:17">
      <c r="A575" s="140">
        <f>A574+1</f>
        <v>290</v>
      </c>
      <c r="B575" s="114"/>
      <c r="C575" s="114" t="s">
        <v>391</v>
      </c>
      <c r="D575" s="114"/>
      <c r="E575" s="140"/>
      <c r="F575" s="140"/>
      <c r="G575" s="902"/>
      <c r="H575" s="114"/>
      <c r="I575" s="902"/>
      <c r="J575" s="114"/>
      <c r="K575" s="908"/>
      <c r="L575" s="114"/>
      <c r="M575" s="135"/>
      <c r="N575" s="135"/>
      <c r="O575" s="135"/>
      <c r="P575" s="135"/>
      <c r="Q575" s="135">
        <f>SUM(O565:O574)</f>
        <v>19.496820056665214</v>
      </c>
    </row>
    <row r="576" spans="1:17">
      <c r="A576" s="140"/>
      <c r="B576" s="114"/>
      <c r="C576" s="114"/>
      <c r="D576" s="114"/>
      <c r="E576" s="140"/>
      <c r="F576" s="140"/>
      <c r="G576" s="902"/>
      <c r="H576" s="114"/>
      <c r="I576" s="907"/>
      <c r="J576" s="114"/>
      <c r="K576" s="906"/>
      <c r="L576" s="114"/>
      <c r="M576" s="135"/>
      <c r="N576" s="135"/>
      <c r="O576" s="135"/>
      <c r="P576" s="135"/>
      <c r="Q576" s="135"/>
    </row>
    <row r="577" spans="1:17" ht="12.95" thickBot="1">
      <c r="A577" s="140">
        <f>A575+1</f>
        <v>291</v>
      </c>
      <c r="B577" s="114"/>
      <c r="C577" s="114" t="s">
        <v>396</v>
      </c>
      <c r="D577" s="114"/>
      <c r="E577" s="140"/>
      <c r="F577" s="140"/>
      <c r="G577" s="902"/>
      <c r="H577" s="114"/>
      <c r="I577" s="902"/>
      <c r="J577" s="114"/>
      <c r="K577" s="906"/>
      <c r="L577" s="114"/>
      <c r="M577" s="135"/>
      <c r="N577" s="135"/>
      <c r="O577" s="905">
        <f>O565+O567+O568+O569+O570+O572+O573+O574+O557+O558+O555+O560</f>
        <v>44.050149919988939</v>
      </c>
      <c r="P577" s="135"/>
      <c r="Q577" s="905">
        <f>SUM(Q555:Q575)</f>
        <v>44.050149919988939</v>
      </c>
    </row>
    <row r="578" spans="1:17" ht="12.95" thickTop="1">
      <c r="A578" s="140"/>
      <c r="B578" s="114"/>
      <c r="C578" s="114"/>
      <c r="D578" s="114"/>
      <c r="E578" s="140"/>
      <c r="F578" s="140"/>
      <c r="G578" s="114"/>
      <c r="H578" s="114"/>
      <c r="I578" s="114"/>
      <c r="J578" s="114"/>
      <c r="K578" s="114"/>
      <c r="L578" s="114"/>
      <c r="M578" s="135"/>
      <c r="N578" s="135"/>
      <c r="O578" s="135"/>
      <c r="P578" s="135"/>
      <c r="Q578" s="135"/>
    </row>
    <row r="579" spans="1:17">
      <c r="A579" s="140"/>
      <c r="B579" s="114"/>
      <c r="C579" s="904" t="s">
        <v>1200</v>
      </c>
      <c r="D579" s="114"/>
      <c r="E579" s="114"/>
      <c r="F579" s="114"/>
      <c r="G579" s="114"/>
      <c r="H579" s="114"/>
      <c r="I579" s="114"/>
      <c r="J579" s="114"/>
      <c r="K579" s="114"/>
      <c r="L579" s="114"/>
      <c r="M579" s="114"/>
      <c r="N579" s="114"/>
      <c r="O579" s="114"/>
      <c r="P579" s="114"/>
      <c r="Q579" s="114"/>
    </row>
    <row r="580" spans="1:17">
      <c r="A580" s="140">
        <f>A577+1</f>
        <v>292</v>
      </c>
      <c r="B580" s="114"/>
      <c r="C580" s="114" t="s">
        <v>1142</v>
      </c>
      <c r="D580" s="114"/>
      <c r="E580" s="140" t="s">
        <v>584</v>
      </c>
      <c r="F580" s="140"/>
      <c r="G580" s="903">
        <v>-0.17299999999999999</v>
      </c>
      <c r="H580" s="114"/>
      <c r="I580" s="903">
        <v>-0.16600000000000001</v>
      </c>
      <c r="J580" s="114"/>
      <c r="K580" s="420">
        <f>I580-G580</f>
        <v>6.9999999999999785E-3</v>
      </c>
      <c r="L580" s="114"/>
      <c r="M580" s="203">
        <v>26621167.131901842</v>
      </c>
      <c r="N580" s="203"/>
      <c r="O580" s="203">
        <f>K580*M580 / 1000</f>
        <v>186.34816992331233</v>
      </c>
      <c r="P580" s="203"/>
      <c r="Q580" s="203">
        <f>O580</f>
        <v>186.34816992331233</v>
      </c>
    </row>
    <row r="581" spans="1:17">
      <c r="A581" s="140"/>
      <c r="B581" s="114"/>
      <c r="C581" s="114"/>
      <c r="D581" s="114"/>
      <c r="E581" s="114"/>
      <c r="F581" s="114"/>
      <c r="G581" s="114"/>
      <c r="H581" s="114"/>
      <c r="I581" s="114"/>
      <c r="J581" s="114"/>
      <c r="K581" s="114"/>
      <c r="L581" s="114"/>
      <c r="M581" s="114"/>
      <c r="N581" s="114"/>
      <c r="O581" s="114"/>
      <c r="P581" s="114"/>
      <c r="Q581" s="114"/>
    </row>
    <row r="582" spans="1:17">
      <c r="A582" s="140"/>
      <c r="B582" s="114"/>
      <c r="C582" s="114"/>
      <c r="D582" s="114"/>
      <c r="E582" s="114"/>
      <c r="F582" s="114"/>
      <c r="G582" s="114"/>
      <c r="H582" s="114"/>
      <c r="I582" s="114"/>
      <c r="J582" s="114"/>
      <c r="K582" s="114"/>
      <c r="L582" s="114"/>
      <c r="M582" s="114"/>
      <c r="N582" s="114"/>
      <c r="O582" s="114"/>
      <c r="P582" s="114"/>
      <c r="Q582" s="114"/>
    </row>
    <row r="583" spans="1:17">
      <c r="A583" s="197" t="s">
        <v>80</v>
      </c>
      <c r="B583" s="114"/>
      <c r="C583" s="114"/>
      <c r="D583" s="114"/>
      <c r="E583" s="114"/>
      <c r="F583" s="114"/>
      <c r="G583" s="114"/>
      <c r="H583" s="114"/>
      <c r="I583" s="114"/>
      <c r="J583" s="114"/>
      <c r="K583" s="114"/>
      <c r="L583" s="114"/>
      <c r="M583" s="114"/>
      <c r="N583" s="114"/>
      <c r="O583" s="114"/>
      <c r="P583" s="114"/>
      <c r="Q583" s="114"/>
    </row>
    <row r="584" spans="1:17">
      <c r="A584" s="202" t="s">
        <v>169</v>
      </c>
      <c r="B584" s="114"/>
      <c r="C584" s="429" t="s">
        <v>1201</v>
      </c>
      <c r="D584" s="114"/>
      <c r="E584" s="114"/>
      <c r="F584" s="114"/>
      <c r="G584" s="114"/>
      <c r="H584" s="114"/>
      <c r="I584" s="114"/>
      <c r="J584" s="114"/>
      <c r="K584" s="114"/>
      <c r="L584" s="114"/>
      <c r="M584" s="114"/>
      <c r="N584" s="114"/>
      <c r="O584" s="114"/>
      <c r="P584" s="114"/>
      <c r="Q584" s="114"/>
    </row>
    <row r="585" spans="1:17">
      <c r="A585" s="202" t="s">
        <v>20</v>
      </c>
      <c r="B585" s="114"/>
      <c r="C585" s="429" t="s">
        <v>1202</v>
      </c>
      <c r="D585" s="114"/>
      <c r="E585" s="114"/>
      <c r="F585" s="114"/>
      <c r="G585" s="114"/>
      <c r="H585" s="114"/>
      <c r="I585" s="114"/>
      <c r="J585" s="114"/>
      <c r="K585" s="114"/>
      <c r="L585" s="114"/>
      <c r="M585" s="114"/>
      <c r="N585" s="114"/>
      <c r="O585" s="114"/>
      <c r="P585" s="114"/>
      <c r="Q585" s="114"/>
    </row>
    <row r="586" spans="1:17">
      <c r="A586" s="140"/>
      <c r="B586" s="114"/>
      <c r="C586" s="114"/>
      <c r="D586" s="114"/>
      <c r="E586" s="114"/>
      <c r="F586" s="114"/>
      <c r="G586" s="140"/>
      <c r="H586" s="114"/>
      <c r="I586" s="140"/>
      <c r="J586" s="114"/>
      <c r="K586" s="140"/>
      <c r="L586" s="114"/>
      <c r="M586" s="140"/>
      <c r="N586" s="114"/>
      <c r="O586" s="140"/>
      <c r="P586" s="114"/>
      <c r="Q586" s="140"/>
    </row>
    <row r="587" spans="1:17">
      <c r="E587" s="138"/>
      <c r="F587" s="138"/>
      <c r="G587" s="138"/>
      <c r="I587" s="138"/>
      <c r="K587" s="138"/>
      <c r="M587" s="138"/>
      <c r="O587" s="138"/>
      <c r="Q587" s="138"/>
    </row>
    <row r="588" spans="1:17">
      <c r="G588" s="191"/>
      <c r="H588" s="138"/>
      <c r="I588" s="191"/>
      <c r="J588" s="138"/>
      <c r="K588" s="191"/>
      <c r="M588" s="191"/>
      <c r="O588" s="191"/>
      <c r="Q588" s="138"/>
    </row>
    <row r="589" spans="1:17">
      <c r="E589" s="138"/>
      <c r="F589" s="138"/>
      <c r="G589" s="902"/>
      <c r="I589" s="901"/>
      <c r="K589" s="900"/>
      <c r="M589" s="899"/>
      <c r="N589" s="899"/>
      <c r="O589" s="899"/>
      <c r="P589" s="899"/>
      <c r="Q589" s="899"/>
    </row>
    <row r="590" spans="1:17">
      <c r="E590" s="138"/>
      <c r="F590" s="138"/>
      <c r="G590" s="902"/>
      <c r="I590" s="901"/>
      <c r="K590" s="900"/>
      <c r="M590" s="899"/>
      <c r="N590" s="899"/>
      <c r="O590" s="899"/>
      <c r="P590" s="899"/>
      <c r="Q590" s="899"/>
    </row>
    <row r="591" spans="1:17">
      <c r="A591" s="136"/>
    </row>
    <row r="592" spans="1:17">
      <c r="A592" s="136"/>
    </row>
    <row r="593" spans="1:1">
      <c r="A593" s="136"/>
    </row>
    <row r="594" spans="1:1">
      <c r="A594" s="136"/>
    </row>
    <row r="595" spans="1:1">
      <c r="A595" s="136"/>
    </row>
    <row r="596" spans="1:1">
      <c r="A596" s="136"/>
    </row>
    <row r="597" spans="1:1">
      <c r="A597" s="136"/>
    </row>
    <row r="598" spans="1:1">
      <c r="A598" s="136"/>
    </row>
    <row r="599" spans="1:1">
      <c r="A599" s="136"/>
    </row>
    <row r="600" spans="1:1">
      <c r="A600" s="136"/>
    </row>
    <row r="601" spans="1:1">
      <c r="A601" s="136"/>
    </row>
    <row r="602" spans="1:1">
      <c r="A602" s="136"/>
    </row>
    <row r="603" spans="1:1">
      <c r="A603" s="136"/>
    </row>
    <row r="604" spans="1:1">
      <c r="A604" s="136"/>
    </row>
    <row r="605" spans="1:1">
      <c r="A605" s="136"/>
    </row>
    <row r="606" spans="1:1">
      <c r="A606" s="136"/>
    </row>
    <row r="607" spans="1:1">
      <c r="A607" s="136"/>
    </row>
    <row r="608" spans="1:1">
      <c r="A608" s="136"/>
    </row>
    <row r="609" spans="1:9">
      <c r="A609" s="136"/>
    </row>
    <row r="610" spans="1:9">
      <c r="A610" s="136"/>
    </row>
    <row r="611" spans="1:9">
      <c r="A611" s="136"/>
    </row>
    <row r="612" spans="1:9">
      <c r="A612" s="136"/>
    </row>
    <row r="613" spans="1:9">
      <c r="A613" s="136"/>
    </row>
    <row r="614" spans="1:9">
      <c r="A614" s="136"/>
    </row>
    <row r="615" spans="1:9">
      <c r="A615" s="136"/>
    </row>
    <row r="616" spans="1:9">
      <c r="A616" s="136"/>
    </row>
    <row r="617" spans="1:9">
      <c r="A617" s="136"/>
    </row>
    <row r="618" spans="1:9">
      <c r="A618" s="136"/>
    </row>
    <row r="619" spans="1:9">
      <c r="A619" s="136"/>
    </row>
    <row r="620" spans="1:9">
      <c r="A620" s="136"/>
    </row>
    <row r="621" spans="1:9">
      <c r="A621" s="136"/>
    </row>
    <row r="622" spans="1:9">
      <c r="G622" s="898"/>
      <c r="H622" s="898"/>
      <c r="I622" s="898"/>
    </row>
    <row r="623" spans="1:9">
      <c r="A623" s="136"/>
    </row>
    <row r="624" spans="1:9">
      <c r="A624" s="136"/>
    </row>
    <row r="625" spans="1:1">
      <c r="A625" s="136"/>
    </row>
    <row r="626" spans="1:1">
      <c r="A626" s="136"/>
    </row>
    <row r="627" spans="1:1">
      <c r="A627" s="136"/>
    </row>
    <row r="628" spans="1:1">
      <c r="A628" s="136"/>
    </row>
    <row r="629" spans="1:1">
      <c r="A629" s="136"/>
    </row>
    <row r="630" spans="1:1">
      <c r="A630" s="136"/>
    </row>
    <row r="631" spans="1:1">
      <c r="A631" s="136"/>
    </row>
    <row r="632" spans="1:1">
      <c r="A632" s="136"/>
    </row>
    <row r="633" spans="1:1">
      <c r="A633" s="136"/>
    </row>
    <row r="634" spans="1:1">
      <c r="A634" s="136"/>
    </row>
    <row r="635" spans="1:1">
      <c r="A635" s="136"/>
    </row>
    <row r="636" spans="1:1">
      <c r="A636" s="136"/>
    </row>
    <row r="637" spans="1:1">
      <c r="A637" s="136"/>
    </row>
    <row r="638" spans="1:1">
      <c r="A638" s="136"/>
    </row>
    <row r="639" spans="1:1">
      <c r="A639" s="136"/>
    </row>
    <row r="640" spans="1:1">
      <c r="A640" s="136"/>
    </row>
    <row r="641" spans="1:1">
      <c r="A641" s="136"/>
    </row>
    <row r="642" spans="1:1">
      <c r="A642" s="136"/>
    </row>
    <row r="643" spans="1:1">
      <c r="A643" s="136"/>
    </row>
    <row r="644" spans="1:1">
      <c r="A644" s="136"/>
    </row>
    <row r="645" spans="1:1">
      <c r="A645" s="136"/>
    </row>
    <row r="646" spans="1:1">
      <c r="A646" s="136"/>
    </row>
    <row r="647" spans="1:1">
      <c r="A647" s="136"/>
    </row>
    <row r="648" spans="1:1">
      <c r="A648" s="136"/>
    </row>
    <row r="649" spans="1:1">
      <c r="A649" s="136"/>
    </row>
    <row r="650" spans="1:1">
      <c r="A650" s="136"/>
    </row>
    <row r="651" spans="1:1">
      <c r="A651" s="136"/>
    </row>
    <row r="652" spans="1:1">
      <c r="A652" s="136"/>
    </row>
    <row r="653" spans="1:1">
      <c r="A653" s="136"/>
    </row>
    <row r="654" spans="1:1">
      <c r="A654" s="136"/>
    </row>
    <row r="655" spans="1:1">
      <c r="A655" s="136"/>
    </row>
    <row r="656" spans="1:1">
      <c r="A656" s="136"/>
    </row>
    <row r="662" spans="17:17">
      <c r="Q662" s="192"/>
    </row>
  </sheetData>
  <mergeCells count="14">
    <mergeCell ref="A105:Q105"/>
    <mergeCell ref="T174:AJ174"/>
    <mergeCell ref="S11:AB11"/>
    <mergeCell ref="A7:Q7"/>
    <mergeCell ref="A8:Q8"/>
    <mergeCell ref="A104:Q104"/>
    <mergeCell ref="A205:Q205"/>
    <mergeCell ref="A206:Q206"/>
    <mergeCell ref="A305:Q305"/>
    <mergeCell ref="A482:Q482"/>
    <mergeCell ref="A483:Q483"/>
    <mergeCell ref="A306:Q306"/>
    <mergeCell ref="A393:Q393"/>
    <mergeCell ref="A394:Q394"/>
  </mergeCells>
  <conditionalFormatting sqref="C56">
    <cfRule type="containsText" dxfId="0" priority="1" operator="containsText" text="error">
      <formula>NOT(ISERROR(SEARCH("error",C56)))</formula>
    </cfRule>
  </conditionalFormatting>
  <printOptions horizontalCentered="1"/>
  <pageMargins left="0.7" right="0.7" top="0.75" bottom="0.75" header="0.3" footer="0.3"/>
  <pageSetup scale="47" firstPageNumber="2" fitToHeight="8" orientation="portrait" useFirstPageNumber="1" r:id="rId1"/>
  <headerFooter>
    <oddHeader>&amp;R&amp;10Filed: 2024-02-16
EB-2022-0200
Rate Order
Working Papers
Schedule 26
Page &amp;P of 10</oddHeader>
  </headerFooter>
  <rowBreaks count="5" manualBreakCount="5">
    <brk id="98" max="16" man="1"/>
    <brk id="199" max="16" man="1"/>
    <brk id="299" max="16" man="1"/>
    <brk id="387" max="16" man="1"/>
    <brk id="476" max="1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10B78-7708-4EBE-8C08-F02449C1D9B7}">
  <dimension ref="A1:S257"/>
  <sheetViews>
    <sheetView zoomScale="85" zoomScaleNormal="85" zoomScaleSheetLayoutView="100" workbookViewId="0"/>
  </sheetViews>
  <sheetFormatPr defaultColWidth="9" defaultRowHeight="12.6"/>
  <cols>
    <col min="1" max="1" width="5" style="136" customWidth="1"/>
    <col min="2" max="2" width="3.125" style="136" customWidth="1"/>
    <col min="3" max="3" width="43.25" style="136" customWidth="1"/>
    <col min="4" max="4" width="3.625" style="136" customWidth="1"/>
    <col min="5" max="5" width="9.625" style="136" customWidth="1"/>
    <col min="6" max="6" width="3.125" style="136" customWidth="1"/>
    <col min="7" max="7" width="14.625" style="136" bestFit="1" customWidth="1"/>
    <col min="8" max="8" width="3.125" style="136" customWidth="1"/>
    <col min="9" max="9" width="21.625" style="136" bestFit="1" customWidth="1"/>
    <col min="10" max="10" width="3.125" style="136" customWidth="1"/>
    <col min="11" max="11" width="13.75" style="136" bestFit="1" customWidth="1"/>
    <col min="12" max="12" width="3.75" style="136" customWidth="1"/>
    <col min="13" max="15" width="9" style="136"/>
    <col min="16" max="16" width="19.5" style="136" customWidth="1"/>
    <col min="17" max="17" width="9" style="136"/>
    <col min="18" max="19" width="10.125" style="136" bestFit="1" customWidth="1"/>
    <col min="20" max="16384" width="9" style="136"/>
  </cols>
  <sheetData>
    <row r="1" spans="1:18" ht="13.5" customHeight="1"/>
    <row r="2" spans="1:18">
      <c r="A2" s="897"/>
      <c r="B2" s="897"/>
      <c r="C2" s="897"/>
      <c r="D2" s="897"/>
      <c r="E2" s="897"/>
      <c r="F2" s="897"/>
      <c r="G2" s="897"/>
      <c r="H2" s="897"/>
      <c r="I2" s="897"/>
      <c r="J2" s="897"/>
      <c r="K2" s="897"/>
      <c r="L2" s="897"/>
    </row>
    <row r="3" spans="1:18">
      <c r="A3" s="1177" t="s">
        <v>1203</v>
      </c>
      <c r="B3" s="1177"/>
      <c r="C3" s="1177"/>
      <c r="D3" s="1177"/>
      <c r="E3" s="1177"/>
      <c r="F3" s="1177"/>
      <c r="G3" s="1177"/>
      <c r="H3" s="1177"/>
      <c r="I3" s="1177"/>
      <c r="J3" s="1177"/>
      <c r="K3" s="1177"/>
      <c r="L3" s="1177"/>
    </row>
    <row r="4" spans="1:18">
      <c r="A4" s="941"/>
      <c r="B4" s="897"/>
      <c r="C4" s="897"/>
      <c r="D4" s="897"/>
      <c r="E4" s="897"/>
      <c r="F4" s="897"/>
      <c r="G4" s="897"/>
      <c r="H4" s="897"/>
      <c r="I4" s="897"/>
      <c r="J4" s="897"/>
      <c r="K4" s="897"/>
      <c r="L4" s="897"/>
    </row>
    <row r="5" spans="1:18" ht="12.95">
      <c r="I5" s="138"/>
      <c r="M5" s="1190"/>
      <c r="N5" s="1190"/>
    </row>
    <row r="6" spans="1:18" ht="12.95">
      <c r="G6" s="138" t="s">
        <v>1140</v>
      </c>
      <c r="H6" s="138"/>
      <c r="J6" s="138"/>
      <c r="K6" s="138" t="s">
        <v>1204</v>
      </c>
      <c r="M6" s="1079"/>
      <c r="N6" s="1079"/>
    </row>
    <row r="7" spans="1:18">
      <c r="A7" s="138" t="s">
        <v>56</v>
      </c>
      <c r="G7" s="138" t="s">
        <v>1148</v>
      </c>
      <c r="H7" s="138"/>
      <c r="I7" s="138" t="s">
        <v>1146</v>
      </c>
      <c r="J7" s="138"/>
      <c r="K7" s="138" t="s">
        <v>1205</v>
      </c>
    </row>
    <row r="8" spans="1:18">
      <c r="A8" s="189" t="s">
        <v>57</v>
      </c>
      <c r="C8" s="896" t="s">
        <v>194</v>
      </c>
      <c r="E8" s="189" t="s">
        <v>245</v>
      </c>
      <c r="G8" s="940" t="s">
        <v>1206</v>
      </c>
      <c r="H8" s="138"/>
      <c r="I8" s="189" t="s">
        <v>1150</v>
      </c>
      <c r="J8" s="138"/>
      <c r="K8" s="189" t="s">
        <v>859</v>
      </c>
    </row>
    <row r="9" spans="1:18">
      <c r="A9" s="138"/>
      <c r="G9" s="138" t="s">
        <v>9</v>
      </c>
      <c r="I9" s="138" t="s">
        <v>10</v>
      </c>
      <c r="K9" s="138" t="s">
        <v>1207</v>
      </c>
    </row>
    <row r="10" spans="1:18">
      <c r="A10" s="138"/>
      <c r="C10" s="301" t="s">
        <v>125</v>
      </c>
      <c r="D10" s="301"/>
      <c r="E10" s="301"/>
      <c r="G10" s="138"/>
      <c r="I10" s="138"/>
      <c r="K10" s="138"/>
    </row>
    <row r="11" spans="1:18" ht="0.6" customHeight="1">
      <c r="A11" s="138"/>
      <c r="G11" s="138"/>
      <c r="I11" s="138"/>
      <c r="K11" s="138"/>
    </row>
    <row r="12" spans="1:18" ht="12.95">
      <c r="C12" s="301" t="s">
        <v>127</v>
      </c>
      <c r="D12" s="939"/>
      <c r="E12" s="939"/>
    </row>
    <row r="13" spans="1:18">
      <c r="A13" s="138">
        <v>1</v>
      </c>
      <c r="C13" s="142" t="s">
        <v>1208</v>
      </c>
      <c r="D13" s="142"/>
      <c r="E13" s="138" t="s">
        <v>525</v>
      </c>
      <c r="G13" s="217">
        <f>'Sch. 26 pp.2-7'!Q23+'Sch. 26 pp.2-7'!Q25</f>
        <v>11339.984585161876</v>
      </c>
      <c r="I13" s="899">
        <v>2146382.684925254</v>
      </c>
      <c r="K13" s="936">
        <f>G13/I13*100</f>
        <v>0.52833004406932127</v>
      </c>
      <c r="R13" s="192"/>
    </row>
    <row r="14" spans="1:18">
      <c r="A14" s="138">
        <f>A13+1</f>
        <v>2</v>
      </c>
      <c r="C14" s="142" t="s">
        <v>268</v>
      </c>
      <c r="D14" s="142"/>
      <c r="E14" s="138" t="s">
        <v>525</v>
      </c>
      <c r="G14" s="899">
        <f>'Sch. 26 pp.2-7'!Q26</f>
        <v>58.050024956309578</v>
      </c>
      <c r="I14" s="899">
        <v>2118155.1438624058</v>
      </c>
      <c r="K14" s="936">
        <f>G14/I14*100</f>
        <v>2.7405936304767901E-3</v>
      </c>
      <c r="P14" s="142"/>
    </row>
    <row r="15" spans="1:18">
      <c r="A15" s="138">
        <f>A14+1</f>
        <v>3</v>
      </c>
      <c r="C15" s="142" t="s">
        <v>269</v>
      </c>
      <c r="D15" s="142"/>
      <c r="E15" s="138" t="s">
        <v>525</v>
      </c>
      <c r="G15" s="899">
        <f>'Sch. 26 pp.2-7'!Q27</f>
        <v>6.8477222331807184</v>
      </c>
      <c r="I15" s="899">
        <v>28190.996980337317</v>
      </c>
      <c r="K15" s="936">
        <f>G15/I15*100</f>
        <v>2.4290457829344858E-2</v>
      </c>
      <c r="P15" s="142"/>
    </row>
    <row r="16" spans="1:18">
      <c r="A16" s="138">
        <f>A15+1</f>
        <v>4</v>
      </c>
      <c r="C16" s="142" t="s">
        <v>270</v>
      </c>
      <c r="D16" s="142"/>
      <c r="E16" s="138" t="s">
        <v>525</v>
      </c>
      <c r="G16" s="899">
        <f>'Sch. 26 pp.2-7'!Q29</f>
        <v>65.325126900955141</v>
      </c>
      <c r="I16" s="899">
        <v>2112232.8567822701</v>
      </c>
      <c r="K16" s="936">
        <f>G16/I16*100</f>
        <v>3.0927047977309676E-3</v>
      </c>
      <c r="P16" s="192"/>
    </row>
    <row r="17" spans="1:11">
      <c r="A17" s="138">
        <f>A16+1</f>
        <v>5</v>
      </c>
      <c r="C17" s="136" t="s">
        <v>271</v>
      </c>
      <c r="G17" s="937">
        <f>SUM(G13:G16)</f>
        <v>11470.20745925232</v>
      </c>
      <c r="I17" s="192"/>
      <c r="K17" s="936"/>
    </row>
    <row r="18" spans="1:11">
      <c r="K18" s="936"/>
    </row>
    <row r="19" spans="1:11" ht="12.95">
      <c r="C19" s="301" t="s">
        <v>128</v>
      </c>
      <c r="D19" s="939"/>
      <c r="E19" s="939"/>
      <c r="K19" s="936"/>
    </row>
    <row r="20" spans="1:11">
      <c r="A20" s="138">
        <f>A17+1</f>
        <v>6</v>
      </c>
      <c r="C20" s="142" t="s">
        <v>1208</v>
      </c>
      <c r="D20" s="142"/>
      <c r="E20" s="138" t="s">
        <v>525</v>
      </c>
      <c r="G20" s="899">
        <f>'Sch. 26 pp.2-7'!Q42+'Sch. 26 pp.2-7'!Q44</f>
        <v>9820.0719095038785</v>
      </c>
      <c r="I20" s="899">
        <v>2078899.301296097</v>
      </c>
      <c r="K20" s="936">
        <f>G20/I20*100</f>
        <v>0.47236881090784533</v>
      </c>
    </row>
    <row r="21" spans="1:11">
      <c r="A21" s="138">
        <f>A20+1</f>
        <v>7</v>
      </c>
      <c r="C21" s="142" t="s">
        <v>268</v>
      </c>
      <c r="D21" s="142"/>
      <c r="E21" s="138" t="s">
        <v>525</v>
      </c>
      <c r="G21" s="899">
        <f>'Sch. 26 pp.2-7'!Q45</f>
        <v>37.132779301943152</v>
      </c>
      <c r="I21" s="899">
        <v>1345797.9189435474</v>
      </c>
      <c r="K21" s="936">
        <f>G21/I21*100</f>
        <v>2.759164565441773E-3</v>
      </c>
    </row>
    <row r="22" spans="1:11">
      <c r="A22" s="138">
        <f>A21+1</f>
        <v>8</v>
      </c>
      <c r="C22" s="142" t="s">
        <v>269</v>
      </c>
      <c r="D22" s="142"/>
      <c r="E22" s="138" t="s">
        <v>525</v>
      </c>
      <c r="G22" s="899">
        <f>'Sch. 26 pp.2-7'!Q46</f>
        <v>144.16959682577553</v>
      </c>
      <c r="I22" s="899">
        <v>713201.00218357728</v>
      </c>
      <c r="K22" s="936">
        <f>G22/I22*100</f>
        <v>2.0214441144134343E-2</v>
      </c>
    </row>
    <row r="23" spans="1:11">
      <c r="A23" s="138">
        <f>A22+1</f>
        <v>9</v>
      </c>
      <c r="C23" s="142" t="s">
        <v>270</v>
      </c>
      <c r="D23" s="142"/>
      <c r="E23" s="138" t="s">
        <v>525</v>
      </c>
      <c r="G23" s="899">
        <f>'Sch. 26 pp.2-7'!Q48</f>
        <v>50.395173627218604</v>
      </c>
      <c r="I23" s="899">
        <v>1270935.4785071099</v>
      </c>
      <c r="K23" s="936">
        <f>G23/I23*100</f>
        <v>3.9652031499203032E-3</v>
      </c>
    </row>
    <row r="24" spans="1:11">
      <c r="A24" s="138">
        <f>A23+1</f>
        <v>10</v>
      </c>
      <c r="C24" s="136" t="s">
        <v>278</v>
      </c>
      <c r="G24" s="893">
        <f>SUM(G20:G23)</f>
        <v>10051.769459258816</v>
      </c>
      <c r="K24" s="936"/>
    </row>
    <row r="25" spans="1:11">
      <c r="K25" s="936"/>
    </row>
    <row r="26" spans="1:11" ht="12.95">
      <c r="C26" s="301" t="s">
        <v>129</v>
      </c>
      <c r="D26" s="939"/>
      <c r="E26" s="939"/>
      <c r="K26" s="936"/>
    </row>
    <row r="27" spans="1:11">
      <c r="A27" s="138">
        <f>A24+1</f>
        <v>11</v>
      </c>
      <c r="C27" s="142" t="s">
        <v>280</v>
      </c>
      <c r="D27" s="142"/>
      <c r="E27" s="138" t="s">
        <v>540</v>
      </c>
      <c r="G27" s="217">
        <f>'Sch. 26 pp.2-7'!Q54+'Sch. 26 pp.2-7'!Q57</f>
        <v>2.0526802489390081</v>
      </c>
      <c r="I27" s="217">
        <v>3002.24</v>
      </c>
      <c r="K27" s="936">
        <f>G27/I27*100</f>
        <v>6.8371624151933499E-2</v>
      </c>
    </row>
    <row r="28" spans="1:11">
      <c r="A28" s="138">
        <f>A27+1</f>
        <v>12</v>
      </c>
      <c r="C28" s="142" t="s">
        <v>260</v>
      </c>
      <c r="D28" s="142"/>
      <c r="E28" s="138" t="s">
        <v>525</v>
      </c>
      <c r="G28" s="217">
        <f>'Sch. 26 pp.2-7'!Q55</f>
        <v>13.987919764257724</v>
      </c>
      <c r="I28" s="217">
        <v>13604.439</v>
      </c>
      <c r="K28" s="936">
        <f>G28/I28*100</f>
        <v>0.10281879145665412</v>
      </c>
    </row>
    <row r="29" spans="1:11">
      <c r="A29" s="138">
        <f>A28+1</f>
        <v>13</v>
      </c>
      <c r="C29" s="142" t="s">
        <v>268</v>
      </c>
      <c r="D29" s="142"/>
      <c r="E29" s="138" t="s">
        <v>525</v>
      </c>
      <c r="G29" s="217">
        <f>'Sch. 26 pp.2-7'!Q58</f>
        <v>1.494051440540751E-2</v>
      </c>
      <c r="I29" s="217">
        <v>7494.8560000000007</v>
      </c>
      <c r="K29" s="936">
        <f>G29/I29*100</f>
        <v>1.9934358185677627E-4</v>
      </c>
    </row>
    <row r="30" spans="1:11">
      <c r="A30" s="138">
        <f>A29+1</f>
        <v>14</v>
      </c>
      <c r="C30" s="142" t="s">
        <v>269</v>
      </c>
      <c r="D30" s="142"/>
      <c r="E30" s="138" t="s">
        <v>525</v>
      </c>
      <c r="G30" s="217">
        <f>'Sch. 26 pp.2-7'!Q59</f>
        <v>9.0399815044238122E-2</v>
      </c>
      <c r="I30" s="217">
        <v>5269.8799999999992</v>
      </c>
      <c r="K30" s="936">
        <f>G30/I30*100</f>
        <v>1.7154055698467162E-3</v>
      </c>
    </row>
    <row r="31" spans="1:11">
      <c r="A31" s="138">
        <f>A30+1</f>
        <v>15</v>
      </c>
      <c r="C31" s="142" t="s">
        <v>270</v>
      </c>
      <c r="D31" s="142"/>
      <c r="E31" s="138" t="s">
        <v>525</v>
      </c>
      <c r="G31" s="217">
        <f>'Sch. 26 pp.2-7'!Q61</f>
        <v>2.155328448504595E-2</v>
      </c>
      <c r="I31" s="217">
        <v>7494.8560000000007</v>
      </c>
      <c r="K31" s="936">
        <f>G31/I31*100</f>
        <v>2.8757436413782929E-4</v>
      </c>
    </row>
    <row r="32" spans="1:11">
      <c r="A32" s="138">
        <f>A31+1</f>
        <v>16</v>
      </c>
      <c r="C32" s="136" t="s">
        <v>282</v>
      </c>
      <c r="G32" s="893">
        <f>SUM(G27:G31)</f>
        <v>16.167493627131421</v>
      </c>
      <c r="K32" s="192"/>
    </row>
    <row r="33" spans="1:16">
      <c r="K33" s="936"/>
    </row>
    <row r="34" spans="1:16" ht="12.95">
      <c r="C34" s="301" t="s">
        <v>130</v>
      </c>
      <c r="D34" s="939"/>
      <c r="E34" s="939"/>
      <c r="K34" s="936"/>
    </row>
    <row r="35" spans="1:16">
      <c r="A35" s="138">
        <f>A32+1</f>
        <v>17</v>
      </c>
      <c r="C35" s="142" t="s">
        <v>280</v>
      </c>
      <c r="D35" s="142"/>
      <c r="E35" s="138" t="s">
        <v>540</v>
      </c>
      <c r="G35" s="899">
        <f>'Sch. 26 pp.2-7'!Q67</f>
        <v>204.20291732245178</v>
      </c>
      <c r="H35" s="899"/>
      <c r="I35" s="899">
        <v>50435.912000000004</v>
      </c>
      <c r="K35" s="936">
        <f>G35/I35*100</f>
        <v>0.40487602826028363</v>
      </c>
    </row>
    <row r="36" spans="1:16">
      <c r="A36" s="138">
        <f>A35+1</f>
        <v>18</v>
      </c>
      <c r="C36" s="142" t="s">
        <v>1208</v>
      </c>
      <c r="D36" s="142"/>
      <c r="E36" s="138" t="s">
        <v>525</v>
      </c>
      <c r="G36" s="899">
        <f>'Sch. 26 pp.2-7'!Q71+'Sch. 26 pp.2-7'!Q73</f>
        <v>92.772383454277886</v>
      </c>
      <c r="H36" s="899"/>
      <c r="I36" s="899">
        <v>610408.56000000006</v>
      </c>
      <c r="K36" s="936">
        <f>G36/I36*100</f>
        <v>1.5198408006315948E-2</v>
      </c>
    </row>
    <row r="37" spans="1:16">
      <c r="A37" s="138">
        <f>A36+1</f>
        <v>19</v>
      </c>
      <c r="C37" s="142" t="s">
        <v>268</v>
      </c>
      <c r="D37" s="142"/>
      <c r="E37" s="138" t="s">
        <v>525</v>
      </c>
      <c r="G37" s="899">
        <f>'Sch. 26 pp.2-7'!Q74</f>
        <v>0.90895766286779478</v>
      </c>
      <c r="H37" s="899"/>
      <c r="I37" s="899">
        <v>69169.930000000008</v>
      </c>
      <c r="K37" s="936">
        <f>G37/I37*100</f>
        <v>1.3140936572695601E-3</v>
      </c>
    </row>
    <row r="38" spans="1:16">
      <c r="A38" s="138">
        <f>A37+1</f>
        <v>20</v>
      </c>
      <c r="C38" s="142" t="s">
        <v>269</v>
      </c>
      <c r="D38" s="142"/>
      <c r="E38" s="138" t="s">
        <v>525</v>
      </c>
      <c r="G38" s="899">
        <f>'Sch. 26 pp.2-7'!Q75</f>
        <v>65.143119294371175</v>
      </c>
      <c r="H38" s="899"/>
      <c r="I38" s="899">
        <v>529124.98300000001</v>
      </c>
      <c r="K38" s="936">
        <f>G38/I38*100</f>
        <v>1.231148053622922E-2</v>
      </c>
      <c r="P38" s="192"/>
    </row>
    <row r="39" spans="1:16">
      <c r="A39" s="138">
        <f>A38+1</f>
        <v>21</v>
      </c>
      <c r="C39" s="142" t="s">
        <v>270</v>
      </c>
      <c r="D39" s="142"/>
      <c r="E39" s="138" t="s">
        <v>525</v>
      </c>
      <c r="G39" s="899">
        <f>'Sch. 26 pp.2-7'!Q77</f>
        <v>0.50767204958638901</v>
      </c>
      <c r="H39" s="899"/>
      <c r="I39" s="899">
        <v>62603.697</v>
      </c>
      <c r="K39" s="936">
        <f>G39/I39*100</f>
        <v>8.1092982349970327E-4</v>
      </c>
    </row>
    <row r="40" spans="1:16">
      <c r="A40" s="138">
        <f>A39+1</f>
        <v>22</v>
      </c>
      <c r="C40" s="136" t="s">
        <v>285</v>
      </c>
      <c r="G40" s="893">
        <f>SUM(G35:G39)</f>
        <v>363.53504978355505</v>
      </c>
      <c r="K40" s="936"/>
    </row>
    <row r="41" spans="1:16">
      <c r="K41" s="936"/>
    </row>
    <row r="42" spans="1:16" ht="12.95">
      <c r="C42" s="301" t="s">
        <v>131</v>
      </c>
      <c r="D42" s="939"/>
      <c r="E42" s="939"/>
      <c r="K42" s="936"/>
    </row>
    <row r="43" spans="1:16">
      <c r="A43" s="138">
        <f>A40+1</f>
        <v>23</v>
      </c>
      <c r="C43" s="142" t="s">
        <v>280</v>
      </c>
      <c r="D43" s="142"/>
      <c r="E43" s="138" t="s">
        <v>540</v>
      </c>
      <c r="G43" s="899">
        <f>'Sch. 26 pp.2-7'!Q83</f>
        <v>37.414043529999553</v>
      </c>
      <c r="H43" s="899"/>
      <c r="I43" s="899">
        <v>9653.8799999999992</v>
      </c>
      <c r="K43" s="936">
        <f>G43/I43*100</f>
        <v>0.38755447063770793</v>
      </c>
    </row>
    <row r="44" spans="1:16">
      <c r="A44" s="138">
        <f>A43+1</f>
        <v>24</v>
      </c>
      <c r="C44" s="142" t="s">
        <v>1208</v>
      </c>
      <c r="D44" s="142"/>
      <c r="E44" s="138" t="s">
        <v>525</v>
      </c>
      <c r="G44" s="899">
        <f>'Sch. 26 pp.2-7'!Q87+'Sch. 26 pp.2-7'!Q89</f>
        <v>-114.80812811851079</v>
      </c>
      <c r="H44" s="899"/>
      <c r="I44" s="899">
        <v>245727.80200000003</v>
      </c>
      <c r="K44" s="936">
        <f>G44/I44*100</f>
        <v>-4.6721668115727005E-2</v>
      </c>
    </row>
    <row r="45" spans="1:16">
      <c r="A45" s="138">
        <f>A44+1</f>
        <v>25</v>
      </c>
      <c r="C45" s="142" t="s">
        <v>268</v>
      </c>
      <c r="D45" s="142"/>
      <c r="E45" s="138" t="s">
        <v>525</v>
      </c>
      <c r="G45" s="899">
        <f>'Sch. 26 pp.2-7'!Q90</f>
        <v>1.5540978851102873E-2</v>
      </c>
      <c r="H45" s="899"/>
      <c r="I45" s="899">
        <v>895.60300000000007</v>
      </c>
      <c r="K45" s="936">
        <f>G45/I45*100</f>
        <v>1.735253103339635E-3</v>
      </c>
    </row>
    <row r="46" spans="1:16">
      <c r="A46" s="138">
        <f>A45+1</f>
        <v>26</v>
      </c>
      <c r="C46" s="142" t="s">
        <v>269</v>
      </c>
      <c r="D46" s="142"/>
      <c r="E46" s="138" t="s">
        <v>525</v>
      </c>
      <c r="G46" s="899">
        <f>'Sch. 26 pp.2-7'!Q91</f>
        <v>14.527933283609711</v>
      </c>
      <c r="H46" s="899"/>
      <c r="I46" s="899">
        <v>152139.59299999999</v>
      </c>
      <c r="K46" s="936">
        <f>G46/I46*100</f>
        <v>9.5490812070265704E-3</v>
      </c>
    </row>
    <row r="47" spans="1:16">
      <c r="A47" s="138">
        <f>A46+1</f>
        <v>27</v>
      </c>
      <c r="C47" s="142" t="s">
        <v>270</v>
      </c>
      <c r="D47" s="142"/>
      <c r="E47" s="138" t="s">
        <v>525</v>
      </c>
      <c r="G47" s="899">
        <f>'Sch. 26 pp.2-7'!Q93</f>
        <v>9.6876182837696747E-3</v>
      </c>
      <c r="H47" s="899"/>
      <c r="I47" s="899">
        <v>895.60300000000007</v>
      </c>
      <c r="K47" s="936">
        <f>G47/I47*100</f>
        <v>1.0816866718590351E-3</v>
      </c>
    </row>
    <row r="48" spans="1:16">
      <c r="A48" s="138">
        <f>A47+1</f>
        <v>28</v>
      </c>
      <c r="C48" s="136" t="s">
        <v>286</v>
      </c>
      <c r="G48" s="937">
        <f>SUM(G43:G47)</f>
        <v>-62.840922707766659</v>
      </c>
      <c r="H48" s="899"/>
      <c r="I48" s="899"/>
      <c r="K48" s="936"/>
    </row>
    <row r="49" spans="1:11">
      <c r="G49" s="899"/>
      <c r="H49" s="899"/>
      <c r="I49" s="899"/>
      <c r="K49" s="936"/>
    </row>
    <row r="50" spans="1:11" ht="12.95">
      <c r="C50" s="301" t="s">
        <v>132</v>
      </c>
      <c r="D50" s="939"/>
      <c r="E50" s="939"/>
      <c r="K50" s="936"/>
    </row>
    <row r="51" spans="1:11">
      <c r="A51" s="138">
        <f>A48+1</f>
        <v>29</v>
      </c>
      <c r="C51" s="142" t="s">
        <v>280</v>
      </c>
      <c r="D51" s="142"/>
      <c r="E51" s="138" t="s">
        <v>525</v>
      </c>
      <c r="G51" s="899">
        <f>'Sch. 26 pp.2-7'!Q115+'Sch. 26 pp.2-7'!Q117</f>
        <v>158.15482829250777</v>
      </c>
      <c r="H51" s="899"/>
      <c r="I51" s="899">
        <v>74082.856000000014</v>
      </c>
      <c r="K51" s="936">
        <f>G51/I51*100</f>
        <v>0.21348370842034997</v>
      </c>
    </row>
    <row r="52" spans="1:11">
      <c r="A52" s="138"/>
      <c r="G52" s="899"/>
      <c r="H52" s="899"/>
      <c r="I52" s="899"/>
      <c r="K52" s="936"/>
    </row>
    <row r="53" spans="1:11">
      <c r="A53" s="138">
        <f>A51+1</f>
        <v>30</v>
      </c>
      <c r="C53" s="136" t="s">
        <v>288</v>
      </c>
      <c r="G53" s="937">
        <f>G51</f>
        <v>158.15482829250777</v>
      </c>
      <c r="H53" s="899"/>
      <c r="I53" s="899"/>
      <c r="K53" s="936"/>
    </row>
    <row r="54" spans="1:11">
      <c r="A54" s="138"/>
      <c r="K54" s="936"/>
    </row>
    <row r="55" spans="1:11" ht="12.95">
      <c r="A55" s="138"/>
      <c r="C55" s="301" t="s">
        <v>133</v>
      </c>
      <c r="D55" s="939"/>
      <c r="E55" s="939"/>
      <c r="K55" s="936"/>
    </row>
    <row r="56" spans="1:11">
      <c r="A56" s="138"/>
      <c r="C56" s="136" t="s">
        <v>289</v>
      </c>
      <c r="D56" s="301"/>
      <c r="E56" s="301"/>
    </row>
    <row r="57" spans="1:11">
      <c r="A57" s="138">
        <f>A53+1</f>
        <v>31</v>
      </c>
      <c r="C57" s="142" t="s">
        <v>1208</v>
      </c>
      <c r="D57" s="142"/>
      <c r="E57" s="138" t="s">
        <v>525</v>
      </c>
      <c r="G57" s="217">
        <f>'Sch. 26 pp.2-7'!Q128</f>
        <v>6.5979734230629994</v>
      </c>
      <c r="H57" s="217"/>
      <c r="I57" s="217">
        <v>2985.5280000000002</v>
      </c>
      <c r="K57" s="936">
        <f>G57/I57*100</f>
        <v>0.22099854441368491</v>
      </c>
    </row>
    <row r="58" spans="1:11">
      <c r="A58" s="138"/>
      <c r="G58" s="217"/>
      <c r="H58" s="217"/>
      <c r="I58" s="217"/>
      <c r="K58" s="936"/>
    </row>
    <row r="59" spans="1:11">
      <c r="A59" s="138"/>
      <c r="C59" s="136" t="s">
        <v>293</v>
      </c>
      <c r="D59" s="301"/>
      <c r="E59" s="301"/>
      <c r="G59" s="217"/>
      <c r="H59" s="217"/>
      <c r="I59" s="217"/>
      <c r="K59" s="936"/>
    </row>
    <row r="60" spans="1:11">
      <c r="A60" s="138">
        <f>A57+1</f>
        <v>32</v>
      </c>
      <c r="C60" s="142" t="s">
        <v>1208</v>
      </c>
      <c r="D60" s="142"/>
      <c r="E60" s="138" t="s">
        <v>525</v>
      </c>
      <c r="G60" s="217">
        <f>'Sch. 26 pp.2-7'!Q136</f>
        <v>16.297032896155741</v>
      </c>
      <c r="H60" s="217"/>
      <c r="I60" s="217">
        <v>49261.163</v>
      </c>
      <c r="K60" s="936">
        <f>G60/I60*100</f>
        <v>3.3082923552080451E-2</v>
      </c>
    </row>
    <row r="61" spans="1:11">
      <c r="A61" s="138"/>
      <c r="C61" s="142"/>
      <c r="D61" s="142"/>
      <c r="E61" s="142"/>
      <c r="G61" s="217"/>
      <c r="H61" s="217"/>
      <c r="I61" s="217"/>
      <c r="K61" s="936"/>
    </row>
    <row r="62" spans="1:11">
      <c r="A62" s="138">
        <f>A60+1</f>
        <v>33</v>
      </c>
      <c r="C62" s="142" t="s">
        <v>268</v>
      </c>
      <c r="D62" s="142"/>
      <c r="E62" s="138" t="s">
        <v>525</v>
      </c>
      <c r="G62" s="217">
        <f>'Sch. 26 pp.2-7'!Q139</f>
        <v>6.9466984355352236E-3</v>
      </c>
      <c r="H62" s="217"/>
      <c r="I62" s="217">
        <v>4053.703</v>
      </c>
      <c r="K62" s="936">
        <f>G62/I62*100</f>
        <v>1.7136673395991823E-4</v>
      </c>
    </row>
    <row r="63" spans="1:11">
      <c r="A63" s="138">
        <f>A62+1</f>
        <v>34</v>
      </c>
      <c r="C63" s="142" t="s">
        <v>269</v>
      </c>
      <c r="D63" s="142"/>
      <c r="E63" s="138" t="s">
        <v>525</v>
      </c>
      <c r="G63" s="217">
        <f>'Sch. 26 pp.2-7'!Q140</f>
        <v>0.19792055380172496</v>
      </c>
      <c r="H63" s="217"/>
      <c r="I63" s="217">
        <v>47043.374000000003</v>
      </c>
      <c r="K63" s="936">
        <f>G63/I63*100</f>
        <v>4.2071930002666249E-4</v>
      </c>
    </row>
    <row r="64" spans="1:11">
      <c r="A64" s="138">
        <f>A63+1</f>
        <v>35</v>
      </c>
      <c r="C64" s="142" t="s">
        <v>270</v>
      </c>
      <c r="D64" s="142"/>
      <c r="E64" s="138" t="s">
        <v>525</v>
      </c>
      <c r="G64" s="217">
        <f>'Sch. 26 pp.2-7'!Q142</f>
        <v>5.042868018238408E-3</v>
      </c>
      <c r="H64" s="217"/>
      <c r="I64" s="217">
        <v>4053.703</v>
      </c>
      <c r="K64" s="936">
        <f>G64/I64*100</f>
        <v>1.2440151679189146E-4</v>
      </c>
    </row>
    <row r="65" spans="1:11">
      <c r="A65" s="138">
        <f>A64+1</f>
        <v>36</v>
      </c>
      <c r="C65" s="136" t="s">
        <v>295</v>
      </c>
      <c r="G65" s="894">
        <f>SUM(G57:G64)</f>
        <v>23.104916439474241</v>
      </c>
      <c r="H65" s="217"/>
      <c r="I65" s="217"/>
      <c r="K65" s="936"/>
    </row>
    <row r="66" spans="1:11">
      <c r="A66" s="138"/>
      <c r="K66" s="936"/>
    </row>
    <row r="67" spans="1:11" ht="12.95">
      <c r="A67" s="138"/>
      <c r="C67" s="301" t="s">
        <v>134</v>
      </c>
      <c r="D67" s="939"/>
      <c r="E67" s="939"/>
      <c r="K67" s="936"/>
    </row>
    <row r="68" spans="1:11">
      <c r="A68" s="138">
        <f>A65+1</f>
        <v>37</v>
      </c>
      <c r="C68" s="142" t="s">
        <v>280</v>
      </c>
      <c r="D68" s="142"/>
      <c r="E68" s="138" t="s">
        <v>540</v>
      </c>
      <c r="G68" s="899">
        <f>'Sch. 26 pp.2-7'!Q150+'Sch. 26 pp.2-7'!Q163</f>
        <v>5.2969579181350914</v>
      </c>
      <c r="H68" s="899"/>
      <c r="I68" s="899">
        <v>4092.32</v>
      </c>
      <c r="K68" s="936">
        <f>G68/I68*100</f>
        <v>0.12943655232570012</v>
      </c>
    </row>
    <row r="69" spans="1:11">
      <c r="A69" s="138">
        <f>A68+1</f>
        <v>38</v>
      </c>
      <c r="C69" s="142" t="s">
        <v>1208</v>
      </c>
      <c r="D69" s="142"/>
      <c r="E69" s="138" t="s">
        <v>525</v>
      </c>
      <c r="G69" s="899">
        <f>'Sch. 26 pp.2-7'!Q155+'Sch. 26 pp.2-7'!Q157</f>
        <v>-262.7081733001487</v>
      </c>
      <c r="H69" s="899"/>
      <c r="I69" s="899">
        <v>8156.5959999999995</v>
      </c>
      <c r="K69" s="936">
        <f>G69/I69*100</f>
        <v>-3.2208064896207769</v>
      </c>
    </row>
    <row r="70" spans="1:11">
      <c r="A70" s="138">
        <f>A69+1</f>
        <v>39</v>
      </c>
      <c r="C70" s="142" t="s">
        <v>268</v>
      </c>
      <c r="D70" s="142"/>
      <c r="E70" s="138" t="s">
        <v>525</v>
      </c>
      <c r="G70" s="899">
        <f>'Sch. 26 pp.2-7'!Q158</f>
        <v>6.4460841147052604E-3</v>
      </c>
      <c r="H70" s="899"/>
      <c r="I70" s="899">
        <v>260.29899999999998</v>
      </c>
      <c r="K70" s="936">
        <f>G70/I70*100</f>
        <v>2.476415243510448E-3</v>
      </c>
    </row>
    <row r="71" spans="1:11">
      <c r="A71" s="138">
        <f>A70+1</f>
        <v>40</v>
      </c>
      <c r="C71" s="142" t="s">
        <v>269</v>
      </c>
      <c r="D71" s="142"/>
      <c r="E71" s="138" t="s">
        <v>525</v>
      </c>
      <c r="G71" s="899">
        <f>'Sch. 26 pp.2-7'!Q159</f>
        <v>1.1832496517380762</v>
      </c>
      <c r="H71" s="899"/>
      <c r="I71" s="899">
        <v>7896.2969999999996</v>
      </c>
      <c r="K71" s="936">
        <f>G71/I71*100</f>
        <v>1.4984867612478055E-2</v>
      </c>
    </row>
    <row r="72" spans="1:11">
      <c r="A72" s="138">
        <f>A71+1</f>
        <v>41</v>
      </c>
      <c r="C72" s="142" t="s">
        <v>270</v>
      </c>
      <c r="D72" s="142"/>
      <c r="E72" s="138" t="s">
        <v>525</v>
      </c>
      <c r="G72" s="899">
        <f>'Sch. 26 pp.2-7'!Q161</f>
        <v>4.3573813287089511E-3</v>
      </c>
      <c r="H72" s="899"/>
      <c r="I72" s="899">
        <v>260.29899999999998</v>
      </c>
      <c r="K72" s="936">
        <f>G72/I72*100</f>
        <v>1.6739908062301243E-3</v>
      </c>
    </row>
    <row r="73" spans="1:11">
      <c r="A73" s="138">
        <f>A72+1</f>
        <v>42</v>
      </c>
      <c r="C73" s="136" t="s">
        <v>298</v>
      </c>
      <c r="G73" s="894">
        <f>SUM(G68:G72)</f>
        <v>-256.2171622648321</v>
      </c>
      <c r="H73" s="899"/>
      <c r="I73" s="899"/>
      <c r="K73" s="936"/>
    </row>
    <row r="74" spans="1:11">
      <c r="A74" s="138"/>
      <c r="K74" s="936"/>
    </row>
    <row r="75" spans="1:11" ht="12.95">
      <c r="A75" s="138"/>
      <c r="C75" s="301" t="s">
        <v>135</v>
      </c>
      <c r="D75" s="939"/>
      <c r="E75" s="939"/>
      <c r="K75" s="936"/>
    </row>
    <row r="76" spans="1:11">
      <c r="A76" s="138">
        <f>A73+1</f>
        <v>43</v>
      </c>
      <c r="C76" s="142" t="s">
        <v>280</v>
      </c>
      <c r="D76" s="142"/>
      <c r="E76" s="138" t="s">
        <v>540</v>
      </c>
      <c r="G76" s="899">
        <f>'Sch. 26 pp.2-7'!Q169</f>
        <v>13.395925022267983</v>
      </c>
      <c r="H76" s="899"/>
      <c r="I76" s="899">
        <v>20618.511999999999</v>
      </c>
      <c r="K76" s="936">
        <f>G76/I76*100</f>
        <v>6.4970377213777519E-2</v>
      </c>
    </row>
    <row r="77" spans="1:11">
      <c r="A77" s="138">
        <f>A76+1</f>
        <v>44</v>
      </c>
      <c r="C77" s="142" t="s">
        <v>1208</v>
      </c>
      <c r="D77" s="142"/>
      <c r="E77" s="138" t="s">
        <v>525</v>
      </c>
      <c r="G77" s="899">
        <f>'Sch. 26 pp.2-7'!Q173+'Sch. 26 pp.2-7'!Q175</f>
        <v>-79.498346988190704</v>
      </c>
      <c r="H77" s="899"/>
      <c r="I77" s="899">
        <v>206614.43199999997</v>
      </c>
      <c r="K77" s="936">
        <f>G77/I77*100</f>
        <v>-3.8476667006586793E-2</v>
      </c>
    </row>
    <row r="78" spans="1:11">
      <c r="A78" s="138">
        <f>A77+1</f>
        <v>45</v>
      </c>
      <c r="C78" s="142" t="s">
        <v>268</v>
      </c>
      <c r="D78" s="142"/>
      <c r="E78" s="138" t="s">
        <v>525</v>
      </c>
      <c r="G78" s="899">
        <f>'Sch. 26 pp.2-7'!Q176</f>
        <v>4.0171389119573415E-2</v>
      </c>
      <c r="H78" s="899"/>
      <c r="I78" s="899">
        <v>3406.6589999999997</v>
      </c>
      <c r="K78" s="936">
        <f>G78/I78*100</f>
        <v>1.1792019430055495E-3</v>
      </c>
    </row>
    <row r="79" spans="1:11">
      <c r="A79" s="138">
        <f>A78+1</f>
        <v>46</v>
      </c>
      <c r="C79" s="142" t="s">
        <v>269</v>
      </c>
      <c r="D79" s="142"/>
      <c r="E79" s="138" t="s">
        <v>525</v>
      </c>
      <c r="G79" s="899">
        <f>'Sch. 26 pp.2-7'!Q177</f>
        <v>7.2099786508668684</v>
      </c>
      <c r="H79" s="899"/>
      <c r="I79" s="899">
        <v>64295.08</v>
      </c>
      <c r="K79" s="936">
        <f>G79/I79*100</f>
        <v>1.1213888606821655E-2</v>
      </c>
    </row>
    <row r="80" spans="1:11">
      <c r="A80" s="138">
        <f>A79+1</f>
        <v>47</v>
      </c>
      <c r="C80" s="142" t="s">
        <v>270</v>
      </c>
      <c r="D80" s="142"/>
      <c r="E80" s="138" t="s">
        <v>525</v>
      </c>
      <c r="G80" s="899">
        <f>'Sch. 26 pp.2-7'!Q179</f>
        <v>2.5047157796790329E-2</v>
      </c>
      <c r="H80" s="899"/>
      <c r="I80" s="899">
        <v>3406.6589999999997</v>
      </c>
      <c r="K80" s="936">
        <f>G80/I80*100</f>
        <v>7.3524112031143505E-4</v>
      </c>
    </row>
    <row r="81" spans="1:12">
      <c r="A81" s="138">
        <f>A80+1</f>
        <v>48</v>
      </c>
      <c r="C81" s="136" t="s">
        <v>299</v>
      </c>
      <c r="G81" s="894">
        <f>SUM(G76:G80)</f>
        <v>-58.82722476813948</v>
      </c>
      <c r="H81" s="899"/>
      <c r="I81" s="899"/>
      <c r="K81" s="936"/>
    </row>
    <row r="82" spans="1:12">
      <c r="A82" s="138"/>
      <c r="K82" s="936"/>
    </row>
    <row r="83" spans="1:12">
      <c r="A83" s="138"/>
      <c r="C83" s="136" t="s">
        <v>168</v>
      </c>
      <c r="K83" s="936"/>
    </row>
    <row r="84" spans="1:12">
      <c r="A84" s="138"/>
      <c r="K84" s="936"/>
    </row>
    <row r="85" spans="1:12">
      <c r="A85" s="138"/>
      <c r="K85" s="936"/>
    </row>
    <row r="86" spans="1:12">
      <c r="A86" s="138"/>
      <c r="K86" s="936"/>
    </row>
    <row r="87" spans="1:12">
      <c r="A87" s="1177" t="s">
        <v>1209</v>
      </c>
      <c r="B87" s="1177"/>
      <c r="C87" s="1177"/>
      <c r="D87" s="1177"/>
      <c r="E87" s="1177"/>
      <c r="F87" s="1177"/>
      <c r="G87" s="1177"/>
      <c r="H87" s="1177"/>
      <c r="I87" s="1177"/>
      <c r="J87" s="1177"/>
      <c r="K87" s="1177"/>
      <c r="L87" s="1177"/>
    </row>
    <row r="88" spans="1:12">
      <c r="A88" s="941"/>
      <c r="B88" s="897"/>
      <c r="C88" s="897"/>
      <c r="D88" s="897"/>
      <c r="E88" s="897"/>
      <c r="F88" s="897"/>
      <c r="G88" s="897"/>
      <c r="H88" s="897"/>
      <c r="I88" s="897"/>
      <c r="J88" s="897"/>
      <c r="K88" s="897"/>
      <c r="L88" s="897"/>
    </row>
    <row r="89" spans="1:12">
      <c r="I89" s="138"/>
    </row>
    <row r="90" spans="1:12">
      <c r="G90" s="138" t="s">
        <v>1140</v>
      </c>
      <c r="H90" s="138"/>
      <c r="J90" s="138"/>
      <c r="K90" s="138" t="s">
        <v>1204</v>
      </c>
    </row>
    <row r="91" spans="1:12">
      <c r="A91" s="138" t="s">
        <v>56</v>
      </c>
      <c r="G91" s="138" t="s">
        <v>1148</v>
      </c>
      <c r="H91" s="138"/>
      <c r="I91" s="138" t="s">
        <v>1146</v>
      </c>
      <c r="J91" s="138"/>
      <c r="K91" s="138" t="s">
        <v>1205</v>
      </c>
    </row>
    <row r="92" spans="1:12">
      <c r="A92" s="189" t="s">
        <v>57</v>
      </c>
      <c r="C92" s="896" t="s">
        <v>194</v>
      </c>
      <c r="E92" s="189" t="s">
        <v>245</v>
      </c>
      <c r="G92" s="940" t="s">
        <v>1206</v>
      </c>
      <c r="H92" s="138"/>
      <c r="I92" s="189" t="s">
        <v>1150</v>
      </c>
      <c r="J92" s="138"/>
      <c r="K92" s="189" t="s">
        <v>859</v>
      </c>
    </row>
    <row r="93" spans="1:12">
      <c r="A93" s="138"/>
      <c r="G93" s="138" t="s">
        <v>9</v>
      </c>
      <c r="I93" s="138" t="s">
        <v>10</v>
      </c>
      <c r="K93" s="138" t="s">
        <v>1207</v>
      </c>
    </row>
    <row r="94" spans="1:12" ht="4.3499999999999996" customHeight="1">
      <c r="A94" s="138"/>
      <c r="K94" s="936"/>
    </row>
    <row r="95" spans="1:12" ht="4.9000000000000004" customHeight="1">
      <c r="A95" s="138"/>
      <c r="K95" s="936"/>
    </row>
    <row r="97" spans="1:16" ht="12.95">
      <c r="A97" s="138"/>
      <c r="C97" s="301" t="s">
        <v>136</v>
      </c>
      <c r="D97" s="939"/>
      <c r="E97" s="939"/>
      <c r="K97" s="936"/>
    </row>
    <row r="98" spans="1:16">
      <c r="A98" s="138">
        <f>A81+1</f>
        <v>49</v>
      </c>
      <c r="C98" s="142" t="s">
        <v>280</v>
      </c>
      <c r="D98" s="142"/>
      <c r="E98" s="138" t="s">
        <v>540</v>
      </c>
      <c r="G98" s="899">
        <f>'Sch. 26 pp.2-7'!Q187</f>
        <v>22.25169662569574</v>
      </c>
      <c r="H98" s="899"/>
      <c r="I98" s="899">
        <v>10016.800000000001</v>
      </c>
      <c r="K98" s="936">
        <f>G98/I98*100</f>
        <v>0.22214376473220729</v>
      </c>
    </row>
    <row r="99" spans="1:16">
      <c r="A99" s="138">
        <f>A98+1</f>
        <v>50</v>
      </c>
      <c r="C99" s="142" t="s">
        <v>260</v>
      </c>
      <c r="D99" s="142"/>
      <c r="E99" s="138" t="s">
        <v>525</v>
      </c>
      <c r="G99" s="899">
        <f>'Sch. 26 pp.2-7'!Q188+'Sch. 26 pp.2-7'!Q190</f>
        <v>36.461282797817944</v>
      </c>
      <c r="H99" s="899"/>
      <c r="I99" s="899">
        <v>94350.200000000012</v>
      </c>
      <c r="K99" s="936">
        <f>G99/I99*100</f>
        <v>3.8644626930115611E-2</v>
      </c>
    </row>
    <row r="100" spans="1:16">
      <c r="A100" s="138">
        <f>A99+1</f>
        <v>51</v>
      </c>
      <c r="C100" s="142" t="s">
        <v>268</v>
      </c>
      <c r="D100" s="142"/>
      <c r="E100" s="138" t="s">
        <v>525</v>
      </c>
      <c r="G100" s="899">
        <f>'Sch. 26 pp.2-7'!Q191</f>
        <v>1.5287310831919327</v>
      </c>
      <c r="H100" s="899"/>
      <c r="I100" s="899">
        <v>65959.100000000006</v>
      </c>
      <c r="K100" s="936">
        <f>G100/I100*100</f>
        <v>2.3176954858267207E-3</v>
      </c>
    </row>
    <row r="101" spans="1:16">
      <c r="A101" s="138">
        <f>A100+1</f>
        <v>52</v>
      </c>
      <c r="C101" s="142" t="s">
        <v>269</v>
      </c>
      <c r="D101" s="142"/>
      <c r="E101" s="138" t="s">
        <v>525</v>
      </c>
      <c r="G101" s="899">
        <f>'Sch. 26 pp.2-7'!Q192</f>
        <v>3.2920507437783559</v>
      </c>
      <c r="H101" s="899"/>
      <c r="I101" s="899">
        <v>28391.1</v>
      </c>
      <c r="K101" s="936">
        <f>G101/I101*100</f>
        <v>1.1595361728775412E-2</v>
      </c>
    </row>
    <row r="102" spans="1:16">
      <c r="A102" s="138">
        <f>A101+1</f>
        <v>53</v>
      </c>
      <c r="C102" s="142" t="s">
        <v>270</v>
      </c>
      <c r="D102" s="142"/>
      <c r="E102" s="138" t="s">
        <v>525</v>
      </c>
      <c r="G102" s="899">
        <f>'Sch. 26 pp.2-7'!Q194</f>
        <v>0.95312954866521704</v>
      </c>
      <c r="H102" s="899"/>
      <c r="I102" s="899">
        <v>65958.3</v>
      </c>
      <c r="K102" s="936">
        <f>G102/I102*100</f>
        <v>1.4450486878303671E-3</v>
      </c>
    </row>
    <row r="103" spans="1:16">
      <c r="A103" s="138">
        <f>A102+1</f>
        <v>54</v>
      </c>
      <c r="C103" s="136" t="s">
        <v>300</v>
      </c>
      <c r="G103" s="937">
        <f>SUM(G98:G102)</f>
        <v>64.486890799149194</v>
      </c>
      <c r="H103" s="899"/>
      <c r="I103" s="899"/>
      <c r="K103" s="936"/>
    </row>
    <row r="104" spans="1:16">
      <c r="A104" s="138"/>
      <c r="K104" s="936"/>
    </row>
    <row r="105" spans="1:16">
      <c r="A105" s="138"/>
      <c r="K105" s="936"/>
    </row>
    <row r="106" spans="1:16">
      <c r="A106" s="138"/>
      <c r="C106" s="301" t="s">
        <v>139</v>
      </c>
      <c r="D106" s="301"/>
      <c r="E106" s="301"/>
      <c r="K106" s="936"/>
    </row>
    <row r="107" spans="1:16">
      <c r="A107" s="138"/>
      <c r="K107" s="936"/>
    </row>
    <row r="108" spans="1:16" ht="12.95">
      <c r="A108" s="138"/>
      <c r="C108" s="301" t="s">
        <v>1163</v>
      </c>
      <c r="D108" s="939"/>
      <c r="E108" s="939"/>
      <c r="K108" s="936"/>
    </row>
    <row r="109" spans="1:16">
      <c r="A109" s="138">
        <f>A103+1</f>
        <v>55</v>
      </c>
      <c r="C109" s="142" t="s">
        <v>1208</v>
      </c>
      <c r="D109" s="142"/>
      <c r="E109" s="138" t="s">
        <v>525</v>
      </c>
      <c r="G109" s="899">
        <f>'Sch. 26 pp.2-7'!Q221</f>
        <v>4178.0823624473587</v>
      </c>
      <c r="I109" s="899">
        <v>419838.37399899703</v>
      </c>
      <c r="K109" s="936">
        <f>G109/I109*100</f>
        <v>0.9951644778562666</v>
      </c>
      <c r="P109" s="192"/>
    </row>
    <row r="110" spans="1:16">
      <c r="A110" s="138"/>
      <c r="C110" s="142" t="s">
        <v>268</v>
      </c>
      <c r="D110" s="142"/>
      <c r="E110" s="142"/>
      <c r="G110" s="899"/>
      <c r="I110" s="899"/>
      <c r="K110" s="936"/>
    </row>
    <row r="111" spans="1:16">
      <c r="A111" s="138">
        <f>A109+1</f>
        <v>56</v>
      </c>
      <c r="C111" s="942" t="s">
        <v>306</v>
      </c>
      <c r="D111" s="942"/>
      <c r="E111" s="138" t="s">
        <v>525</v>
      </c>
      <c r="G111" s="899">
        <f>'Sch. 26 pp.2-7'!Q223</f>
        <v>-1.2768001151490398</v>
      </c>
      <c r="I111" s="899">
        <v>118109.94610309979</v>
      </c>
      <c r="K111" s="936">
        <f>G111/I111*100</f>
        <v>-1.08102675284815E-3</v>
      </c>
      <c r="P111" s="192"/>
    </row>
    <row r="112" spans="1:16">
      <c r="A112" s="138">
        <f>A111+1</f>
        <v>57</v>
      </c>
      <c r="C112" s="942" t="s">
        <v>307</v>
      </c>
      <c r="D112" s="942"/>
      <c r="E112" s="138" t="s">
        <v>525</v>
      </c>
      <c r="G112" s="899">
        <f>'Sch. 26 pp.2-7'!Q224</f>
        <v>0.13145786074328605</v>
      </c>
      <c r="I112" s="899">
        <v>301728.42789589724</v>
      </c>
      <c r="K112" s="936">
        <f>G112/I112*100</f>
        <v>4.3568271528144451E-5</v>
      </c>
      <c r="P112" s="192"/>
    </row>
    <row r="113" spans="1:16">
      <c r="A113" s="138"/>
      <c r="C113" s="142" t="s">
        <v>308</v>
      </c>
      <c r="D113" s="142"/>
      <c r="E113" s="142"/>
      <c r="G113" s="899"/>
      <c r="I113" s="899"/>
      <c r="K113" s="936"/>
    </row>
    <row r="114" spans="1:16">
      <c r="A114" s="138">
        <f>A112+1</f>
        <v>58</v>
      </c>
      <c r="C114" s="942" t="s">
        <v>306</v>
      </c>
      <c r="D114" s="942"/>
      <c r="E114" s="138" t="s">
        <v>525</v>
      </c>
      <c r="G114" s="899">
        <f>'Sch. 26 pp.2-7'!Q227</f>
        <v>8.1514679558945442</v>
      </c>
      <c r="I114" s="899">
        <v>118109.94610309979</v>
      </c>
      <c r="K114" s="936">
        <f>G114/I114*100</f>
        <v>6.9015931552276009E-3</v>
      </c>
      <c r="P114" s="192"/>
    </row>
    <row r="115" spans="1:16">
      <c r="A115" s="138">
        <f>A114+1</f>
        <v>59</v>
      </c>
      <c r="C115" s="942" t="s">
        <v>307</v>
      </c>
      <c r="D115" s="942"/>
      <c r="E115" s="138" t="s">
        <v>525</v>
      </c>
      <c r="G115" s="899">
        <f>'Sch. 26 pp.2-7'!Q228</f>
        <v>25.861457487828019</v>
      </c>
      <c r="I115" s="899">
        <v>301728.42789589724</v>
      </c>
      <c r="K115" s="936">
        <f>G115/I115*100</f>
        <v>8.5711040448435225E-3</v>
      </c>
      <c r="P115" s="192"/>
    </row>
    <row r="116" spans="1:16">
      <c r="A116" s="138"/>
      <c r="C116" s="142" t="s">
        <v>270</v>
      </c>
      <c r="D116" s="142"/>
      <c r="E116" s="142"/>
      <c r="G116" s="899"/>
      <c r="I116" s="899"/>
      <c r="K116" s="936"/>
    </row>
    <row r="117" spans="1:16">
      <c r="A117" s="138">
        <f>A115+1</f>
        <v>60</v>
      </c>
      <c r="C117" s="942" t="s">
        <v>306</v>
      </c>
      <c r="D117" s="942"/>
      <c r="E117" s="138" t="s">
        <v>525</v>
      </c>
      <c r="G117" s="899">
        <f>'Sch. 26 pp.2-7'!Q231</f>
        <v>0.85179334905804382</v>
      </c>
      <c r="I117" s="899">
        <v>112485.69372538682</v>
      </c>
      <c r="K117" s="936">
        <f>G117/I117*100</f>
        <v>7.5724594021488721E-4</v>
      </c>
      <c r="P117" s="192"/>
    </row>
    <row r="118" spans="1:16">
      <c r="A118" s="138">
        <f>A117+1</f>
        <v>61</v>
      </c>
      <c r="C118" s="942" t="s">
        <v>307</v>
      </c>
      <c r="D118" s="942"/>
      <c r="E118" s="138" t="s">
        <v>525</v>
      </c>
      <c r="G118" s="899">
        <f>'Sch. 26 pp.2-7'!Q232</f>
        <v>2.1379001794551451</v>
      </c>
      <c r="I118" s="899">
        <v>281848.47156909306</v>
      </c>
      <c r="K118" s="936">
        <f>G118/I118*100</f>
        <v>7.5852821466553693E-4</v>
      </c>
      <c r="P118" s="192"/>
    </row>
    <row r="119" spans="1:16">
      <c r="A119" s="138">
        <f>A118+1</f>
        <v>62</v>
      </c>
      <c r="C119" s="136" t="s">
        <v>310</v>
      </c>
      <c r="G119" s="893">
        <f>SUM(G109:G118)</f>
        <v>4213.9396391651899</v>
      </c>
      <c r="K119" s="936"/>
    </row>
    <row r="120" spans="1:16">
      <c r="K120" s="936"/>
    </row>
    <row r="121" spans="1:16" ht="12.95">
      <c r="C121" s="301" t="s">
        <v>141</v>
      </c>
      <c r="D121" s="939"/>
      <c r="E121" s="939"/>
      <c r="K121" s="936"/>
    </row>
    <row r="122" spans="1:16">
      <c r="A122" s="138">
        <f>A119+1</f>
        <v>63</v>
      </c>
      <c r="C122" s="142" t="s">
        <v>1208</v>
      </c>
      <c r="D122" s="142"/>
      <c r="E122" s="138" t="s">
        <v>525</v>
      </c>
      <c r="G122" s="899">
        <f>'Sch. 26 pp.2-7'!Q245</f>
        <v>-27.5447603802107</v>
      </c>
      <c r="I122" s="899">
        <v>166805.14384610107</v>
      </c>
      <c r="K122" s="936">
        <f>G122/I122*100</f>
        <v>-1.6513136073084318E-2</v>
      </c>
      <c r="O122" s="192"/>
    </row>
    <row r="123" spans="1:16">
      <c r="A123" s="138"/>
      <c r="C123" s="142" t="s">
        <v>268</v>
      </c>
      <c r="D123" s="142"/>
      <c r="E123" s="142"/>
      <c r="G123" s="899"/>
      <c r="I123" s="899"/>
      <c r="K123" s="936"/>
    </row>
    <row r="124" spans="1:16">
      <c r="A124" s="138">
        <f>A122+1</f>
        <v>64</v>
      </c>
      <c r="C124" s="942" t="s">
        <v>306</v>
      </c>
      <c r="D124" s="942"/>
      <c r="E124" s="138" t="s">
        <v>525</v>
      </c>
      <c r="G124" s="899">
        <f>'Sch. 26 pp.2-7'!Q247</f>
        <v>-0.39840407331275557</v>
      </c>
      <c r="I124" s="899">
        <v>37046.412799047073</v>
      </c>
      <c r="K124" s="936">
        <f>G124/I124*100</f>
        <v>-1.0754187604447454E-3</v>
      </c>
    </row>
    <row r="125" spans="1:16">
      <c r="A125" s="138">
        <f>A124+1</f>
        <v>65</v>
      </c>
      <c r="C125" s="942" t="s">
        <v>307</v>
      </c>
      <c r="D125" s="942"/>
      <c r="E125" s="138" t="s">
        <v>525</v>
      </c>
      <c r="G125" s="899">
        <f>'Sch. 26 pp.2-7'!Q248</f>
        <v>4.0976574547000127E-2</v>
      </c>
      <c r="I125" s="899">
        <v>127776.45732687693</v>
      </c>
      <c r="K125" s="936">
        <f>G125/I125*100</f>
        <v>3.2068954957934166E-5</v>
      </c>
    </row>
    <row r="126" spans="1:16">
      <c r="A126" s="138"/>
      <c r="C126" s="142" t="s">
        <v>308</v>
      </c>
      <c r="D126" s="142"/>
      <c r="E126" s="142"/>
      <c r="G126" s="899"/>
      <c r="I126" s="899"/>
      <c r="K126" s="936"/>
    </row>
    <row r="127" spans="1:16">
      <c r="A127" s="138">
        <f>A125+1</f>
        <v>66</v>
      </c>
      <c r="C127" s="942" t="s">
        <v>306</v>
      </c>
      <c r="D127" s="942"/>
      <c r="E127" s="138" t="s">
        <v>525</v>
      </c>
      <c r="G127" s="899">
        <f>'Sch. 26 pp.2-7'!Q251</f>
        <v>1.5827105480219446</v>
      </c>
      <c r="I127" s="899">
        <v>37046.412799047073</v>
      </c>
      <c r="K127" s="936">
        <f>G127/I127*100</f>
        <v>4.2722369817750775E-3</v>
      </c>
      <c r="O127" s="192"/>
    </row>
    <row r="128" spans="1:16">
      <c r="A128" s="138">
        <f>A127+1</f>
        <v>67</v>
      </c>
      <c r="C128" s="942" t="s">
        <v>307</v>
      </c>
      <c r="D128" s="942"/>
      <c r="E128" s="138" t="s">
        <v>525</v>
      </c>
      <c r="G128" s="899">
        <f>'Sch. 26 pp.2-7'!Q252</f>
        <v>6.6165546416179106</v>
      </c>
      <c r="I128" s="899">
        <v>127776.45732687693</v>
      </c>
      <c r="K128" s="936">
        <f>G128/I128*100</f>
        <v>5.1782267093941113E-3</v>
      </c>
      <c r="O128" s="192"/>
    </row>
    <row r="129" spans="1:11">
      <c r="A129" s="138"/>
      <c r="C129" s="142" t="s">
        <v>270</v>
      </c>
      <c r="D129" s="142"/>
      <c r="G129" s="899"/>
      <c r="I129" s="899"/>
      <c r="K129" s="936"/>
    </row>
    <row r="130" spans="1:11">
      <c r="A130" s="138">
        <f>A128+1</f>
        <v>68</v>
      </c>
      <c r="C130" s="942" t="s">
        <v>306</v>
      </c>
      <c r="D130" s="942"/>
      <c r="E130" s="138" t="s">
        <v>525</v>
      </c>
      <c r="G130" s="899">
        <f>'Sch. 26 pp.2-7'!Q255</f>
        <v>0.12248822041004601</v>
      </c>
      <c r="I130" s="899">
        <v>19558.157949242683</v>
      </c>
      <c r="K130" s="936">
        <f>G130/I130*100</f>
        <v>6.2627687498959439E-4</v>
      </c>
    </row>
    <row r="131" spans="1:11">
      <c r="A131" s="138">
        <f>A130+1</f>
        <v>69</v>
      </c>
      <c r="C131" s="942" t="s">
        <v>307</v>
      </c>
      <c r="D131" s="942"/>
      <c r="E131" s="138" t="s">
        <v>525</v>
      </c>
      <c r="G131" s="899">
        <f>'Sch. 26 pp.2-7'!Q256</f>
        <v>0.3952590118705544</v>
      </c>
      <c r="I131" s="899">
        <v>67846.184143255348</v>
      </c>
      <c r="K131" s="936">
        <f>G131/I131*100</f>
        <v>5.8258104985827342E-4</v>
      </c>
    </row>
    <row r="132" spans="1:11">
      <c r="A132" s="138">
        <f>A131+1</f>
        <v>70</v>
      </c>
      <c r="C132" s="136" t="s">
        <v>316</v>
      </c>
      <c r="G132" s="937">
        <f>SUM(G122:G131)</f>
        <v>-19.185175457056005</v>
      </c>
      <c r="K132" s="936"/>
    </row>
    <row r="133" spans="1:11">
      <c r="A133" s="138"/>
      <c r="K133" s="936"/>
    </row>
    <row r="134" spans="1:11" ht="12.95">
      <c r="A134" s="138"/>
      <c r="C134" s="301" t="s">
        <v>1167</v>
      </c>
      <c r="D134" s="939"/>
      <c r="K134" s="936"/>
    </row>
    <row r="135" spans="1:11">
      <c r="A135" s="138">
        <f>A132+1</f>
        <v>71</v>
      </c>
      <c r="C135" s="142" t="s">
        <v>1210</v>
      </c>
      <c r="D135" s="142"/>
      <c r="E135" s="138" t="s">
        <v>540</v>
      </c>
      <c r="G135" s="899">
        <f>'Sch. 26 pp.2-7'!Q266+'Sch. 26 pp.2-7'!Q274</f>
        <v>16.224067699864094</v>
      </c>
      <c r="I135" s="899">
        <v>61154.511999999995</v>
      </c>
      <c r="K135" s="936">
        <f>G135/I135*100</f>
        <v>2.6529633168954229E-2</v>
      </c>
    </row>
    <row r="136" spans="1:11">
      <c r="A136" s="138">
        <f>A135+1</f>
        <v>72</v>
      </c>
      <c r="C136" s="142" t="s">
        <v>1208</v>
      </c>
      <c r="D136" s="142"/>
      <c r="E136" s="138" t="s">
        <v>525</v>
      </c>
      <c r="G136" s="899">
        <f>'Sch. 26 pp.2-7'!Q270</f>
        <v>-3.5605896125595504</v>
      </c>
      <c r="I136" s="899">
        <v>684821.15746999998</v>
      </c>
      <c r="K136" s="936">
        <f>G136/I136*100</f>
        <v>-5.199298493804975E-4</v>
      </c>
    </row>
    <row r="137" spans="1:11">
      <c r="A137" s="138"/>
      <c r="C137" s="142" t="s">
        <v>1211</v>
      </c>
      <c r="D137" s="142"/>
      <c r="E137" s="142"/>
      <c r="G137" s="899"/>
      <c r="I137" s="899"/>
      <c r="K137" s="936"/>
    </row>
    <row r="138" spans="1:11">
      <c r="A138" s="138">
        <f>A136+1</f>
        <v>73</v>
      </c>
      <c r="C138" s="942" t="s">
        <v>306</v>
      </c>
      <c r="D138" s="942"/>
      <c r="E138" s="138" t="s">
        <v>525</v>
      </c>
      <c r="G138" s="899">
        <f>'Sch. 26 pp.2-7'!Q277</f>
        <v>9.42631571742584E-2</v>
      </c>
      <c r="I138" s="899">
        <v>1176.0239999999997</v>
      </c>
      <c r="K138" s="936">
        <f>G138/I138*100</f>
        <v>8.015411009831299E-3</v>
      </c>
    </row>
    <row r="139" spans="1:11">
      <c r="A139" s="138">
        <f>A138+1</f>
        <v>74</v>
      </c>
      <c r="C139" s="942" t="s">
        <v>307</v>
      </c>
      <c r="D139" s="942"/>
      <c r="E139" s="138" t="s">
        <v>525</v>
      </c>
      <c r="G139" s="899">
        <f>'Sch. 26 pp.2-7'!Q278</f>
        <v>0.26910039905200855</v>
      </c>
      <c r="I139" s="899">
        <v>4527.768</v>
      </c>
      <c r="K139" s="936">
        <f>G139/I139*100</f>
        <v>5.9433345315397911E-3</v>
      </c>
    </row>
    <row r="140" spans="1:11">
      <c r="A140" s="138"/>
      <c r="C140" s="142" t="s">
        <v>268</v>
      </c>
      <c r="D140" s="142"/>
      <c r="E140" s="142"/>
      <c r="G140" s="899"/>
      <c r="I140" s="899"/>
      <c r="K140" s="936"/>
    </row>
    <row r="141" spans="1:11">
      <c r="A141" s="138">
        <f>A139+1</f>
        <v>75</v>
      </c>
      <c r="C141" s="942" t="s">
        <v>306</v>
      </c>
      <c r="D141" s="942"/>
      <c r="E141" s="138" t="s">
        <v>525</v>
      </c>
      <c r="G141" s="899">
        <f>'Sch. 26 pp.2-7'!Q282</f>
        <v>4.4334902853828712E-2</v>
      </c>
      <c r="I141" s="899">
        <v>21582.238400000002</v>
      </c>
      <c r="K141" s="936">
        <f>G141/I141*100</f>
        <v>2.0542309853193312E-4</v>
      </c>
    </row>
    <row r="142" spans="1:11">
      <c r="A142" s="138">
        <f>A141+1</f>
        <v>76</v>
      </c>
      <c r="C142" s="942" t="s">
        <v>307</v>
      </c>
      <c r="D142" s="942"/>
      <c r="E142" s="138" t="s">
        <v>525</v>
      </c>
      <c r="G142" s="899">
        <f>'Sch. 26 pp.2-7'!Q283</f>
        <v>0.102510262463685</v>
      </c>
      <c r="I142" s="899">
        <v>63100.90526</v>
      </c>
      <c r="K142" s="936">
        <f>G142/I142*100</f>
        <v>1.624545036894531E-4</v>
      </c>
    </row>
    <row r="143" spans="1:11">
      <c r="A143" s="138"/>
      <c r="C143" s="142" t="s">
        <v>270</v>
      </c>
      <c r="D143" s="142"/>
      <c r="E143" s="142"/>
      <c r="G143" s="899"/>
      <c r="I143" s="899"/>
      <c r="K143" s="936"/>
    </row>
    <row r="144" spans="1:11">
      <c r="A144" s="138">
        <f>A142+1</f>
        <v>77</v>
      </c>
      <c r="C144" s="942" t="s">
        <v>306</v>
      </c>
      <c r="D144" s="942"/>
      <c r="E144" s="138" t="s">
        <v>525</v>
      </c>
      <c r="G144" s="899">
        <f>'Sch. 26 pp.2-7'!Q295</f>
        <v>1.0639475248514677E-2</v>
      </c>
      <c r="I144" s="899">
        <v>3909.5590999999999</v>
      </c>
      <c r="K144" s="936">
        <f>G144/I144*100</f>
        <v>2.7214002848849827E-4</v>
      </c>
    </row>
    <row r="145" spans="1:15">
      <c r="A145" s="138">
        <f>A144+1</f>
        <v>78</v>
      </c>
      <c r="C145" s="942" t="s">
        <v>307</v>
      </c>
      <c r="D145" s="942"/>
      <c r="E145" s="138" t="s">
        <v>525</v>
      </c>
      <c r="G145" s="899">
        <f>'Sch. 26 pp.2-7'!Q296</f>
        <v>1.2353064557010927E-2</v>
      </c>
      <c r="I145" s="899">
        <v>7685.8250600000001</v>
      </c>
      <c r="K145" s="936">
        <f>G145/I145*100</f>
        <v>1.6072528922497916E-4</v>
      </c>
    </row>
    <row r="146" spans="1:15">
      <c r="A146" s="138">
        <f>A145+1</f>
        <v>79</v>
      </c>
      <c r="C146" s="142" t="s">
        <v>1212</v>
      </c>
      <c r="D146" s="142"/>
      <c r="E146" s="138" t="s">
        <v>582</v>
      </c>
      <c r="G146" s="899">
        <f>'Sch. 26 pp.2-7'!Q291+'Sch. 26 pp.2-7'!Q292</f>
        <v>11.66087130126834</v>
      </c>
      <c r="I146" s="899">
        <v>94336</v>
      </c>
      <c r="K146" s="935">
        <f>G146/I146*1000</f>
        <v>0.12360998241676922</v>
      </c>
      <c r="O146" s="192"/>
    </row>
    <row r="147" spans="1:15">
      <c r="A147" s="138">
        <f>A146+1</f>
        <v>80</v>
      </c>
      <c r="C147" s="136" t="s">
        <v>1176</v>
      </c>
      <c r="G147" s="893">
        <f>SUM(G135:G146)</f>
        <v>24.857550649922192</v>
      </c>
      <c r="K147" s="936"/>
    </row>
    <row r="148" spans="1:15">
      <c r="A148" s="138"/>
      <c r="K148" s="936"/>
    </row>
    <row r="149" spans="1:15" ht="12.95">
      <c r="A149" s="138"/>
      <c r="C149" s="301" t="s">
        <v>1177</v>
      </c>
      <c r="D149" s="939"/>
      <c r="E149" s="939"/>
      <c r="K149" s="936"/>
    </row>
    <row r="150" spans="1:15">
      <c r="A150" s="138">
        <f>A147+1</f>
        <v>81</v>
      </c>
      <c r="C150" s="142" t="s">
        <v>333</v>
      </c>
      <c r="D150" s="142"/>
      <c r="E150" s="138" t="s">
        <v>525</v>
      </c>
      <c r="G150" s="899">
        <f>'Sch. 26 pp.2-7'!Q315+'Sch. 26 pp.2-7'!Q317+'Sch. 26 pp.2-7'!Q321+'Sch. 26 pp.2-7'!Q319</f>
        <v>7.3111739243918263</v>
      </c>
      <c r="I150" s="899">
        <v>93495.360420000012</v>
      </c>
      <c r="K150" s="936">
        <f>G150/I150*100</f>
        <v>7.8198253812259335E-3</v>
      </c>
    </row>
    <row r="151" spans="1:15">
      <c r="A151" s="138"/>
      <c r="C151" s="142" t="s">
        <v>270</v>
      </c>
      <c r="D151" s="142"/>
      <c r="E151" s="142"/>
      <c r="G151" s="899"/>
      <c r="I151" s="899"/>
      <c r="K151" s="936"/>
    </row>
    <row r="152" spans="1:15">
      <c r="A152" s="138">
        <f>A150+1</f>
        <v>82</v>
      </c>
      <c r="C152" s="942" t="s">
        <v>306</v>
      </c>
      <c r="D152" s="942"/>
      <c r="E152" s="138" t="s">
        <v>525</v>
      </c>
      <c r="G152" s="899">
        <f>'Sch. 26 pp.2-7'!Q323</f>
        <v>2.2189661190596508E-3</v>
      </c>
      <c r="I152" s="899">
        <v>4720.2247199999993</v>
      </c>
      <c r="K152" s="936">
        <f>G152/I152*100</f>
        <v>4.7009755905427557E-5</v>
      </c>
    </row>
    <row r="153" spans="1:15">
      <c r="A153" s="138">
        <f>A152+1</f>
        <v>83</v>
      </c>
      <c r="C153" s="942" t="s">
        <v>307</v>
      </c>
      <c r="D153" s="942"/>
      <c r="E153" s="138" t="s">
        <v>525</v>
      </c>
      <c r="G153" s="899">
        <f>'Sch. 26 pp.2-7'!Q324</f>
        <v>2.7785533495824008E-3</v>
      </c>
      <c r="I153" s="899">
        <v>105.36233</v>
      </c>
      <c r="K153" s="936">
        <f>G153/I153*100</f>
        <v>2.6371411391361609E-3</v>
      </c>
    </row>
    <row r="154" spans="1:15">
      <c r="A154" s="138">
        <f>A153+1</f>
        <v>84</v>
      </c>
      <c r="C154" s="136" t="s">
        <v>335</v>
      </c>
      <c r="G154" s="893">
        <f>SUM(G150:G153)</f>
        <v>7.3161714438604681</v>
      </c>
      <c r="K154" s="936"/>
    </row>
    <row r="155" spans="1:15">
      <c r="A155" s="138"/>
      <c r="K155" s="936"/>
    </row>
    <row r="156" spans="1:15" ht="12.95">
      <c r="A156" s="138"/>
      <c r="C156" s="301" t="s">
        <v>1178</v>
      </c>
      <c r="D156" s="939"/>
      <c r="E156" s="939"/>
      <c r="K156" s="936"/>
    </row>
    <row r="157" spans="1:15">
      <c r="A157" s="138">
        <f>A154+1</f>
        <v>85</v>
      </c>
      <c r="C157" s="142" t="s">
        <v>280</v>
      </c>
      <c r="D157" s="142"/>
      <c r="E157" s="138" t="s">
        <v>540</v>
      </c>
      <c r="G157" s="899">
        <f>'Sch. 26 pp.2-7'!Q331+'Sch. 26 pp.2-7'!Q334+'Sch. 26 pp.2-7'!Q336</f>
        <v>1.5980082948673648</v>
      </c>
      <c r="I157" s="899">
        <v>28033.359999999993</v>
      </c>
      <c r="K157" s="936">
        <f>G157/I157*100</f>
        <v>5.7003808850147296E-3</v>
      </c>
    </row>
    <row r="158" spans="1:15">
      <c r="A158" s="138">
        <f>A157+1</f>
        <v>86</v>
      </c>
      <c r="C158" s="142" t="s">
        <v>260</v>
      </c>
      <c r="D158" s="142"/>
      <c r="E158" s="138" t="s">
        <v>525</v>
      </c>
      <c r="G158" s="899">
        <f>'Sch. 26 pp.2-7'!Q332</f>
        <v>-0.4764460489739657</v>
      </c>
      <c r="I158" s="899">
        <v>710033.48130999994</v>
      </c>
      <c r="K158" s="936">
        <f>G158/I158*100</f>
        <v>-6.7101913010486597E-5</v>
      </c>
    </row>
    <row r="159" spans="1:15">
      <c r="A159" s="138">
        <f>A158+1</f>
        <v>87</v>
      </c>
      <c r="C159" s="136" t="s">
        <v>282</v>
      </c>
      <c r="G159" s="937">
        <f>SUM(G157:G158)</f>
        <v>1.1215622458933991</v>
      </c>
      <c r="I159" s="899"/>
      <c r="K159" s="936"/>
    </row>
    <row r="160" spans="1:15">
      <c r="A160" s="138"/>
      <c r="I160" s="899"/>
      <c r="K160" s="936"/>
    </row>
    <row r="161" spans="1:11">
      <c r="A161" s="138"/>
      <c r="I161" s="899"/>
      <c r="K161" s="936"/>
    </row>
    <row r="162" spans="1:11">
      <c r="A162" s="138"/>
      <c r="C162" s="301" t="s">
        <v>145</v>
      </c>
      <c r="D162" s="301"/>
      <c r="E162" s="301"/>
      <c r="I162" s="899"/>
      <c r="K162" s="936"/>
    </row>
    <row r="163" spans="1:11">
      <c r="A163" s="138"/>
      <c r="I163" s="899"/>
      <c r="K163" s="936"/>
    </row>
    <row r="164" spans="1:11" ht="12.95">
      <c r="A164" s="138"/>
      <c r="C164" s="301" t="s">
        <v>1179</v>
      </c>
      <c r="D164" s="939"/>
      <c r="E164" s="939"/>
      <c r="I164" s="899"/>
      <c r="K164" s="936"/>
    </row>
    <row r="165" spans="1:11">
      <c r="A165" s="138">
        <f>A159+1</f>
        <v>88</v>
      </c>
      <c r="C165" s="142" t="s">
        <v>1208</v>
      </c>
      <c r="D165" s="142"/>
      <c r="E165" s="138" t="s">
        <v>525</v>
      </c>
      <c r="G165" s="899">
        <f>'Sch. 26 pp.2-7'!Q362</f>
        <v>12853.373062333651</v>
      </c>
      <c r="I165" s="899">
        <v>1418219.956172256</v>
      </c>
      <c r="K165" s="936">
        <f>G165/I165*100</f>
        <v>0.90630321526603086</v>
      </c>
    </row>
    <row r="166" spans="1:11">
      <c r="A166" s="138">
        <f>A165+1</f>
        <v>89</v>
      </c>
      <c r="C166" s="142" t="s">
        <v>339</v>
      </c>
      <c r="D166" s="142"/>
      <c r="E166" s="138" t="s">
        <v>525</v>
      </c>
      <c r="G166" s="899">
        <f>'Sch. 26 pp.2-7'!Q364</f>
        <v>50.585853261694112</v>
      </c>
      <c r="I166" s="899">
        <v>1418219.956172256</v>
      </c>
      <c r="K166" s="936">
        <f>G166/I166*100</f>
        <v>3.5668552710416087E-3</v>
      </c>
    </row>
    <row r="167" spans="1:11">
      <c r="A167" s="138">
        <f>A166+1</f>
        <v>90</v>
      </c>
      <c r="C167" s="142" t="s">
        <v>270</v>
      </c>
      <c r="D167" s="142"/>
      <c r="E167" s="138" t="s">
        <v>525</v>
      </c>
      <c r="G167" s="899">
        <f>'Sch. 26 pp.2-7'!Q366</f>
        <v>-3.4655463662594728</v>
      </c>
      <c r="I167" s="899">
        <v>1340837.9292994002</v>
      </c>
      <c r="K167" s="936">
        <f>G167/I167*100</f>
        <v>-2.5846124207347355E-4</v>
      </c>
    </row>
    <row r="168" spans="1:11">
      <c r="A168" s="138">
        <f>A167+1</f>
        <v>91</v>
      </c>
      <c r="C168" s="136" t="s">
        <v>340</v>
      </c>
      <c r="G168" s="937">
        <f>SUM(G165:G167)</f>
        <v>12900.493369229085</v>
      </c>
      <c r="K168" s="936"/>
    </row>
    <row r="169" spans="1:11">
      <c r="A169" s="138"/>
      <c r="K169" s="936"/>
    </row>
    <row r="170" spans="1:11" ht="12.95">
      <c r="A170" s="138"/>
      <c r="C170" s="301" t="s">
        <v>1183</v>
      </c>
      <c r="D170" s="939"/>
      <c r="E170" s="939"/>
      <c r="K170" s="936"/>
    </row>
    <row r="171" spans="1:11">
      <c r="A171" s="138">
        <f>A168+1</f>
        <v>92</v>
      </c>
      <c r="C171" s="142" t="s">
        <v>1208</v>
      </c>
      <c r="D171" s="142"/>
      <c r="E171" s="138" t="s">
        <v>525</v>
      </c>
      <c r="G171" s="899">
        <f>'Sch. 26 pp.2-7'!Q377</f>
        <v>-96.537071580781728</v>
      </c>
      <c r="I171" s="899">
        <v>672042.15088004968</v>
      </c>
      <c r="K171" s="936">
        <f>G171/I171*100</f>
        <v>-1.4364734630761615E-2</v>
      </c>
    </row>
    <row r="172" spans="1:11">
      <c r="A172" s="138">
        <f>A171+1</f>
        <v>93</v>
      </c>
      <c r="C172" s="142" t="s">
        <v>339</v>
      </c>
      <c r="D172" s="142"/>
      <c r="E172" s="138" t="s">
        <v>525</v>
      </c>
      <c r="G172" s="899">
        <f>'Sch. 26 pp.2-7'!Q379</f>
        <v>17.542056765483185</v>
      </c>
      <c r="I172" s="899">
        <v>672042.15088004968</v>
      </c>
      <c r="K172" s="936">
        <f>G172/I172*100</f>
        <v>2.6102613865085084E-3</v>
      </c>
    </row>
    <row r="173" spans="1:11">
      <c r="A173" s="138">
        <f>A172+1</f>
        <v>94</v>
      </c>
      <c r="C173" s="142" t="s">
        <v>270</v>
      </c>
      <c r="D173" s="142"/>
      <c r="E173" s="138" t="s">
        <v>525</v>
      </c>
      <c r="G173" s="899">
        <f>'Sch. 26 pp.2-7'!Q381</f>
        <v>-0.6821092381638415</v>
      </c>
      <c r="I173" s="899">
        <v>374528.71065307455</v>
      </c>
      <c r="K173" s="936">
        <f>G173/I173*100</f>
        <v>-1.8212468597519039E-4</v>
      </c>
    </row>
    <row r="174" spans="1:11">
      <c r="A174" s="138">
        <f>A173+1</f>
        <v>95</v>
      </c>
      <c r="C174" s="136" t="s">
        <v>345</v>
      </c>
      <c r="G174" s="937">
        <f>SUM(G171:G173)</f>
        <v>-79.677124053462393</v>
      </c>
      <c r="K174" s="936"/>
    </row>
    <row r="175" spans="1:11">
      <c r="A175" s="138"/>
      <c r="K175" s="936"/>
    </row>
    <row r="176" spans="1:11">
      <c r="A176" s="138"/>
      <c r="K176" s="936"/>
    </row>
    <row r="177" spans="1:12">
      <c r="A177" s="138"/>
      <c r="K177" s="936"/>
    </row>
    <row r="178" spans="1:12">
      <c r="A178" s="138"/>
      <c r="K178" s="936"/>
    </row>
    <row r="179" spans="1:12">
      <c r="A179" s="1177" t="s">
        <v>1209</v>
      </c>
      <c r="B179" s="1177"/>
      <c r="C179" s="1177"/>
      <c r="D179" s="1177"/>
      <c r="E179" s="1177"/>
      <c r="F179" s="1177"/>
      <c r="G179" s="1177"/>
      <c r="H179" s="1177"/>
      <c r="I179" s="1177"/>
      <c r="J179" s="1177"/>
      <c r="K179" s="1177"/>
      <c r="L179" s="1177"/>
    </row>
    <row r="180" spans="1:12">
      <c r="A180" s="941"/>
      <c r="B180" s="897"/>
      <c r="C180" s="897"/>
      <c r="D180" s="897"/>
      <c r="E180" s="897"/>
      <c r="F180" s="897"/>
      <c r="G180" s="897"/>
      <c r="H180" s="897"/>
      <c r="I180" s="897"/>
      <c r="J180" s="897"/>
      <c r="K180" s="897"/>
      <c r="L180" s="897"/>
    </row>
    <row r="181" spans="1:12">
      <c r="I181" s="138"/>
    </row>
    <row r="182" spans="1:12">
      <c r="G182" s="138" t="s">
        <v>1140</v>
      </c>
      <c r="H182" s="138"/>
      <c r="J182" s="138"/>
      <c r="K182" s="138" t="s">
        <v>1204</v>
      </c>
    </row>
    <row r="183" spans="1:12">
      <c r="A183" s="138" t="s">
        <v>56</v>
      </c>
      <c r="G183" s="138" t="s">
        <v>1148</v>
      </c>
      <c r="H183" s="138"/>
      <c r="I183" s="138" t="s">
        <v>1146</v>
      </c>
      <c r="J183" s="138"/>
      <c r="K183" s="138" t="s">
        <v>1205</v>
      </c>
    </row>
    <row r="184" spans="1:12">
      <c r="A184" s="189" t="s">
        <v>57</v>
      </c>
      <c r="C184" s="896" t="s">
        <v>194</v>
      </c>
      <c r="E184" s="189" t="s">
        <v>245</v>
      </c>
      <c r="G184" s="940" t="s">
        <v>1206</v>
      </c>
      <c r="H184" s="138"/>
      <c r="I184" s="189" t="s">
        <v>1150</v>
      </c>
      <c r="J184" s="138"/>
      <c r="K184" s="189" t="s">
        <v>859</v>
      </c>
    </row>
    <row r="185" spans="1:12">
      <c r="A185" s="138"/>
      <c r="G185" s="138" t="s">
        <v>9</v>
      </c>
      <c r="I185" s="138" t="s">
        <v>10</v>
      </c>
      <c r="K185" s="138" t="s">
        <v>1207</v>
      </c>
    </row>
    <row r="186" spans="1:12" ht="4.9000000000000004" customHeight="1">
      <c r="A186" s="138"/>
      <c r="K186" s="936"/>
    </row>
    <row r="187" spans="1:12" ht="5.65" customHeight="1">
      <c r="A187" s="138"/>
      <c r="K187" s="936"/>
    </row>
    <row r="188" spans="1:12" ht="12.95">
      <c r="A188" s="138"/>
      <c r="C188" s="301" t="s">
        <v>148</v>
      </c>
      <c r="D188" s="939"/>
      <c r="E188" s="939"/>
      <c r="K188" s="936"/>
    </row>
    <row r="189" spans="1:12">
      <c r="A189" s="138">
        <f>A174+1</f>
        <v>96</v>
      </c>
      <c r="C189" s="142" t="s">
        <v>1210</v>
      </c>
      <c r="D189" s="142"/>
      <c r="E189" s="138" t="s">
        <v>540</v>
      </c>
      <c r="G189" s="899">
        <f>'Sch. 26 pp.2-7'!Q406+'Sch. 26 pp.2-7'!Q413+'Sch. 26 pp.2-7'!Q416</f>
        <v>26.489854868396634</v>
      </c>
      <c r="I189" s="899">
        <v>31301.096000000001</v>
      </c>
      <c r="K189" s="936">
        <f>G189/I189*100</f>
        <v>8.4629160807649137E-2</v>
      </c>
    </row>
    <row r="190" spans="1:12">
      <c r="A190" s="138">
        <f>A189+1</f>
        <v>97</v>
      </c>
      <c r="C190" s="142" t="s">
        <v>1208</v>
      </c>
      <c r="D190" s="142"/>
      <c r="E190" s="138" t="s">
        <v>525</v>
      </c>
      <c r="G190" s="899">
        <f>'Sch. 26 pp.2-7'!Q410+'Sch. 26 pp.2-7'!Q412</f>
        <v>20.024397712869828</v>
      </c>
      <c r="I190" s="899">
        <v>342840.96249000006</v>
      </c>
      <c r="K190" s="936">
        <f>G190/I190*100</f>
        <v>5.840724972720813E-3</v>
      </c>
    </row>
    <row r="191" spans="1:12">
      <c r="A191" s="138">
        <f>A190+1</f>
        <v>98</v>
      </c>
      <c r="C191" s="142" t="s">
        <v>1213</v>
      </c>
      <c r="D191" s="142"/>
      <c r="E191" s="138" t="s">
        <v>525</v>
      </c>
      <c r="G191" s="899">
        <f>'Sch. 26 pp.2-7'!Q417+'Sch. 26 pp.2-7'!Q419</f>
        <v>-2.3138747541499426E-2</v>
      </c>
      <c r="I191" s="899">
        <v>229.77864</v>
      </c>
      <c r="K191" s="936">
        <f>G191/I191*100</f>
        <v>-1.0070016752427217E-2</v>
      </c>
    </row>
    <row r="192" spans="1:12">
      <c r="A192" s="138">
        <f>A191+1</f>
        <v>99</v>
      </c>
      <c r="C192" s="142" t="s">
        <v>270</v>
      </c>
      <c r="D192" s="142"/>
      <c r="E192" s="138" t="s">
        <v>525</v>
      </c>
      <c r="G192" s="899">
        <f>'Sch. 26 pp.2-7'!Q421+'Sch. 26 pp.2-7'!Q422</f>
        <v>-1.9079300616222216E-2</v>
      </c>
      <c r="I192" s="899">
        <v>35462.115590000001</v>
      </c>
      <c r="K192" s="936">
        <f>G192/I192*100</f>
        <v>-5.3801924388296813E-5</v>
      </c>
    </row>
    <row r="193" spans="1:11">
      <c r="A193" s="138">
        <f>A192+1</f>
        <v>100</v>
      </c>
      <c r="C193" s="136" t="s">
        <v>358</v>
      </c>
      <c r="G193" s="937">
        <f>SUM(G189:G192)</f>
        <v>46.47203453310874</v>
      </c>
      <c r="K193" s="936"/>
    </row>
    <row r="194" spans="1:11">
      <c r="A194" s="138"/>
      <c r="K194" s="936"/>
    </row>
    <row r="195" spans="1:11" ht="12.95">
      <c r="A195" s="138"/>
      <c r="C195" s="301" t="s">
        <v>149</v>
      </c>
      <c r="D195" s="939"/>
      <c r="E195" s="939"/>
      <c r="K195" s="936"/>
    </row>
    <row r="196" spans="1:11">
      <c r="A196" s="138">
        <f>A193+1</f>
        <v>101</v>
      </c>
      <c r="C196" s="142" t="s">
        <v>280</v>
      </c>
      <c r="D196" s="142"/>
      <c r="E196" s="138" t="s">
        <v>540</v>
      </c>
      <c r="G196" s="899">
        <f>'Sch. 26 pp.2-7'!Q428+'Sch. 26 pp.2-7'!Q434+'Sch. 26 pp.2-7'!Q443+'Sch. 26 pp.2-7'!Q444</f>
        <v>3.3739045822173752</v>
      </c>
      <c r="I196" s="899">
        <v>287.93599999999998</v>
      </c>
      <c r="K196" s="936">
        <f>G196/I196*100</f>
        <v>1.1717550366113911</v>
      </c>
    </row>
    <row r="197" spans="1:11">
      <c r="A197" s="138">
        <f>A196+1</f>
        <v>102</v>
      </c>
      <c r="C197" s="142" t="s">
        <v>1208</v>
      </c>
      <c r="D197" s="142"/>
      <c r="E197" s="138" t="s">
        <v>525</v>
      </c>
      <c r="G197" s="899">
        <f>'Sch. 26 pp.2-7'!Q429+'Sch. 26 pp.2-7'!Q431</f>
        <v>-0.10197297032841535</v>
      </c>
      <c r="I197" s="899">
        <v>2737.0135999999998</v>
      </c>
      <c r="K197" s="936">
        <f>G197/I197*100</f>
        <v>-3.7257019960885598E-3</v>
      </c>
    </row>
    <row r="198" spans="1:11">
      <c r="A198" s="138">
        <f>A197+1</f>
        <v>103</v>
      </c>
      <c r="C198" s="142" t="s">
        <v>1213</v>
      </c>
      <c r="D198" s="142"/>
      <c r="E198" s="138" t="s">
        <v>525</v>
      </c>
      <c r="G198" s="899">
        <f>'Sch. 26 pp.2-7'!Q440+'Sch. 26 pp.2-7'!Q442</f>
        <v>-2.3480296328140495</v>
      </c>
      <c r="I198" s="899">
        <v>41729.039689999998</v>
      </c>
      <c r="K198" s="936">
        <f>G198/I198*100</f>
        <v>-5.6268479942440048E-3</v>
      </c>
    </row>
    <row r="199" spans="1:11">
      <c r="A199" s="138">
        <f>A198+1</f>
        <v>104</v>
      </c>
      <c r="C199" s="142" t="s">
        <v>270</v>
      </c>
      <c r="D199" s="142"/>
      <c r="E199" s="138" t="s">
        <v>525</v>
      </c>
      <c r="G199" s="899">
        <f>'Sch. 26 pp.2-7'!Q447</f>
        <v>-1.1407805552760982E-3</v>
      </c>
      <c r="I199" s="899">
        <v>1599.0381000000002</v>
      </c>
      <c r="K199" s="936">
        <f>G199/I199*100</f>
        <v>-7.1341674427651103E-5</v>
      </c>
    </row>
    <row r="200" spans="1:11">
      <c r="A200" s="138">
        <f>A199+1</f>
        <v>105</v>
      </c>
      <c r="C200" s="136" t="s">
        <v>362</v>
      </c>
      <c r="G200" s="937">
        <f>SUM(G196:G199)</f>
        <v>0.92276119851963423</v>
      </c>
      <c r="K200" s="936"/>
    </row>
    <row r="201" spans="1:11">
      <c r="A201" s="138"/>
      <c r="K201" s="936"/>
    </row>
    <row r="202" spans="1:11" ht="12.95">
      <c r="A202" s="138"/>
      <c r="C202" s="301" t="s">
        <v>150</v>
      </c>
      <c r="D202" s="939"/>
      <c r="E202" s="939"/>
      <c r="K202" s="936"/>
    </row>
    <row r="203" spans="1:11">
      <c r="A203" s="138">
        <f>A200+1</f>
        <v>106</v>
      </c>
      <c r="C203" s="142" t="s">
        <v>280</v>
      </c>
      <c r="D203" s="142"/>
      <c r="E203" s="138" t="s">
        <v>540</v>
      </c>
      <c r="G203" s="899">
        <f>'Sch. 26 pp.2-7'!Q453</f>
        <v>74.471199399347043</v>
      </c>
      <c r="I203" s="899">
        <v>48213.712000000007</v>
      </c>
      <c r="K203" s="936">
        <f>G203/I203*100</f>
        <v>0.15446062190637186</v>
      </c>
    </row>
    <row r="204" spans="1:11">
      <c r="A204" s="138">
        <f>A203+1</f>
        <v>107</v>
      </c>
      <c r="C204" s="142" t="s">
        <v>260</v>
      </c>
      <c r="D204" s="142"/>
      <c r="E204" s="138" t="s">
        <v>525</v>
      </c>
      <c r="G204" s="899">
        <f>'Sch. 26 pp.2-7'!Q454+'Sch. 26 pp.2-7'!Q456</f>
        <v>4.8143061920046497</v>
      </c>
      <c r="I204" s="899">
        <v>415469.58967000002</v>
      </c>
      <c r="K204" s="936">
        <f>G204/I204*100</f>
        <v>1.1587625933894624E-3</v>
      </c>
    </row>
    <row r="205" spans="1:11">
      <c r="A205" s="138">
        <f>A204+1</f>
        <v>108</v>
      </c>
      <c r="C205" s="142" t="s">
        <v>1213</v>
      </c>
      <c r="D205" s="142"/>
      <c r="E205" s="138" t="s">
        <v>525</v>
      </c>
      <c r="G205" s="899">
        <f>'Sch. 26 pp.2-7'!Q459+'Sch. 26 pp.2-7'!Q461</f>
        <v>11.684155297832508</v>
      </c>
      <c r="I205" s="899">
        <v>41749.229210000005</v>
      </c>
      <c r="K205" s="936">
        <f>G205/I205*100</f>
        <v>2.798651740146104E-2</v>
      </c>
    </row>
    <row r="206" spans="1:11">
      <c r="A206" s="138">
        <f>A205+1</f>
        <v>109</v>
      </c>
      <c r="C206" s="142" t="s">
        <v>270</v>
      </c>
      <c r="D206" s="142"/>
      <c r="E206" s="138" t="s">
        <v>525</v>
      </c>
      <c r="G206" s="899">
        <f>'Sch. 26 pp.2-7'!Q463</f>
        <v>-2.6964358568576867E-2</v>
      </c>
      <c r="I206" s="899">
        <v>22265.622000000003</v>
      </c>
      <c r="K206" s="936">
        <f>G206/I206*100</f>
        <v>-1.2110310041451734E-4</v>
      </c>
    </row>
    <row r="207" spans="1:11">
      <c r="A207" s="138">
        <f>A206+1</f>
        <v>110</v>
      </c>
      <c r="C207" s="136" t="s">
        <v>364</v>
      </c>
      <c r="G207" s="937">
        <f>SUM(G203:G206)</f>
        <v>90.942696530615621</v>
      </c>
      <c r="K207" s="936"/>
    </row>
    <row r="208" spans="1:11">
      <c r="A208" s="138"/>
      <c r="K208" s="936"/>
    </row>
    <row r="209" spans="1:19" ht="12.95">
      <c r="A209" s="138"/>
      <c r="C209" s="301" t="s">
        <v>151</v>
      </c>
      <c r="D209" s="939"/>
      <c r="E209" s="939"/>
      <c r="K209" s="936"/>
    </row>
    <row r="210" spans="1:19">
      <c r="A210" s="138">
        <f>A207+1</f>
        <v>111</v>
      </c>
      <c r="C210" s="142" t="s">
        <v>280</v>
      </c>
      <c r="D210" s="142"/>
      <c r="E210" s="138" t="s">
        <v>540</v>
      </c>
      <c r="G210" s="899">
        <f>'Sch. 26 pp.2-7'!Q468</f>
        <v>1.5106224216247015</v>
      </c>
      <c r="I210" s="899">
        <v>4026.9759999999997</v>
      </c>
      <c r="K210" s="936">
        <f>G210/I210*100</f>
        <v>3.751257572989513E-2</v>
      </c>
    </row>
    <row r="211" spans="1:19">
      <c r="A211" s="138">
        <f>A210+1</f>
        <v>112</v>
      </c>
      <c r="C211" s="142" t="s">
        <v>260</v>
      </c>
      <c r="D211" s="142"/>
      <c r="E211" s="138" t="s">
        <v>525</v>
      </c>
      <c r="G211" s="899">
        <f>'Sch. 26 pp.2-7'!Q469</f>
        <v>0.4607520300343132</v>
      </c>
      <c r="I211" s="899">
        <v>56576.786000000007</v>
      </c>
      <c r="K211" s="936">
        <f>G211/I211*100</f>
        <v>8.1438353538554342E-4</v>
      </c>
    </row>
    <row r="212" spans="1:19">
      <c r="A212" s="138">
        <f>A211+1</f>
        <v>113</v>
      </c>
      <c r="C212" s="142" t="s">
        <v>270</v>
      </c>
      <c r="D212" s="142"/>
      <c r="E212" s="138" t="s">
        <v>525</v>
      </c>
      <c r="G212" s="899">
        <f>'Sch. 26 pp.2-7'!Q471</f>
        <v>-1.7440797731747261E-2</v>
      </c>
      <c r="I212" s="899">
        <v>7158.4358000000002</v>
      </c>
      <c r="K212" s="936">
        <f>G212/I212*100</f>
        <v>-2.4363978694545618E-4</v>
      </c>
      <c r="O212" s="192"/>
    </row>
    <row r="213" spans="1:19">
      <c r="A213" s="138">
        <f>A212+1</f>
        <v>114</v>
      </c>
      <c r="C213" s="136" t="s">
        <v>365</v>
      </c>
      <c r="G213" s="937">
        <f>SUM(G210:G212)</f>
        <v>1.9539336539272674</v>
      </c>
      <c r="K213" s="936"/>
    </row>
    <row r="214" spans="1:19">
      <c r="A214" s="138"/>
      <c r="C214" s="142"/>
      <c r="D214" s="142"/>
      <c r="E214" s="142"/>
      <c r="K214" s="936"/>
    </row>
    <row r="215" spans="1:19" ht="12.95">
      <c r="A215" s="138"/>
      <c r="C215" s="301" t="s">
        <v>152</v>
      </c>
      <c r="D215" s="939"/>
      <c r="E215" s="939"/>
      <c r="K215" s="936"/>
    </row>
    <row r="216" spans="1:19">
      <c r="A216" s="138">
        <f>A213+1</f>
        <v>115</v>
      </c>
      <c r="C216" s="142" t="s">
        <v>368</v>
      </c>
      <c r="D216" s="142"/>
      <c r="E216" s="138" t="s">
        <v>540</v>
      </c>
      <c r="G216" s="899">
        <f>SUM('Sch. 26 pp.2-7'!O491,'Sch. 26 pp.2-7'!O494:O495)</f>
        <v>-2.202844394488686</v>
      </c>
      <c r="I216" s="899">
        <v>17693.232</v>
      </c>
      <c r="K216" s="936">
        <f>G216/I216*100</f>
        <v>-1.2450209178790431E-2</v>
      </c>
    </row>
    <row r="217" spans="1:19">
      <c r="A217" s="138">
        <f t="shared" ref="A217:A222" si="0">A216+1</f>
        <v>116</v>
      </c>
      <c r="C217" s="142" t="s">
        <v>372</v>
      </c>
      <c r="D217" s="142"/>
      <c r="E217" s="138" t="s">
        <v>525</v>
      </c>
      <c r="G217" s="899">
        <f>SUM('Sch. 26 pp.2-7'!O497,'Sch. 26 pp.2-7'!O500,'Sch. 26 pp.2-7'!O503)</f>
        <v>20.331148378586995</v>
      </c>
      <c r="I217" s="899">
        <v>245674.60918000003</v>
      </c>
      <c r="K217" s="936">
        <f>G217/I217*100</f>
        <v>8.2756408757287733E-3</v>
      </c>
    </row>
    <row r="218" spans="1:19">
      <c r="A218" s="138">
        <f t="shared" si="0"/>
        <v>117</v>
      </c>
      <c r="C218" s="142" t="s">
        <v>1213</v>
      </c>
      <c r="D218" s="142"/>
      <c r="E218" s="138" t="s">
        <v>525</v>
      </c>
      <c r="G218" s="899">
        <f>'Sch. 26 pp.2-7'!O498+'Sch. 26 pp.2-7'!O501</f>
        <v>-0.53808287028462287</v>
      </c>
      <c r="I218" s="899">
        <v>24634.758119999999</v>
      </c>
      <c r="K218" s="936">
        <f>G218/I218*100</f>
        <v>-2.1842425554313618E-3</v>
      </c>
    </row>
    <row r="219" spans="1:19">
      <c r="A219" s="138">
        <f t="shared" si="0"/>
        <v>118</v>
      </c>
      <c r="C219" s="142" t="s">
        <v>1214</v>
      </c>
      <c r="D219" s="142"/>
      <c r="E219" s="138" t="s">
        <v>582</v>
      </c>
      <c r="G219" s="899">
        <f>'Sch. 26 pp.2-7'!O508</f>
        <v>1.9472270254905482</v>
      </c>
      <c r="I219" s="899">
        <v>11876832</v>
      </c>
      <c r="K219" s="935">
        <f>(G219+G228+G237)/(I219+I228+I237)*1000</f>
        <v>2.7392433107473034E-4</v>
      </c>
    </row>
    <row r="220" spans="1:19">
      <c r="A220" s="138">
        <f t="shared" si="0"/>
        <v>119</v>
      </c>
      <c r="C220" s="142" t="s">
        <v>1215</v>
      </c>
      <c r="D220" s="142"/>
      <c r="E220" s="138" t="s">
        <v>582</v>
      </c>
      <c r="G220" s="899">
        <f>'Sch. 26 pp.2-7'!O510+'Sch. 26 pp.2-7'!O511</f>
        <v>11.171243798930686</v>
      </c>
      <c r="I220" s="899">
        <v>456432</v>
      </c>
      <c r="K220" s="935">
        <f>(G220+G229+G238)/(I220+I229+I238)*1000</f>
        <v>1.0639248930093647E-2</v>
      </c>
      <c r="S220" s="138"/>
    </row>
    <row r="221" spans="1:19">
      <c r="A221" s="138">
        <f t="shared" si="0"/>
        <v>120</v>
      </c>
      <c r="C221" s="142" t="s">
        <v>583</v>
      </c>
      <c r="D221" s="142"/>
      <c r="E221" s="138" t="s">
        <v>584</v>
      </c>
      <c r="G221" s="899">
        <f>'Sch. 26 pp.2-7'!O515+'Sch. 26 pp.2-7'!O517</f>
        <v>2.4984487635746979</v>
      </c>
      <c r="I221" s="899">
        <v>1884498.87</v>
      </c>
      <c r="K221" s="935">
        <f>(G221+G230+G239)/(I221+I230+I239)*1000</f>
        <v>3.3434108017383014E-3</v>
      </c>
      <c r="S221" s="138"/>
    </row>
    <row r="222" spans="1:19">
      <c r="A222" s="138">
        <f t="shared" si="0"/>
        <v>121</v>
      </c>
      <c r="C222" s="136" t="s">
        <v>392</v>
      </c>
      <c r="E222" s="138"/>
      <c r="G222" s="937">
        <f>SUM(G216:G221)</f>
        <v>33.207140701809621</v>
      </c>
      <c r="I222" s="899"/>
      <c r="K222" s="936"/>
      <c r="S222" s="138"/>
    </row>
    <row r="223" spans="1:19">
      <c r="A223" s="138"/>
      <c r="E223" s="138"/>
      <c r="S223" s="138"/>
    </row>
    <row r="224" spans="1:19" ht="12.95">
      <c r="A224" s="138"/>
      <c r="C224" s="301" t="s">
        <v>153</v>
      </c>
      <c r="D224" s="939"/>
      <c r="E224" s="938"/>
      <c r="I224" s="899"/>
      <c r="K224" s="936"/>
      <c r="S224" s="138"/>
    </row>
    <row r="225" spans="1:19">
      <c r="A225" s="138">
        <f>A222+1</f>
        <v>122</v>
      </c>
      <c r="C225" s="142" t="s">
        <v>368</v>
      </c>
      <c r="D225" s="142"/>
      <c r="E225" s="138" t="s">
        <v>540</v>
      </c>
      <c r="G225" s="899">
        <f>SUM('Sch. 26 pp.2-7'!O523,'Sch. 26 pp.2-7'!O526:O527)</f>
        <v>43.447269552431969</v>
      </c>
      <c r="I225" s="899">
        <v>207033.01600000003</v>
      </c>
      <c r="K225" s="936">
        <f>G225/I225*100</f>
        <v>2.0985671943470098E-2</v>
      </c>
      <c r="S225" s="138"/>
    </row>
    <row r="226" spans="1:19">
      <c r="A226" s="138">
        <f t="shared" ref="A226:A231" si="1">A225+1</f>
        <v>123</v>
      </c>
      <c r="C226" s="142" t="s">
        <v>372</v>
      </c>
      <c r="D226" s="142"/>
      <c r="E226" s="138" t="s">
        <v>525</v>
      </c>
      <c r="G226" s="899">
        <f>SUM('Sch. 26 pp.2-7'!O529,'Sch. 26 pp.2-7'!O532,'Sch. 26 pp.2-7'!O535)</f>
        <v>183.40591066964129</v>
      </c>
      <c r="I226" s="899">
        <v>3347247.7449199995</v>
      </c>
      <c r="K226" s="936">
        <f>G226/I226*100</f>
        <v>5.4793049288924013E-3</v>
      </c>
      <c r="S226" s="138"/>
    </row>
    <row r="227" spans="1:19">
      <c r="A227" s="138">
        <f t="shared" si="1"/>
        <v>124</v>
      </c>
      <c r="C227" s="142" t="s">
        <v>1213</v>
      </c>
      <c r="D227" s="142"/>
      <c r="E227" s="138" t="s">
        <v>525</v>
      </c>
      <c r="G227" s="899">
        <f>'Sch. 26 pp.2-7'!O530+'Sch. 26 pp.2-7'!O533</f>
        <v>2.7039478830080594</v>
      </c>
      <c r="I227" s="899">
        <v>18840.365089999999</v>
      </c>
      <c r="K227" s="936">
        <f>G227/I227*100</f>
        <v>1.4351886866795633E-2</v>
      </c>
    </row>
    <row r="228" spans="1:19">
      <c r="A228" s="138">
        <f t="shared" si="1"/>
        <v>125</v>
      </c>
      <c r="C228" s="142" t="s">
        <v>1214</v>
      </c>
      <c r="D228" s="142"/>
      <c r="E228" s="138" t="s">
        <v>582</v>
      </c>
      <c r="G228" s="899">
        <f>'Sch. 26 pp.2-7'!O540</f>
        <v>12.332442418754944</v>
      </c>
      <c r="I228" s="899">
        <v>75990544</v>
      </c>
      <c r="K228" s="935">
        <f>K219</f>
        <v>2.7392433107473034E-4</v>
      </c>
    </row>
    <row r="229" spans="1:19">
      <c r="A229" s="138">
        <f t="shared" si="1"/>
        <v>126</v>
      </c>
      <c r="C229" s="142" t="s">
        <v>1215</v>
      </c>
      <c r="D229" s="142"/>
      <c r="E229" s="138" t="s">
        <v>582</v>
      </c>
      <c r="G229" s="899">
        <f>SUM('Sch. 26 pp.2-7'!O542:O545)</f>
        <v>54.983187185211065</v>
      </c>
      <c r="I229" s="899">
        <v>2215832</v>
      </c>
      <c r="K229" s="935">
        <f>K220</f>
        <v>1.0639248930093647E-2</v>
      </c>
    </row>
    <row r="230" spans="1:19">
      <c r="A230" s="138">
        <f t="shared" si="1"/>
        <v>127</v>
      </c>
      <c r="C230" s="142" t="s">
        <v>583</v>
      </c>
      <c r="D230" s="142"/>
      <c r="E230" s="138" t="s">
        <v>584</v>
      </c>
      <c r="G230" s="899">
        <f>'Sch. 26 pp.2-7'!O547+'Sch. 26 pp.2-7'!O549</f>
        <v>31.723010304861432</v>
      </c>
      <c r="I230" s="899">
        <v>21526207.629999999</v>
      </c>
      <c r="K230" s="935">
        <f>K221</f>
        <v>3.3434108017383014E-3</v>
      </c>
    </row>
    <row r="231" spans="1:19">
      <c r="A231" s="138">
        <f t="shared" si="1"/>
        <v>128</v>
      </c>
      <c r="C231" s="136" t="s">
        <v>395</v>
      </c>
      <c r="E231" s="138"/>
      <c r="G231" s="937">
        <f>SUM(G225:G230)</f>
        <v>328.59576801390875</v>
      </c>
      <c r="I231" s="899"/>
      <c r="K231" s="936"/>
    </row>
    <row r="232" spans="1:19">
      <c r="A232" s="138"/>
      <c r="E232" s="138"/>
    </row>
    <row r="233" spans="1:19" ht="12.95">
      <c r="A233" s="138"/>
      <c r="C233" s="301" t="s">
        <v>154</v>
      </c>
      <c r="D233" s="939"/>
      <c r="E233" s="938"/>
      <c r="G233" s="899"/>
      <c r="I233" s="899"/>
    </row>
    <row r="234" spans="1:19">
      <c r="A234" s="138">
        <v>129</v>
      </c>
      <c r="C234" s="142" t="s">
        <v>368</v>
      </c>
      <c r="D234" s="142"/>
      <c r="E234" s="138" t="s">
        <v>540</v>
      </c>
      <c r="G234" s="899">
        <f>SUM('Sch. 26 pp.2-7'!O555,'Sch. 26 pp.2-7'!O557)</f>
        <v>7.8800051875556205</v>
      </c>
      <c r="I234" s="899">
        <v>18800</v>
      </c>
      <c r="K234" s="936">
        <f>G234/I234*100</f>
        <v>4.1914921210402231E-2</v>
      </c>
    </row>
    <row r="235" spans="1:19">
      <c r="A235" s="138">
        <f>A234+1</f>
        <v>130</v>
      </c>
      <c r="C235" s="142" t="s">
        <v>372</v>
      </c>
      <c r="D235" s="142"/>
      <c r="E235" s="138" t="s">
        <v>525</v>
      </c>
      <c r="G235" s="899">
        <f>SUM('Sch. 26 pp.2-7'!O558,'Sch. 26 pp.2-7'!O560)</f>
        <v>16.6733246757681</v>
      </c>
      <c r="I235" s="899">
        <v>117581.94816</v>
      </c>
      <c r="K235" s="936">
        <f>G235/I235*100</f>
        <v>1.4180173858898665E-2</v>
      </c>
    </row>
    <row r="236" spans="1:19">
      <c r="A236" s="138">
        <f>A235+1</f>
        <v>131</v>
      </c>
      <c r="C236" s="142" t="s">
        <v>1214</v>
      </c>
      <c r="D236" s="142"/>
      <c r="E236" s="138" t="s">
        <v>582</v>
      </c>
      <c r="G236" s="899">
        <f>'Sch. 26 pp.2-7'!O565</f>
        <v>4.2050612388827142</v>
      </c>
      <c r="I236" s="899">
        <v>25648168</v>
      </c>
      <c r="K236" s="935">
        <f>K219</f>
        <v>2.7392433107473034E-4</v>
      </c>
    </row>
    <row r="237" spans="1:19">
      <c r="A237" s="138">
        <f>A236+1</f>
        <v>132</v>
      </c>
      <c r="C237" s="142" t="s">
        <v>1216</v>
      </c>
      <c r="D237" s="142"/>
      <c r="E237" s="138" t="s">
        <v>582</v>
      </c>
      <c r="G237" s="899">
        <f>SUM('Sch. 26 pp.2-7'!O567:O570)</f>
        <v>9.9079826647267577</v>
      </c>
      <c r="I237" s="899">
        <v>433112</v>
      </c>
      <c r="K237" s="935">
        <f>K220</f>
        <v>1.0639248930093647E-2</v>
      </c>
    </row>
    <row r="238" spans="1:19">
      <c r="A238" s="138">
        <f>A237+1</f>
        <v>133</v>
      </c>
      <c r="C238" s="142" t="s">
        <v>583</v>
      </c>
      <c r="D238" s="142"/>
      <c r="E238" s="138" t="s">
        <v>584</v>
      </c>
      <c r="G238" s="899">
        <f>'Sch. 26 pp.2-7'!O572+'Sch. 26 pp.2-7'!O574</f>
        <v>5.3837761530557424</v>
      </c>
      <c r="I238" s="899">
        <v>4051726.3500000006</v>
      </c>
      <c r="K238" s="935">
        <f>K221</f>
        <v>3.3434108017383014E-3</v>
      </c>
    </row>
    <row r="239" spans="1:19">
      <c r="A239" s="138">
        <f>A238+1</f>
        <v>134</v>
      </c>
      <c r="C239" s="136" t="s">
        <v>396</v>
      </c>
      <c r="G239" s="937">
        <f>SUM(G234:G238)</f>
        <v>44.050149919988932</v>
      </c>
      <c r="K239" s="936"/>
    </row>
    <row r="240" spans="1:19">
      <c r="A240" s="138"/>
    </row>
    <row r="241" spans="1:11" ht="12.95">
      <c r="A241" s="138"/>
      <c r="C241" s="904" t="s">
        <v>1217</v>
      </c>
      <c r="D241" s="286"/>
      <c r="E241" s="286"/>
    </row>
    <row r="242" spans="1:11">
      <c r="A242" s="138">
        <f>A239+1</f>
        <v>135</v>
      </c>
      <c r="C242" s="142" t="s">
        <v>1142</v>
      </c>
      <c r="D242" s="146"/>
      <c r="E242" s="138" t="s">
        <v>584</v>
      </c>
      <c r="G242" s="899">
        <f>'Sch. 26 pp.2-7'!O580</f>
        <v>186.34816992331233</v>
      </c>
      <c r="I242" s="217">
        <v>52190831.520449892</v>
      </c>
      <c r="K242" s="935">
        <f>ROUND(G242/I242*1000,3)</f>
        <v>4.0000000000000001E-3</v>
      </c>
    </row>
    <row r="243" spans="1:11">
      <c r="A243" s="138"/>
    </row>
    <row r="244" spans="1:11">
      <c r="A244" s="138"/>
    </row>
    <row r="245" spans="1:11">
      <c r="A245" s="138"/>
      <c r="C245" s="147"/>
      <c r="D245" s="147"/>
      <c r="E245" s="147"/>
    </row>
    <row r="246" spans="1:11">
      <c r="A246" s="197" t="s">
        <v>849</v>
      </c>
    </row>
    <row r="247" spans="1:11">
      <c r="A247" s="292" t="s">
        <v>40</v>
      </c>
      <c r="B247" s="136" t="s">
        <v>1218</v>
      </c>
    </row>
    <row r="248" spans="1:11">
      <c r="C248" s="147"/>
      <c r="D248" s="147"/>
      <c r="E248" s="147"/>
      <c r="G248" s="899"/>
    </row>
    <row r="249" spans="1:11">
      <c r="C249" s="147"/>
      <c r="D249" s="147"/>
      <c r="E249" s="147"/>
    </row>
    <row r="250" spans="1:11">
      <c r="C250" s="143"/>
      <c r="D250" s="143"/>
      <c r="E250" s="143"/>
    </row>
    <row r="254" spans="1:11">
      <c r="C254" s="142"/>
      <c r="D254" s="142"/>
      <c r="E254" s="142"/>
    </row>
    <row r="255" spans="1:11">
      <c r="C255" s="142"/>
      <c r="D255" s="142"/>
      <c r="E255" s="142"/>
    </row>
    <row r="256" spans="1:11">
      <c r="C256" s="142"/>
      <c r="D256" s="142"/>
      <c r="E256" s="142"/>
    </row>
    <row r="257" spans="3:5">
      <c r="C257" s="143"/>
      <c r="D257" s="143"/>
      <c r="E257" s="143"/>
    </row>
  </sheetData>
  <mergeCells count="4">
    <mergeCell ref="M5:N5"/>
    <mergeCell ref="A3:L3"/>
    <mergeCell ref="A87:L87"/>
    <mergeCell ref="A179:L179"/>
  </mergeCells>
  <printOptions horizontalCentered="1"/>
  <pageMargins left="0.7" right="0.7" top="0.75" bottom="0.75" header="0.3" footer="0.3"/>
  <pageSetup scale="57" firstPageNumber="8" orientation="portrait" useFirstPageNumber="1" horizontalDpi="1200" verticalDpi="1200" r:id="rId1"/>
  <headerFooter>
    <oddHeader>&amp;R&amp;10Filed: 2024-02-16
EB-2022-0200
Rate Order
Working Papers
Schedule 26
Page &amp;P of 10</oddHeader>
  </headerFooter>
  <rowBreaks count="2" manualBreakCount="2">
    <brk id="84" max="11" man="1"/>
    <brk id="176"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686B-6E31-42E1-887F-9D239A64FB20}">
  <sheetPr>
    <pageSetUpPr fitToPage="1"/>
  </sheetPr>
  <dimension ref="A1:V65"/>
  <sheetViews>
    <sheetView zoomScaleNormal="100" zoomScaleSheetLayoutView="100" zoomScalePageLayoutView="90" workbookViewId="0"/>
  </sheetViews>
  <sheetFormatPr defaultColWidth="4.25" defaultRowHeight="12.6"/>
  <cols>
    <col min="1" max="1" width="4.125" style="943" bestFit="1" customWidth="1"/>
    <col min="2" max="2" width="1.625" style="943" customWidth="1"/>
    <col min="3" max="3" width="40.75" style="252" customWidth="1"/>
    <col min="4" max="4" width="10.5" style="310" bestFit="1" customWidth="1"/>
    <col min="5" max="5" width="2" style="310" customWidth="1"/>
    <col min="6" max="6" width="7.125" style="252" customWidth="1"/>
    <col min="7" max="7" width="2" style="252" customWidth="1"/>
    <col min="8" max="8" width="8.75" style="252" bestFit="1" customWidth="1"/>
    <col min="9" max="9" width="2" style="252" customWidth="1"/>
    <col min="10" max="10" width="7.75" style="252" bestFit="1" customWidth="1"/>
    <col min="11" max="11" width="2" style="252" customWidth="1"/>
    <col min="12" max="12" width="11.25" style="252" bestFit="1" customWidth="1"/>
    <col min="13" max="21" width="4.25" style="252"/>
    <col min="22" max="22" width="13.75" style="252" bestFit="1" customWidth="1"/>
    <col min="23" max="16384" width="4.25" style="252"/>
  </cols>
  <sheetData>
    <row r="1" spans="1:14">
      <c r="L1" s="968"/>
    </row>
    <row r="2" spans="1:14">
      <c r="L2" s="968"/>
    </row>
    <row r="3" spans="1:14">
      <c r="L3" s="968"/>
    </row>
    <row r="4" spans="1:14">
      <c r="L4" s="968"/>
    </row>
    <row r="5" spans="1:14">
      <c r="L5" s="968"/>
    </row>
    <row r="6" spans="1:14">
      <c r="A6" s="1191" t="s">
        <v>1219</v>
      </c>
      <c r="B6" s="1191"/>
      <c r="C6" s="1191"/>
      <c r="D6" s="1191"/>
      <c r="E6" s="1191"/>
      <c r="F6" s="1191"/>
      <c r="G6" s="1191"/>
      <c r="H6" s="1191"/>
      <c r="I6" s="1191"/>
      <c r="J6" s="1191"/>
      <c r="K6" s="1191"/>
      <c r="L6" s="1191"/>
    </row>
    <row r="7" spans="1:14">
      <c r="A7" s="1191" t="s">
        <v>1220</v>
      </c>
      <c r="B7" s="1191"/>
      <c r="C7" s="1191"/>
      <c r="D7" s="1191"/>
      <c r="E7" s="1191"/>
      <c r="F7" s="1191"/>
      <c r="G7" s="1191"/>
      <c r="H7" s="1191"/>
      <c r="I7" s="1191"/>
      <c r="J7" s="1191"/>
      <c r="K7" s="1191"/>
      <c r="L7" s="1191"/>
    </row>
    <row r="8" spans="1:14">
      <c r="A8" s="950"/>
      <c r="B8" s="950"/>
      <c r="C8" s="945"/>
      <c r="D8" s="945"/>
      <c r="E8" s="945"/>
      <c r="F8" s="945"/>
      <c r="G8" s="945"/>
      <c r="H8" s="967"/>
      <c r="I8" s="967"/>
      <c r="J8" s="967"/>
      <c r="K8" s="967"/>
      <c r="L8" s="967"/>
    </row>
    <row r="9" spans="1:14">
      <c r="A9" s="961"/>
      <c r="B9" s="961"/>
      <c r="C9" s="959"/>
      <c r="D9" s="945"/>
      <c r="E9" s="945"/>
      <c r="F9" s="959"/>
      <c r="G9" s="959"/>
      <c r="H9" s="967"/>
      <c r="I9" s="967"/>
      <c r="J9" s="967"/>
      <c r="K9" s="967"/>
      <c r="L9" s="967"/>
    </row>
    <row r="10" spans="1:14">
      <c r="A10" s="950" t="s">
        <v>56</v>
      </c>
      <c r="B10" s="950"/>
      <c r="C10" s="959"/>
      <c r="D10" s="945"/>
      <c r="E10" s="945"/>
      <c r="F10" s="959"/>
      <c r="G10" s="959"/>
      <c r="H10" s="960"/>
      <c r="I10" s="960"/>
      <c r="J10" s="960"/>
      <c r="K10" s="960"/>
      <c r="L10" s="960"/>
    </row>
    <row r="11" spans="1:14">
      <c r="A11" s="966" t="s">
        <v>57</v>
      </c>
      <c r="B11" s="950"/>
      <c r="C11" s="965" t="s">
        <v>5</v>
      </c>
      <c r="D11" s="964" t="s">
        <v>1221</v>
      </c>
      <c r="E11" s="945"/>
      <c r="F11" s="964" t="s">
        <v>1222</v>
      </c>
      <c r="G11" s="946"/>
      <c r="H11" s="963" t="s">
        <v>1223</v>
      </c>
      <c r="I11" s="960"/>
      <c r="J11" s="963" t="s">
        <v>1224</v>
      </c>
      <c r="K11" s="960"/>
      <c r="L11" s="963" t="s">
        <v>887</v>
      </c>
    </row>
    <row r="12" spans="1:14">
      <c r="A12" s="950"/>
      <c r="B12" s="950"/>
      <c r="C12" s="946"/>
      <c r="D12" s="945"/>
      <c r="E12" s="945"/>
      <c r="F12" s="945"/>
      <c r="G12" s="946"/>
      <c r="H12" s="960" t="s">
        <v>9</v>
      </c>
      <c r="I12" s="960"/>
      <c r="J12" s="960" t="s">
        <v>10</v>
      </c>
      <c r="K12" s="960"/>
      <c r="L12" s="962" t="s">
        <v>11</v>
      </c>
    </row>
    <row r="13" spans="1:14">
      <c r="A13" s="961"/>
      <c r="B13" s="961"/>
      <c r="C13" s="945"/>
      <c r="D13" s="945"/>
      <c r="E13" s="945"/>
      <c r="F13" s="959"/>
      <c r="G13" s="959"/>
      <c r="H13" s="960"/>
      <c r="I13" s="960"/>
      <c r="J13" s="960"/>
      <c r="K13" s="960"/>
      <c r="L13" s="960"/>
    </row>
    <row r="14" spans="1:14">
      <c r="A14" s="950">
        <v>1</v>
      </c>
      <c r="B14" s="950"/>
      <c r="C14" s="946" t="s">
        <v>1225</v>
      </c>
      <c r="D14" s="945" t="s">
        <v>1226</v>
      </c>
      <c r="E14" s="945"/>
      <c r="F14" s="945">
        <v>2023</v>
      </c>
      <c r="G14" s="945"/>
      <c r="H14" s="953">
        <v>0</v>
      </c>
      <c r="I14" s="949"/>
      <c r="J14" s="953">
        <v>0</v>
      </c>
      <c r="K14" s="953"/>
      <c r="L14" s="953">
        <f>SUM(H14:J14)</f>
        <v>0</v>
      </c>
      <c r="N14" s="737"/>
    </row>
    <row r="15" spans="1:14">
      <c r="A15" s="950"/>
      <c r="B15" s="950"/>
      <c r="C15" s="946"/>
      <c r="D15" s="945"/>
      <c r="E15" s="945"/>
      <c r="F15" s="945"/>
      <c r="G15" s="945"/>
      <c r="H15" s="951"/>
      <c r="I15" s="951"/>
      <c r="J15" s="953"/>
      <c r="K15" s="953"/>
      <c r="L15" s="951"/>
    </row>
    <row r="16" spans="1:14">
      <c r="A16" s="950">
        <v>2</v>
      </c>
      <c r="B16" s="950"/>
      <c r="C16" s="959" t="s">
        <v>1227</v>
      </c>
      <c r="D16" s="945" t="s">
        <v>1226</v>
      </c>
      <c r="E16" s="945"/>
      <c r="F16" s="945">
        <v>2019</v>
      </c>
      <c r="G16" s="945"/>
      <c r="H16" s="949">
        <f>-1749.5/1000</f>
        <v>-1.7495000000000001</v>
      </c>
      <c r="I16" s="949"/>
      <c r="J16" s="949">
        <f>-158.69026/1000</f>
        <v>-0.15869026</v>
      </c>
      <c r="K16" s="949"/>
      <c r="L16" s="949">
        <f>SUM(H16:J16)</f>
        <v>-1.90819026</v>
      </c>
    </row>
    <row r="17" spans="1:22">
      <c r="A17" s="950">
        <v>3</v>
      </c>
      <c r="B17" s="950"/>
      <c r="C17" s="959" t="s">
        <v>1227</v>
      </c>
      <c r="D17" s="945" t="s">
        <v>1226</v>
      </c>
      <c r="E17" s="945"/>
      <c r="F17" s="945">
        <v>2020</v>
      </c>
      <c r="G17" s="945"/>
      <c r="H17" s="949">
        <f>-14789.5/1000</f>
        <v>-14.7895</v>
      </c>
      <c r="I17" s="949"/>
      <c r="J17" s="949">
        <f>-1144.59801/1000</f>
        <v>-1.1445980099999999</v>
      </c>
      <c r="K17" s="949"/>
      <c r="L17" s="949">
        <f>SUM(H17:J17)</f>
        <v>-15.93409801</v>
      </c>
    </row>
    <row r="18" spans="1:22">
      <c r="A18" s="950">
        <v>4</v>
      </c>
      <c r="B18" s="950"/>
      <c r="C18" s="959" t="s">
        <v>1227</v>
      </c>
      <c r="D18" s="945" t="s">
        <v>1226</v>
      </c>
      <c r="E18" s="945"/>
      <c r="F18" s="945">
        <v>2021</v>
      </c>
      <c r="G18" s="945"/>
      <c r="H18" s="949">
        <f>-13864.6/1000</f>
        <v>-13.864600000000001</v>
      </c>
      <c r="I18" s="949"/>
      <c r="J18" s="949">
        <f>-1007.89532/1000</f>
        <v>-1.00789532</v>
      </c>
      <c r="K18" s="949"/>
      <c r="L18" s="949">
        <f>SUM(H18:J18)</f>
        <v>-14.872495320000001</v>
      </c>
    </row>
    <row r="19" spans="1:22">
      <c r="A19" s="950">
        <v>5</v>
      </c>
      <c r="B19" s="950"/>
      <c r="C19" s="959" t="s">
        <v>1227</v>
      </c>
      <c r="D19" s="945" t="str">
        <f>D18</f>
        <v>179-120</v>
      </c>
      <c r="E19" s="945"/>
      <c r="F19" s="945">
        <v>2022</v>
      </c>
      <c r="G19" s="945"/>
      <c r="H19" s="949">
        <f>(-14061+64900)/1000</f>
        <v>50.838999999999999</v>
      </c>
      <c r="I19" s="949"/>
      <c r="J19" s="949">
        <f>2952.1939/1000</f>
        <v>2.9521939000000001</v>
      </c>
      <c r="K19" s="949"/>
      <c r="L19" s="949">
        <f>SUM(H19:J19)</f>
        <v>53.791193899999996</v>
      </c>
    </row>
    <row r="20" spans="1:22">
      <c r="A20" s="950">
        <v>6</v>
      </c>
      <c r="B20" s="950"/>
      <c r="C20" s="959" t="s">
        <v>1227</v>
      </c>
      <c r="D20" s="945" t="str">
        <f>D19</f>
        <v>179-120</v>
      </c>
      <c r="E20" s="945"/>
      <c r="F20" s="945">
        <v>2023</v>
      </c>
      <c r="G20" s="945"/>
      <c r="H20" s="956">
        <f>-33392.7/1000</f>
        <v>-33.392699999999998</v>
      </c>
      <c r="I20" s="949"/>
      <c r="J20" s="956">
        <f>-958.7265/1000</f>
        <v>-0.95872650000000004</v>
      </c>
      <c r="K20" s="949"/>
      <c r="L20" s="956">
        <f>SUM(H20:J20)</f>
        <v>-34.351426499999995</v>
      </c>
      <c r="N20" s="778"/>
    </row>
    <row r="21" spans="1:22">
      <c r="A21" s="950">
        <v>7</v>
      </c>
      <c r="B21" s="950"/>
      <c r="C21" s="946" t="s">
        <v>1228</v>
      </c>
      <c r="D21" s="945"/>
      <c r="E21" s="945"/>
      <c r="F21" s="945"/>
      <c r="G21" s="945"/>
      <c r="H21" s="955">
        <f>SUM(H16:H20)</f>
        <v>-12.957300000000004</v>
      </c>
      <c r="I21" s="949"/>
      <c r="J21" s="955">
        <f>SUM(J16:J20)</f>
        <v>-0.31771618999999962</v>
      </c>
      <c r="K21" s="949"/>
      <c r="L21" s="955">
        <f>SUM(L16:L20)</f>
        <v>-13.275016190000002</v>
      </c>
    </row>
    <row r="22" spans="1:22">
      <c r="A22" s="950"/>
      <c r="B22" s="950"/>
      <c r="C22" s="954"/>
      <c r="D22" s="945"/>
      <c r="E22" s="945"/>
      <c r="F22" s="945"/>
      <c r="G22" s="945"/>
      <c r="H22" s="951"/>
      <c r="I22" s="951"/>
      <c r="J22" s="951"/>
      <c r="K22" s="951"/>
      <c r="L22" s="951"/>
    </row>
    <row r="23" spans="1:22">
      <c r="A23" s="950">
        <v>8</v>
      </c>
      <c r="B23" s="950"/>
      <c r="C23" s="959" t="s">
        <v>1229</v>
      </c>
      <c r="D23" s="945" t="s">
        <v>1226</v>
      </c>
      <c r="E23" s="945"/>
      <c r="F23" s="945">
        <v>2023</v>
      </c>
      <c r="G23" s="945"/>
      <c r="H23" s="955">
        <f>H14+H21</f>
        <v>-12.957300000000004</v>
      </c>
      <c r="I23" s="949"/>
      <c r="J23" s="955">
        <f>J14+J21</f>
        <v>-0.31771618999999962</v>
      </c>
      <c r="K23" s="949"/>
      <c r="L23" s="955">
        <f>L14+L21</f>
        <v>-13.275016190000002</v>
      </c>
      <c r="V23" s="958"/>
    </row>
    <row r="24" spans="1:22">
      <c r="A24" s="950"/>
      <c r="B24" s="950"/>
      <c r="C24" s="959"/>
      <c r="D24" s="945"/>
      <c r="E24" s="945"/>
      <c r="F24" s="945"/>
      <c r="G24" s="945"/>
      <c r="H24" s="951"/>
      <c r="I24" s="951"/>
      <c r="J24" s="951"/>
      <c r="K24" s="951"/>
      <c r="L24" s="951"/>
    </row>
    <row r="25" spans="1:22">
      <c r="A25" s="950">
        <f>A23+1</f>
        <v>9</v>
      </c>
      <c r="B25" s="950"/>
      <c r="C25" s="946" t="s">
        <v>1230</v>
      </c>
      <c r="D25" s="945" t="s">
        <v>1231</v>
      </c>
      <c r="E25" s="945"/>
      <c r="F25" s="945">
        <v>2020</v>
      </c>
      <c r="G25" s="945"/>
      <c r="H25" s="953">
        <v>0</v>
      </c>
      <c r="I25" s="953"/>
      <c r="J25" s="953">
        <v>0</v>
      </c>
      <c r="K25" s="953"/>
      <c r="L25" s="953">
        <f>SUM(H25:J25)</f>
        <v>0</v>
      </c>
    </row>
    <row r="26" spans="1:22">
      <c r="A26" s="950">
        <f>A25+1</f>
        <v>10</v>
      </c>
      <c r="B26" s="950"/>
      <c r="C26" s="946" t="s">
        <v>1230</v>
      </c>
      <c r="D26" s="945" t="s">
        <v>1231</v>
      </c>
      <c r="E26" s="945"/>
      <c r="F26" s="945">
        <v>2021</v>
      </c>
      <c r="G26" s="945"/>
      <c r="H26" s="953">
        <v>0</v>
      </c>
      <c r="I26" s="953"/>
      <c r="J26" s="953">
        <v>0</v>
      </c>
      <c r="K26" s="953"/>
      <c r="L26" s="953">
        <f>SUM(H26:J26)</f>
        <v>0</v>
      </c>
    </row>
    <row r="27" spans="1:22">
      <c r="A27" s="950">
        <f>A26+1</f>
        <v>11</v>
      </c>
      <c r="B27" s="950"/>
      <c r="C27" s="946" t="s">
        <v>1230</v>
      </c>
      <c r="D27" s="945" t="s">
        <v>1231</v>
      </c>
      <c r="E27" s="945"/>
      <c r="F27" s="945">
        <v>2022</v>
      </c>
      <c r="G27" s="945"/>
      <c r="H27" s="953">
        <v>0</v>
      </c>
      <c r="I27" s="953"/>
      <c r="J27" s="953">
        <v>0</v>
      </c>
      <c r="K27" s="953"/>
      <c r="L27" s="953">
        <f>SUM(H27:J27)</f>
        <v>0</v>
      </c>
    </row>
    <row r="28" spans="1:22">
      <c r="A28" s="950">
        <f>A27+1</f>
        <v>12</v>
      </c>
      <c r="B28" s="950"/>
      <c r="C28" s="946" t="s">
        <v>1230</v>
      </c>
      <c r="D28" s="945" t="s">
        <v>1231</v>
      </c>
      <c r="E28" s="945"/>
      <c r="F28" s="945">
        <v>2023</v>
      </c>
      <c r="G28" s="945"/>
      <c r="H28" s="953">
        <v>0</v>
      </c>
      <c r="I28" s="953"/>
      <c r="J28" s="953">
        <v>0</v>
      </c>
      <c r="K28" s="953"/>
      <c r="L28" s="953">
        <f>SUM(H28:J28)</f>
        <v>0</v>
      </c>
    </row>
    <row r="29" spans="1:22">
      <c r="A29" s="950">
        <f>A28+1</f>
        <v>13</v>
      </c>
      <c r="B29" s="950"/>
      <c r="C29" s="946" t="s">
        <v>1228</v>
      </c>
      <c r="D29" s="945"/>
      <c r="E29" s="945"/>
      <c r="F29" s="945"/>
      <c r="G29" s="945"/>
      <c r="H29" s="957">
        <f>SUM(H25:H28)</f>
        <v>0</v>
      </c>
      <c r="I29" s="949"/>
      <c r="J29" s="957">
        <f>SUM(J25:J28)</f>
        <v>0</v>
      </c>
      <c r="K29" s="949"/>
      <c r="L29" s="957">
        <f>SUM(L25:L28)</f>
        <v>0</v>
      </c>
    </row>
    <row r="30" spans="1:22">
      <c r="A30" s="950"/>
      <c r="B30" s="950"/>
      <c r="C30" s="946"/>
      <c r="D30" s="945"/>
      <c r="E30" s="945"/>
      <c r="F30" s="945"/>
      <c r="G30" s="945"/>
      <c r="H30" s="951"/>
      <c r="I30" s="951"/>
      <c r="J30" s="951"/>
      <c r="K30" s="951"/>
      <c r="L30" s="951"/>
    </row>
    <row r="31" spans="1:22">
      <c r="A31" s="950">
        <f>A29+1</f>
        <v>14</v>
      </c>
      <c r="B31" s="950"/>
      <c r="C31" s="946" t="s">
        <v>1232</v>
      </c>
      <c r="D31" s="945" t="s">
        <v>1233</v>
      </c>
      <c r="E31" s="945"/>
      <c r="F31" s="945">
        <v>2020</v>
      </c>
      <c r="G31" s="945"/>
      <c r="H31" s="949">
        <f>-254/1000</f>
        <v>-0.254</v>
      </c>
      <c r="I31" s="949"/>
      <c r="J31" s="949">
        <f>-18.62146/1000</f>
        <v>-1.8621459999999999E-2</v>
      </c>
      <c r="K31" s="949"/>
      <c r="L31" s="949">
        <f>SUM(H31:J31)</f>
        <v>-0.27262145999999998</v>
      </c>
    </row>
    <row r="32" spans="1:22">
      <c r="A32" s="950">
        <f>A31+1</f>
        <v>15</v>
      </c>
      <c r="B32" s="950"/>
      <c r="C32" s="946" t="s">
        <v>1232</v>
      </c>
      <c r="D32" s="945" t="s">
        <v>1233</v>
      </c>
      <c r="E32" s="945"/>
      <c r="F32" s="945">
        <v>2021</v>
      </c>
      <c r="G32" s="945"/>
      <c r="H32" s="949">
        <f>175.5/1000</f>
        <v>0.17549999999999999</v>
      </c>
      <c r="I32" s="949"/>
      <c r="J32" s="949">
        <f>12.70566/1000</f>
        <v>1.2705660000000001E-2</v>
      </c>
      <c r="K32" s="949"/>
      <c r="L32" s="949">
        <f>SUM(H32:J32)</f>
        <v>0.18820566</v>
      </c>
    </row>
    <row r="33" spans="1:22">
      <c r="A33" s="950">
        <f>A32+1</f>
        <v>16</v>
      </c>
      <c r="B33" s="950"/>
      <c r="C33" s="946" t="s">
        <v>1232</v>
      </c>
      <c r="D33" s="945" t="s">
        <v>1233</v>
      </c>
      <c r="E33" s="945"/>
      <c r="F33" s="945">
        <v>2022</v>
      </c>
      <c r="G33" s="945"/>
      <c r="H33" s="949">
        <f>-4830.24292934561/1000</f>
        <v>-4.8302429293456095</v>
      </c>
      <c r="I33" s="949"/>
      <c r="J33" s="949">
        <f>-352.20761/1000</f>
        <v>-0.35220761</v>
      </c>
      <c r="K33" s="949"/>
      <c r="L33" s="949">
        <f>SUM(H33:J33)</f>
        <v>-5.1824505393456093</v>
      </c>
    </row>
    <row r="34" spans="1:22">
      <c r="A34" s="950">
        <f>A33+1</f>
        <v>17</v>
      </c>
      <c r="B34" s="950"/>
      <c r="C34" s="946" t="s">
        <v>1232</v>
      </c>
      <c r="D34" s="945" t="s">
        <v>1233</v>
      </c>
      <c r="E34" s="945"/>
      <c r="F34" s="945">
        <v>2023</v>
      </c>
      <c r="G34" s="945"/>
      <c r="H34" s="949">
        <f>6939.88981011514/1000</f>
        <v>6.9398898101151403</v>
      </c>
      <c r="I34" s="949"/>
      <c r="J34" s="949">
        <f>110.41491/1000</f>
        <v>0.11041491</v>
      </c>
      <c r="K34" s="949"/>
      <c r="L34" s="949">
        <f>SUM(H34:J34)</f>
        <v>7.0503047201151405</v>
      </c>
    </row>
    <row r="35" spans="1:22">
      <c r="A35" s="950">
        <f>A34+1</f>
        <v>18</v>
      </c>
      <c r="B35" s="950"/>
      <c r="C35" s="946" t="s">
        <v>1228</v>
      </c>
      <c r="D35" s="945"/>
      <c r="E35" s="945"/>
      <c r="F35" s="945"/>
      <c r="G35" s="945"/>
      <c r="H35" s="955">
        <f>SUM(H31:H34)</f>
        <v>2.0311468807695308</v>
      </c>
      <c r="I35" s="949"/>
      <c r="J35" s="955">
        <f>SUM(J31:J34)</f>
        <v>-0.24770850000000003</v>
      </c>
      <c r="K35" s="949"/>
      <c r="L35" s="955">
        <f>SUM(L31:L34)</f>
        <v>1.7834383807695309</v>
      </c>
    </row>
    <row r="36" spans="1:22">
      <c r="A36" s="950"/>
      <c r="B36" s="950"/>
      <c r="C36" s="946"/>
      <c r="D36" s="945"/>
      <c r="E36" s="945"/>
      <c r="F36" s="945"/>
      <c r="G36" s="945"/>
      <c r="H36" s="952"/>
      <c r="I36" s="952"/>
      <c r="J36" s="952"/>
      <c r="K36" s="952"/>
      <c r="L36" s="952"/>
    </row>
    <row r="37" spans="1:22">
      <c r="A37" s="950">
        <f>A35+1</f>
        <v>19</v>
      </c>
      <c r="B37" s="950"/>
      <c r="C37" s="946" t="s">
        <v>1234</v>
      </c>
      <c r="D37" s="945" t="s">
        <v>1235</v>
      </c>
      <c r="E37" s="945"/>
      <c r="F37" s="945">
        <v>2019</v>
      </c>
      <c r="G37" s="945"/>
      <c r="H37" s="949">
        <f>-6869.6/1000</f>
        <v>-6.8696000000000002</v>
      </c>
      <c r="I37" s="949"/>
      <c r="J37" s="949">
        <f>-611.88758/1000</f>
        <v>-0.61188757999999999</v>
      </c>
      <c r="K37" s="949"/>
      <c r="L37" s="949">
        <f>SUM(H37:J37)</f>
        <v>-7.4814875800000005</v>
      </c>
    </row>
    <row r="38" spans="1:22">
      <c r="A38" s="950">
        <f>A37+1</f>
        <v>20</v>
      </c>
      <c r="B38" s="950"/>
      <c r="C38" s="946" t="s">
        <v>1234</v>
      </c>
      <c r="D38" s="945" t="s">
        <v>1235</v>
      </c>
      <c r="E38" s="945"/>
      <c r="F38" s="945">
        <v>2020</v>
      </c>
      <c r="G38" s="945"/>
      <c r="H38" s="949">
        <f>-5615.4/1000</f>
        <v>-5.6153999999999993</v>
      </c>
      <c r="I38" s="949"/>
      <c r="J38" s="949">
        <f>-431.75006/1000</f>
        <v>-0.43175006000000005</v>
      </c>
      <c r="K38" s="949"/>
      <c r="L38" s="949">
        <f>SUM(H38:J38)</f>
        <v>-6.047150059999999</v>
      </c>
    </row>
    <row r="39" spans="1:22">
      <c r="A39" s="950">
        <f>A38+1</f>
        <v>21</v>
      </c>
      <c r="B39" s="950"/>
      <c r="C39" s="946" t="s">
        <v>1234</v>
      </c>
      <c r="D39" s="945" t="s">
        <v>1235</v>
      </c>
      <c r="E39" s="945"/>
      <c r="F39" s="945">
        <v>2021</v>
      </c>
      <c r="G39" s="945"/>
      <c r="H39" s="949">
        <f>-14353.4/1000</f>
        <v>-14.353399999999999</v>
      </c>
      <c r="I39" s="949"/>
      <c r="J39" s="949">
        <f>-1015.92495/1000</f>
        <v>-1.01592495</v>
      </c>
      <c r="K39" s="949"/>
      <c r="L39" s="949">
        <f>SUM(H39:J39)</f>
        <v>-15.369324949999999</v>
      </c>
    </row>
    <row r="40" spans="1:22">
      <c r="A40" s="950">
        <f>A39+1</f>
        <v>22</v>
      </c>
      <c r="B40" s="950"/>
      <c r="C40" s="946" t="s">
        <v>1234</v>
      </c>
      <c r="D40" s="945" t="s">
        <v>1235</v>
      </c>
      <c r="E40" s="945"/>
      <c r="F40" s="945">
        <v>2022</v>
      </c>
      <c r="G40" s="945"/>
      <c r="H40" s="949">
        <f>-731.424649369693/1000</f>
        <v>-0.73142464936969309</v>
      </c>
      <c r="I40" s="949"/>
      <c r="J40" s="949">
        <f>-104.56192/1000</f>
        <v>-0.10456192</v>
      </c>
      <c r="K40" s="949"/>
      <c r="L40" s="949">
        <f>SUM(H40:J40)</f>
        <v>-0.83598656936969307</v>
      </c>
    </row>
    <row r="41" spans="1:22">
      <c r="A41" s="950">
        <f>A40+1</f>
        <v>23</v>
      </c>
      <c r="B41" s="950"/>
      <c r="C41" s="946" t="s">
        <v>1234</v>
      </c>
      <c r="D41" s="945" t="s">
        <v>1235</v>
      </c>
      <c r="E41" s="945"/>
      <c r="F41" s="945">
        <v>2023</v>
      </c>
      <c r="G41" s="945"/>
      <c r="H41" s="949">
        <f>1173.8915798336/1000</f>
        <v>1.1738915798336</v>
      </c>
      <c r="I41" s="949"/>
      <c r="J41" s="949">
        <f>27.07357/1000</f>
        <v>2.7073570000000002E-2</v>
      </c>
      <c r="K41" s="949"/>
      <c r="L41" s="949">
        <f>SUM(H41:J41)</f>
        <v>1.2009651498336</v>
      </c>
    </row>
    <row r="42" spans="1:22">
      <c r="A42" s="950">
        <f>A41+1</f>
        <v>24</v>
      </c>
      <c r="B42" s="950"/>
      <c r="C42" s="946" t="s">
        <v>1228</v>
      </c>
      <c r="D42" s="945"/>
      <c r="E42" s="945"/>
      <c r="F42" s="945"/>
      <c r="G42" s="945"/>
      <c r="H42" s="955">
        <f>SUM(H37:H41)</f>
        <v>-26.395933069536092</v>
      </c>
      <c r="I42" s="949"/>
      <c r="J42" s="955">
        <f>SUM(J37:J41)</f>
        <v>-2.13705094</v>
      </c>
      <c r="K42" s="949"/>
      <c r="L42" s="955">
        <f>SUM(L37:L41)</f>
        <v>-28.532984009536094</v>
      </c>
    </row>
    <row r="43" spans="1:22">
      <c r="A43" s="950"/>
      <c r="B43" s="950"/>
      <c r="C43" s="954"/>
      <c r="D43" s="945"/>
      <c r="E43" s="945"/>
      <c r="F43" s="945"/>
      <c r="G43" s="945"/>
      <c r="H43" s="951"/>
      <c r="I43" s="951"/>
      <c r="J43" s="951"/>
      <c r="K43" s="951"/>
      <c r="L43" s="951"/>
    </row>
    <row r="44" spans="1:22">
      <c r="A44" s="950">
        <v>25</v>
      </c>
      <c r="B44" s="950"/>
      <c r="C44" s="959" t="s">
        <v>1236</v>
      </c>
      <c r="D44" s="945" t="s">
        <v>1237</v>
      </c>
      <c r="E44" s="945"/>
      <c r="F44" s="945">
        <v>2023</v>
      </c>
      <c r="G44" s="945"/>
      <c r="H44" s="955">
        <f>SUM(H42,H35)</f>
        <v>-24.364786188766562</v>
      </c>
      <c r="I44" s="949"/>
      <c r="J44" s="955">
        <f>SUM(J42,J35)</f>
        <v>-2.3847594399999998</v>
      </c>
      <c r="K44" s="949"/>
      <c r="L44" s="955">
        <f>SUM(L42,L35)</f>
        <v>-26.749545628766562</v>
      </c>
      <c r="V44" s="958"/>
    </row>
    <row r="45" spans="1:22">
      <c r="A45" s="950"/>
      <c r="B45" s="950"/>
      <c r="C45" s="954"/>
      <c r="D45" s="945"/>
      <c r="E45" s="945"/>
      <c r="F45" s="945"/>
      <c r="G45" s="945"/>
      <c r="H45" s="951"/>
      <c r="I45" s="951"/>
      <c r="J45" s="951"/>
      <c r="K45" s="951"/>
      <c r="L45" s="951"/>
    </row>
    <row r="46" spans="1:22">
      <c r="A46" s="950">
        <f>A44+1</f>
        <v>26</v>
      </c>
      <c r="B46" s="950"/>
      <c r="C46" s="946" t="s">
        <v>1238</v>
      </c>
      <c r="D46" s="945" t="s">
        <v>1239</v>
      </c>
      <c r="E46" s="945"/>
      <c r="F46" s="945">
        <v>2022</v>
      </c>
      <c r="G46" s="945"/>
      <c r="H46" s="953">
        <v>0</v>
      </c>
      <c r="I46" s="953"/>
      <c r="J46" s="953">
        <v>0</v>
      </c>
      <c r="K46" s="953"/>
      <c r="L46" s="953">
        <f>SUM(H46:J46)</f>
        <v>0</v>
      </c>
    </row>
    <row r="47" spans="1:22">
      <c r="A47" s="950">
        <f>A46+1</f>
        <v>27</v>
      </c>
      <c r="B47" s="950"/>
      <c r="C47" s="946" t="s">
        <v>1238</v>
      </c>
      <c r="D47" s="945" t="s">
        <v>1239</v>
      </c>
      <c r="E47" s="945"/>
      <c r="F47" s="945">
        <v>2023</v>
      </c>
      <c r="G47" s="945"/>
      <c r="H47" s="953">
        <v>0</v>
      </c>
      <c r="I47" s="953"/>
      <c r="J47" s="953">
        <v>0</v>
      </c>
      <c r="K47" s="953"/>
      <c r="L47" s="953">
        <f>SUM(H47:J47)</f>
        <v>0</v>
      </c>
    </row>
    <row r="48" spans="1:22">
      <c r="A48" s="950">
        <f>A47+1</f>
        <v>28</v>
      </c>
      <c r="B48" s="950"/>
      <c r="C48" s="946" t="s">
        <v>1228</v>
      </c>
      <c r="D48" s="945"/>
      <c r="E48" s="945"/>
      <c r="F48" s="945"/>
      <c r="G48" s="945"/>
      <c r="H48" s="957">
        <v>0</v>
      </c>
      <c r="I48" s="953"/>
      <c r="J48" s="957">
        <v>0</v>
      </c>
      <c r="K48" s="953"/>
      <c r="L48" s="957">
        <v>0</v>
      </c>
    </row>
    <row r="49" spans="1:12">
      <c r="A49" s="950"/>
      <c r="B49" s="950"/>
      <c r="C49" s="946"/>
      <c r="D49" s="945"/>
      <c r="E49" s="945"/>
      <c r="F49" s="945"/>
      <c r="G49" s="945"/>
      <c r="H49" s="952"/>
      <c r="I49" s="952"/>
      <c r="J49" s="952"/>
      <c r="K49" s="952"/>
      <c r="L49" s="952"/>
    </row>
    <row r="50" spans="1:12">
      <c r="A50" s="950">
        <f>A48+1</f>
        <v>29</v>
      </c>
      <c r="B50" s="950"/>
      <c r="C50" s="946" t="s">
        <v>1240</v>
      </c>
      <c r="D50" s="945" t="s">
        <v>1241</v>
      </c>
      <c r="E50" s="945"/>
      <c r="F50" s="945">
        <v>2020</v>
      </c>
      <c r="G50" s="945"/>
      <c r="H50" s="949">
        <f>1377.5/1000</f>
        <v>1.3774999999999999</v>
      </c>
      <c r="I50" s="949"/>
      <c r="J50" s="949">
        <f>103.72575/1000</f>
        <v>0.10372575000000001</v>
      </c>
      <c r="K50" s="949"/>
      <c r="L50" s="949">
        <f>SUM(H50:J50)</f>
        <v>1.4812257499999999</v>
      </c>
    </row>
    <row r="51" spans="1:12">
      <c r="A51" s="950">
        <f>A50+1</f>
        <v>30</v>
      </c>
      <c r="B51" s="950"/>
      <c r="C51" s="946" t="s">
        <v>1240</v>
      </c>
      <c r="D51" s="945" t="s">
        <v>1241</v>
      </c>
      <c r="E51" s="945"/>
      <c r="F51" s="945">
        <v>2021</v>
      </c>
      <c r="G51" s="945"/>
      <c r="H51" s="949">
        <f>34.3/1000</f>
        <v>3.4299999999999997E-2</v>
      </c>
      <c r="I51" s="949"/>
      <c r="J51" s="949">
        <f>2.40276/1000</f>
        <v>2.4027599999999999E-3</v>
      </c>
      <c r="K51" s="949"/>
      <c r="L51" s="956">
        <f>SUM(H51:J51)</f>
        <v>3.6702759999999994E-2</v>
      </c>
    </row>
    <row r="52" spans="1:12">
      <c r="A52" s="950">
        <f>A51+1</f>
        <v>31</v>
      </c>
      <c r="B52" s="950"/>
      <c r="C52" s="946" t="s">
        <v>1228</v>
      </c>
      <c r="D52" s="945"/>
      <c r="E52" s="945"/>
      <c r="F52" s="945"/>
      <c r="G52" s="945"/>
      <c r="H52" s="955">
        <f>SUM(H50:H51)</f>
        <v>1.4117999999999999</v>
      </c>
      <c r="I52" s="949"/>
      <c r="J52" s="955">
        <f>SUM(J50:J51)</f>
        <v>0.10612851000000001</v>
      </c>
      <c r="K52" s="949"/>
      <c r="L52" s="955">
        <f>SUM(L50:L51)</f>
        <v>1.51792851</v>
      </c>
    </row>
    <row r="53" spans="1:12">
      <c r="A53" s="950"/>
      <c r="B53" s="950"/>
      <c r="C53" s="954"/>
      <c r="D53" s="945"/>
      <c r="E53" s="945"/>
      <c r="F53" s="945"/>
      <c r="G53" s="945"/>
      <c r="H53" s="952"/>
      <c r="I53" s="952"/>
      <c r="J53" s="952"/>
      <c r="K53" s="952"/>
      <c r="L53" s="952"/>
    </row>
    <row r="54" spans="1:12">
      <c r="A54" s="950">
        <f>A52+1</f>
        <v>32</v>
      </c>
      <c r="B54" s="950"/>
      <c r="C54" s="252" t="s">
        <v>1242</v>
      </c>
      <c r="D54" s="945" t="s">
        <v>1243</v>
      </c>
      <c r="E54" s="945"/>
      <c r="F54" s="945">
        <v>2023</v>
      </c>
      <c r="G54" s="945"/>
      <c r="H54" s="949">
        <f>39922.2/1000</f>
        <v>39.922199999999997</v>
      </c>
      <c r="I54" s="949"/>
      <c r="J54" s="953">
        <v>0</v>
      </c>
      <c r="K54" s="953"/>
      <c r="L54" s="949">
        <f>SUM(H54:J54)</f>
        <v>39.922199999999997</v>
      </c>
    </row>
    <row r="55" spans="1:12">
      <c r="A55" s="950"/>
      <c r="B55" s="950"/>
      <c r="D55" s="945"/>
      <c r="E55" s="945"/>
      <c r="F55" s="945"/>
      <c r="G55" s="945"/>
      <c r="H55" s="952"/>
      <c r="I55" s="952"/>
      <c r="J55" s="952"/>
      <c r="K55" s="952"/>
      <c r="L55" s="952"/>
    </row>
    <row r="56" spans="1:12">
      <c r="A56" s="950">
        <f>A54+1</f>
        <v>33</v>
      </c>
      <c r="B56" s="950"/>
      <c r="C56" s="946" t="s">
        <v>1244</v>
      </c>
      <c r="D56" s="945"/>
      <c r="E56" s="945"/>
      <c r="F56" s="945">
        <v>2023</v>
      </c>
      <c r="G56" s="945"/>
      <c r="H56" s="949">
        <f>-254560.5/1000</f>
        <v>-254.56049999999999</v>
      </c>
      <c r="I56" s="949"/>
      <c r="J56" s="953">
        <v>0</v>
      </c>
      <c r="K56" s="953"/>
      <c r="L56" s="949">
        <f>SUM(H56:J56)</f>
        <v>-254.56049999999999</v>
      </c>
    </row>
    <row r="57" spans="1:12">
      <c r="A57" s="950"/>
      <c r="B57" s="950"/>
      <c r="C57" s="946"/>
      <c r="D57" s="945"/>
      <c r="E57" s="945"/>
      <c r="F57" s="945"/>
      <c r="G57" s="945"/>
      <c r="H57" s="952"/>
      <c r="I57" s="952"/>
      <c r="J57" s="952"/>
      <c r="K57" s="952"/>
      <c r="L57" s="951"/>
    </row>
    <row r="58" spans="1:12" ht="12.95" thickBot="1">
      <c r="A58" s="950">
        <f>A56+1</f>
        <v>34</v>
      </c>
      <c r="B58" s="950"/>
      <c r="C58" s="946" t="s">
        <v>1245</v>
      </c>
      <c r="D58" s="945"/>
      <c r="E58" s="945"/>
      <c r="F58" s="945"/>
      <c r="G58" s="945"/>
      <c r="H58" s="948">
        <f>H14+H21+H29+H42+H35+H48+H54+H56+H52</f>
        <v>-250.54858618876656</v>
      </c>
      <c r="I58" s="949"/>
      <c r="J58" s="948">
        <f>J14+J21+J29+J42+J35+J48+J54+J56+J52</f>
        <v>-2.5963471199999995</v>
      </c>
      <c r="K58" s="949"/>
      <c r="L58" s="948">
        <f>L14+L21+L29+L42+L35+L48+L54+L56+L52</f>
        <v>-253.14493330876655</v>
      </c>
    </row>
    <row r="59" spans="1:12" ht="12.95" thickTop="1"/>
    <row r="61" spans="1:12">
      <c r="A61" s="737" t="s">
        <v>849</v>
      </c>
      <c r="B61" s="252"/>
      <c r="D61" s="252"/>
      <c r="E61" s="252"/>
    </row>
    <row r="62" spans="1:12">
      <c r="A62" s="947" t="s">
        <v>40</v>
      </c>
      <c r="B62" s="252"/>
      <c r="C62" s="1192" t="s">
        <v>1246</v>
      </c>
      <c r="D62" s="1192"/>
      <c r="E62" s="1192"/>
    </row>
    <row r="65" spans="3:12">
      <c r="C65" s="946"/>
      <c r="D65" s="945"/>
      <c r="E65" s="945"/>
      <c r="F65" s="945"/>
      <c r="G65" s="945"/>
      <c r="H65" s="944"/>
      <c r="I65" s="944"/>
      <c r="J65" s="944"/>
      <c r="K65" s="944"/>
      <c r="L65" s="944"/>
    </row>
  </sheetData>
  <mergeCells count="3">
    <mergeCell ref="A6:L6"/>
    <mergeCell ref="A7:L7"/>
    <mergeCell ref="C62:E62"/>
  </mergeCells>
  <pageMargins left="0.7" right="0.7" top="0.75" bottom="0.75" header="0.3" footer="0.3"/>
  <pageSetup scale="80" orientation="portrait" r:id="rId1"/>
  <headerFooter>
    <oddHeader>&amp;R&amp;"Arial,Regular"&amp;10Filed: 2024-02-16
EB-2022-0200
Rate Order
Working Papers
Schedule 27
Page &amp;P of 6</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C4E1-843D-47B7-ADA2-1BB56566C0AF}">
  <dimension ref="A6:M60"/>
  <sheetViews>
    <sheetView view="pageLayout" zoomScaleNormal="70" zoomScaleSheetLayoutView="100" workbookViewId="0">
      <selection activeCell="A6" sqref="A6:J6"/>
    </sheetView>
  </sheetViews>
  <sheetFormatPr defaultColWidth="8" defaultRowHeight="12.6"/>
  <cols>
    <col min="1" max="1" width="5.75" style="310" customWidth="1"/>
    <col min="2" max="2" width="1.5" style="252" customWidth="1"/>
    <col min="3" max="3" width="44.75" style="252" customWidth="1"/>
    <col min="4" max="4" width="10.75" style="252" customWidth="1"/>
    <col min="5" max="5" width="2" style="252" customWidth="1"/>
    <col min="6" max="6" width="9.625" style="252" customWidth="1"/>
    <col min="7" max="7" width="2" style="252" customWidth="1"/>
    <col min="8" max="8" width="11.125" style="252" customWidth="1"/>
    <col min="9" max="9" width="2" style="252" customWidth="1"/>
    <col min="10" max="10" width="12.75" style="252" customWidth="1"/>
    <col min="11" max="16384" width="8" style="252"/>
  </cols>
  <sheetData>
    <row r="6" spans="1:10">
      <c r="A6" s="1191" t="s">
        <v>1219</v>
      </c>
      <c r="B6" s="1191"/>
      <c r="C6" s="1191"/>
      <c r="D6" s="1191"/>
      <c r="E6" s="1191"/>
      <c r="F6" s="1191"/>
      <c r="G6" s="1191"/>
      <c r="H6" s="1191"/>
      <c r="I6" s="1191"/>
      <c r="J6" s="1191"/>
    </row>
    <row r="7" spans="1:10">
      <c r="A7" s="1191" t="s">
        <v>1247</v>
      </c>
      <c r="B7" s="1191"/>
      <c r="C7" s="1191"/>
      <c r="D7" s="1191"/>
      <c r="E7" s="1191"/>
      <c r="F7" s="1191"/>
      <c r="G7" s="1191"/>
      <c r="H7" s="1191"/>
      <c r="I7" s="1191"/>
      <c r="J7" s="1191"/>
    </row>
    <row r="9" spans="1:10">
      <c r="A9" s="950" t="s">
        <v>56</v>
      </c>
      <c r="B9" s="950"/>
      <c r="C9" s="950"/>
      <c r="D9" s="959"/>
    </row>
    <row r="10" spans="1:10">
      <c r="A10" s="966" t="s">
        <v>57</v>
      </c>
      <c r="B10" s="950"/>
      <c r="C10" s="965" t="s">
        <v>5</v>
      </c>
      <c r="D10" s="964" t="s">
        <v>1221</v>
      </c>
      <c r="F10" s="963" t="s">
        <v>1223</v>
      </c>
      <c r="G10" s="960"/>
      <c r="H10" s="963" t="s">
        <v>1224</v>
      </c>
      <c r="I10" s="960"/>
      <c r="J10" s="963" t="s">
        <v>887</v>
      </c>
    </row>
    <row r="11" spans="1:10">
      <c r="F11" s="960" t="s">
        <v>9</v>
      </c>
      <c r="G11" s="960"/>
      <c r="H11" s="960" t="s">
        <v>10</v>
      </c>
      <c r="I11" s="960"/>
      <c r="J11" s="962" t="s">
        <v>11</v>
      </c>
    </row>
    <row r="12" spans="1:10">
      <c r="A12" s="950"/>
      <c r="B12" s="950"/>
      <c r="D12" s="946"/>
    </row>
    <row r="13" spans="1:10">
      <c r="A13" s="950"/>
      <c r="B13" s="950"/>
      <c r="C13" s="976" t="s">
        <v>125</v>
      </c>
      <c r="D13" s="946"/>
    </row>
    <row r="14" spans="1:10">
      <c r="A14" s="950"/>
      <c r="B14" s="950"/>
      <c r="C14" s="946" t="s">
        <v>1248</v>
      </c>
      <c r="D14" s="946"/>
    </row>
    <row r="15" spans="1:10">
      <c r="A15" s="950">
        <v>1</v>
      </c>
      <c r="B15" s="950"/>
      <c r="C15" s="975" t="s">
        <v>1249</v>
      </c>
      <c r="D15" s="945" t="s">
        <v>1226</v>
      </c>
      <c r="F15" s="949">
        <v>7.899</v>
      </c>
      <c r="G15" s="949"/>
      <c r="H15" s="949">
        <v>0.19322471342114411</v>
      </c>
      <c r="I15" s="949"/>
      <c r="J15" s="970">
        <f t="shared" ref="J15:J20" si="0">F15+H15</f>
        <v>8.0922247134211442</v>
      </c>
    </row>
    <row r="16" spans="1:10">
      <c r="A16" s="950">
        <v>2</v>
      </c>
      <c r="B16" s="950"/>
      <c r="C16" s="975" t="s">
        <v>1250</v>
      </c>
      <c r="D16" s="945" t="s">
        <v>1226</v>
      </c>
      <c r="F16" s="949">
        <v>2.36</v>
      </c>
      <c r="G16" s="949"/>
      <c r="H16" s="949">
        <v>5.7730133393328276E-2</v>
      </c>
      <c r="I16" s="949"/>
      <c r="J16" s="970">
        <f t="shared" si="0"/>
        <v>2.4177301333933281</v>
      </c>
    </row>
    <row r="17" spans="1:10">
      <c r="A17" s="950">
        <v>3</v>
      </c>
      <c r="B17" s="950"/>
      <c r="C17" s="975" t="s">
        <v>1251</v>
      </c>
      <c r="D17" s="945" t="s">
        <v>1226</v>
      </c>
      <c r="F17" s="953">
        <v>0</v>
      </c>
      <c r="G17" s="949"/>
      <c r="H17" s="953">
        <v>0</v>
      </c>
      <c r="I17" s="949"/>
      <c r="J17" s="953">
        <f t="shared" si="0"/>
        <v>0</v>
      </c>
    </row>
    <row r="18" spans="1:10">
      <c r="A18" s="950">
        <v>4</v>
      </c>
      <c r="B18" s="950"/>
      <c r="C18" s="975" t="s">
        <v>1252</v>
      </c>
      <c r="D18" s="945" t="s">
        <v>1226</v>
      </c>
      <c r="F18" s="949">
        <v>22.626999999999999</v>
      </c>
      <c r="G18" s="949"/>
      <c r="H18" s="949">
        <v>0.55349988486899959</v>
      </c>
      <c r="I18" s="949"/>
      <c r="J18" s="970">
        <f t="shared" si="0"/>
        <v>23.180499884868997</v>
      </c>
    </row>
    <row r="19" spans="1:10">
      <c r="A19" s="950">
        <v>5</v>
      </c>
      <c r="B19" s="950"/>
      <c r="C19" s="975" t="s">
        <v>1253</v>
      </c>
      <c r="D19" s="945" t="s">
        <v>1226</v>
      </c>
      <c r="F19" s="949">
        <v>64.900000000000006</v>
      </c>
      <c r="G19" s="949"/>
      <c r="H19" s="949">
        <v>1.5875786683165281</v>
      </c>
      <c r="I19" s="949"/>
      <c r="J19" s="970">
        <f t="shared" si="0"/>
        <v>66.48757866831653</v>
      </c>
    </row>
    <row r="20" spans="1:10">
      <c r="A20" s="950">
        <v>6</v>
      </c>
      <c r="B20" s="950"/>
      <c r="C20" s="975" t="s">
        <v>1254</v>
      </c>
      <c r="D20" s="945" t="s">
        <v>1226</v>
      </c>
      <c r="F20" s="953">
        <v>0</v>
      </c>
      <c r="G20" s="949"/>
      <c r="H20" s="953">
        <v>0</v>
      </c>
      <c r="I20" s="949"/>
      <c r="J20" s="953">
        <f t="shared" si="0"/>
        <v>0</v>
      </c>
    </row>
    <row r="21" spans="1:10">
      <c r="A21" s="950">
        <v>7</v>
      </c>
      <c r="C21" s="946" t="s">
        <v>1255</v>
      </c>
      <c r="D21" s="945"/>
      <c r="F21" s="955">
        <f>SUM(F15:F20)</f>
        <v>97.786000000000001</v>
      </c>
      <c r="G21" s="949"/>
      <c r="H21" s="955">
        <f>SUM(H15:H20)</f>
        <v>2.3920333999999999</v>
      </c>
      <c r="I21" s="949"/>
      <c r="J21" s="1041">
        <f>SUM(J15:J20)</f>
        <v>100.1780334</v>
      </c>
    </row>
    <row r="22" spans="1:10">
      <c r="F22" s="314"/>
      <c r="G22" s="314"/>
      <c r="H22" s="314"/>
      <c r="I22" s="314"/>
      <c r="J22" s="970"/>
    </row>
    <row r="23" spans="1:10">
      <c r="C23" s="946" t="s">
        <v>1256</v>
      </c>
      <c r="D23" s="945"/>
      <c r="E23" s="945"/>
      <c r="F23" s="314"/>
      <c r="G23" s="314"/>
      <c r="H23" s="314"/>
      <c r="I23" s="314"/>
      <c r="J23" s="970"/>
    </row>
    <row r="24" spans="1:10">
      <c r="A24" s="310">
        <v>8</v>
      </c>
      <c r="C24" s="973" t="s">
        <v>1257</v>
      </c>
      <c r="D24" s="945" t="s">
        <v>1233</v>
      </c>
      <c r="E24" s="945"/>
      <c r="F24" s="949">
        <v>0</v>
      </c>
      <c r="G24" s="949"/>
      <c r="H24" s="949">
        <v>0</v>
      </c>
      <c r="I24" s="949"/>
      <c r="J24" s="970">
        <f>F24+H24</f>
        <v>0</v>
      </c>
    </row>
    <row r="25" spans="1:10">
      <c r="A25" s="310">
        <v>9</v>
      </c>
      <c r="C25" s="973" t="s">
        <v>1258</v>
      </c>
      <c r="D25" s="945" t="s">
        <v>1233</v>
      </c>
      <c r="E25" s="945"/>
      <c r="F25" s="949">
        <v>2</v>
      </c>
      <c r="G25" s="949"/>
      <c r="H25" s="949">
        <v>-0.24770849</v>
      </c>
      <c r="I25" s="949"/>
      <c r="J25" s="970">
        <f>F25+H25</f>
        <v>1.7522915100000001</v>
      </c>
    </row>
    <row r="26" spans="1:10">
      <c r="A26" s="310">
        <v>10</v>
      </c>
      <c r="C26" s="946" t="s">
        <v>1259</v>
      </c>
      <c r="D26" s="945"/>
      <c r="E26" s="945"/>
      <c r="F26" s="955">
        <f>SUM(F24:F25)</f>
        <v>2</v>
      </c>
      <c r="G26" s="949"/>
      <c r="H26" s="955">
        <f>SUM(H24:H25)</f>
        <v>-0.24770849</v>
      </c>
      <c r="I26" s="949"/>
      <c r="J26" s="1041">
        <f>SUM(J24:J25)</f>
        <v>1.7522915100000001</v>
      </c>
    </row>
    <row r="27" spans="1:10">
      <c r="C27" s="946"/>
      <c r="D27" s="945"/>
      <c r="E27" s="945"/>
      <c r="F27" s="949"/>
      <c r="G27" s="949"/>
      <c r="H27" s="949"/>
      <c r="I27" s="949"/>
      <c r="J27" s="949"/>
    </row>
    <row r="28" spans="1:10">
      <c r="A28" s="310">
        <v>11</v>
      </c>
      <c r="C28" s="946" t="s">
        <v>1240</v>
      </c>
      <c r="D28" s="945" t="s">
        <v>1241</v>
      </c>
      <c r="F28" s="949">
        <f>1.41178807*0.559</f>
        <v>0.78918953113000012</v>
      </c>
      <c r="G28" s="949"/>
      <c r="H28" s="972">
        <f>0.10612851*0.559</f>
        <v>5.932583709E-2</v>
      </c>
      <c r="I28" s="971"/>
      <c r="J28" s="970">
        <f>F28+H28</f>
        <v>0.84851536822000018</v>
      </c>
    </row>
    <row r="29" spans="1:10">
      <c r="F29" s="314"/>
      <c r="G29" s="314"/>
      <c r="H29" s="314"/>
      <c r="I29" s="314"/>
      <c r="J29" s="970"/>
    </row>
    <row r="30" spans="1:10">
      <c r="A30" s="310">
        <v>12</v>
      </c>
      <c r="C30" s="252" t="s">
        <v>1242</v>
      </c>
      <c r="D30" s="945" t="s">
        <v>1243</v>
      </c>
      <c r="E30" s="945"/>
      <c r="F30" s="949">
        <f>39922.2/1000</f>
        <v>39.922199999999997</v>
      </c>
      <c r="G30" s="949"/>
      <c r="H30" s="953">
        <v>0</v>
      </c>
      <c r="I30" s="953"/>
      <c r="J30" s="949">
        <f>SUM(F30:H30)</f>
        <v>39.922199999999997</v>
      </c>
    </row>
    <row r="31" spans="1:10">
      <c r="F31" s="314"/>
      <c r="G31" s="314"/>
      <c r="H31" s="314"/>
      <c r="I31" s="314"/>
      <c r="J31" s="970"/>
    </row>
    <row r="32" spans="1:10">
      <c r="A32" s="310">
        <v>13</v>
      </c>
      <c r="C32" s="946" t="s">
        <v>1244</v>
      </c>
      <c r="D32" s="945"/>
      <c r="E32" s="945"/>
      <c r="F32" s="949">
        <f>-254560.5/1000</f>
        <v>-254.56049999999999</v>
      </c>
      <c r="G32" s="949"/>
      <c r="H32" s="953">
        <v>0</v>
      </c>
      <c r="I32" s="953"/>
      <c r="J32" s="949">
        <f>SUM(F32:H32)</f>
        <v>-254.56049999999999</v>
      </c>
    </row>
    <row r="33" spans="1:13">
      <c r="F33" s="314"/>
      <c r="G33" s="314"/>
      <c r="H33" s="314"/>
      <c r="I33" s="314"/>
      <c r="J33" s="970"/>
    </row>
    <row r="34" spans="1:13" ht="12.95">
      <c r="A34" s="310">
        <v>14</v>
      </c>
      <c r="C34" s="946" t="s">
        <v>138</v>
      </c>
      <c r="D34" s="969"/>
      <c r="E34" s="969"/>
      <c r="F34" s="955">
        <f>F21+F26+F30+F32+F28</f>
        <v>-114.06311046886998</v>
      </c>
      <c r="G34" s="949"/>
      <c r="H34" s="955">
        <f>H21+H26+H30+H32+H28</f>
        <v>2.2036507470899998</v>
      </c>
      <c r="I34" s="949"/>
      <c r="J34" s="955">
        <f>J21+J26+J30+J32+J28</f>
        <v>-111.85945972177998</v>
      </c>
      <c r="M34" s="252" t="s">
        <v>168</v>
      </c>
    </row>
    <row r="35" spans="1:13">
      <c r="C35" s="252" t="s">
        <v>168</v>
      </c>
      <c r="F35" s="314"/>
      <c r="G35" s="314"/>
      <c r="H35" s="314"/>
      <c r="I35" s="314"/>
      <c r="J35" s="977"/>
    </row>
    <row r="36" spans="1:13">
      <c r="C36" s="976" t="s">
        <v>1260</v>
      </c>
      <c r="F36" s="314"/>
      <c r="G36" s="314"/>
      <c r="H36" s="314"/>
      <c r="I36" s="314"/>
      <c r="J36" s="314"/>
    </row>
    <row r="37" spans="1:13">
      <c r="C37" s="946" t="s">
        <v>1248</v>
      </c>
      <c r="F37" s="314"/>
      <c r="G37" s="314"/>
      <c r="H37" s="314"/>
      <c r="I37" s="314"/>
      <c r="J37" s="314"/>
    </row>
    <row r="38" spans="1:13">
      <c r="A38" s="310">
        <v>15</v>
      </c>
      <c r="C38" s="975" t="s">
        <v>1249</v>
      </c>
      <c r="D38" s="945" t="s">
        <v>1226</v>
      </c>
      <c r="F38" s="949">
        <f>-19.565</f>
        <v>-19.565000000000001</v>
      </c>
      <c r="G38" s="949"/>
      <c r="H38" s="949">
        <v>-0.47841329942072564</v>
      </c>
      <c r="I38" s="949"/>
      <c r="J38" s="970">
        <f t="shared" ref="J38:J43" si="1">F38+H38</f>
        <v>-20.043413299420727</v>
      </c>
    </row>
    <row r="39" spans="1:13">
      <c r="A39" s="310">
        <f t="shared" ref="A39:A44" si="2">A38+1</f>
        <v>16</v>
      </c>
      <c r="C39" s="975" t="s">
        <v>1250</v>
      </c>
      <c r="D39" s="945" t="s">
        <v>1226</v>
      </c>
      <c r="F39" s="949">
        <v>-0.82699999999999996</v>
      </c>
      <c r="G39" s="949"/>
      <c r="H39" s="949">
        <v>-2.0222223287551241E-2</v>
      </c>
      <c r="I39" s="949"/>
      <c r="J39" s="970">
        <f t="shared" si="1"/>
        <v>-0.84722222328755115</v>
      </c>
    </row>
    <row r="40" spans="1:13">
      <c r="A40" s="310">
        <f t="shared" si="2"/>
        <v>17</v>
      </c>
      <c r="C40" s="975" t="s">
        <v>1251</v>
      </c>
      <c r="D40" s="945" t="s">
        <v>1226</v>
      </c>
      <c r="F40" s="949">
        <v>-31.228999999999999</v>
      </c>
      <c r="G40" s="949"/>
      <c r="H40" s="949">
        <v>-0.76362734104829233</v>
      </c>
      <c r="I40" s="949"/>
      <c r="J40" s="970">
        <f t="shared" si="1"/>
        <v>-31.992627341048291</v>
      </c>
    </row>
    <row r="41" spans="1:13">
      <c r="A41" s="310">
        <f t="shared" si="2"/>
        <v>18</v>
      </c>
      <c r="C41" s="975" t="s">
        <v>1252</v>
      </c>
      <c r="D41" s="945" t="s">
        <v>1226</v>
      </c>
      <c r="F41" s="949">
        <v>-59.121000000000002</v>
      </c>
      <c r="G41" s="949"/>
      <c r="H41" s="949">
        <v>-1.4456566662434305</v>
      </c>
      <c r="I41" s="949"/>
      <c r="J41" s="970">
        <f t="shared" si="1"/>
        <v>-60.566656666243432</v>
      </c>
    </row>
    <row r="42" spans="1:13">
      <c r="A42" s="310">
        <f t="shared" si="2"/>
        <v>19</v>
      </c>
      <c r="C42" s="975" t="s">
        <v>1253</v>
      </c>
      <c r="D42" s="945" t="s">
        <v>1226</v>
      </c>
      <c r="F42" s="953">
        <v>0</v>
      </c>
      <c r="G42" s="949"/>
      <c r="H42" s="953">
        <v>0</v>
      </c>
      <c r="I42" s="949"/>
      <c r="J42" s="953">
        <f t="shared" si="1"/>
        <v>0</v>
      </c>
    </row>
    <row r="43" spans="1:13">
      <c r="A43" s="310">
        <f t="shared" si="2"/>
        <v>20</v>
      </c>
      <c r="C43" s="975" t="s">
        <v>1254</v>
      </c>
      <c r="D43" s="945" t="s">
        <v>1226</v>
      </c>
      <c r="F43" s="953">
        <v>0</v>
      </c>
      <c r="G43" s="949"/>
      <c r="H43" s="953">
        <v>0</v>
      </c>
      <c r="I43" s="949"/>
      <c r="J43" s="953">
        <f t="shared" si="1"/>
        <v>0</v>
      </c>
    </row>
    <row r="44" spans="1:13">
      <c r="A44" s="310">
        <f t="shared" si="2"/>
        <v>21</v>
      </c>
      <c r="C44" s="946" t="s">
        <v>1248</v>
      </c>
      <c r="D44" s="945"/>
      <c r="F44" s="955">
        <f>SUM(F38:F43)</f>
        <v>-110.742</v>
      </c>
      <c r="G44" s="949"/>
      <c r="H44" s="955">
        <f>SUM(H38:H42)</f>
        <v>-2.7079195299999999</v>
      </c>
      <c r="I44" s="949"/>
      <c r="J44" s="955">
        <f>SUM(J38:J42)</f>
        <v>-113.44991953</v>
      </c>
    </row>
    <row r="45" spans="1:13">
      <c r="F45" s="314"/>
      <c r="G45" s="314"/>
      <c r="H45" s="314"/>
      <c r="I45" s="314"/>
      <c r="J45" s="314"/>
    </row>
    <row r="46" spans="1:13">
      <c r="C46" s="946" t="s">
        <v>1256</v>
      </c>
      <c r="D46" s="945"/>
      <c r="E46" s="945"/>
      <c r="F46" s="314"/>
      <c r="G46" s="314"/>
      <c r="H46" s="314"/>
      <c r="I46" s="314"/>
      <c r="J46" s="314"/>
    </row>
    <row r="47" spans="1:13">
      <c r="A47" s="310">
        <f>A44+1</f>
        <v>22</v>
      </c>
      <c r="C47" s="973" t="s">
        <v>1261</v>
      </c>
      <c r="D47" s="945" t="s">
        <v>1235</v>
      </c>
      <c r="E47" s="945"/>
      <c r="F47" s="974">
        <f>-14.1+0.04</f>
        <v>-14.06</v>
      </c>
      <c r="G47" s="949"/>
      <c r="H47" s="949">
        <v>-1.1415553363702167</v>
      </c>
      <c r="I47" s="949"/>
      <c r="J47" s="970">
        <f>F47+H47</f>
        <v>-15.201555336370218</v>
      </c>
    </row>
    <row r="48" spans="1:13">
      <c r="A48" s="310">
        <f>A47+1</f>
        <v>23</v>
      </c>
      <c r="C48" s="973" t="s">
        <v>1262</v>
      </c>
      <c r="D48" s="945" t="s">
        <v>1235</v>
      </c>
      <c r="E48" s="945"/>
      <c r="F48" s="949">
        <v>-8.1</v>
      </c>
      <c r="G48" s="949"/>
      <c r="H48" s="949">
        <v>-0.65578710812757124</v>
      </c>
      <c r="I48" s="949"/>
      <c r="J48" s="970">
        <f>F48+H48</f>
        <v>-8.7557871081275707</v>
      </c>
    </row>
    <row r="49" spans="1:10">
      <c r="A49" s="310">
        <f>A48+1</f>
        <v>24</v>
      </c>
      <c r="C49" s="973" t="s">
        <v>1263</v>
      </c>
      <c r="D49" s="945" t="s">
        <v>1235</v>
      </c>
      <c r="E49" s="945"/>
      <c r="F49" s="949">
        <v>-4.1959330695360926</v>
      </c>
      <c r="G49" s="949"/>
      <c r="H49" s="949">
        <v>-0.33970849550221205</v>
      </c>
      <c r="I49" s="949"/>
      <c r="J49" s="970">
        <f>F49+H49</f>
        <v>-4.5356415650383042</v>
      </c>
    </row>
    <row r="50" spans="1:10">
      <c r="A50" s="310">
        <f>A49+1</f>
        <v>25</v>
      </c>
      <c r="C50" s="946" t="s">
        <v>1259</v>
      </c>
      <c r="D50" s="945"/>
      <c r="E50" s="945"/>
      <c r="F50" s="955">
        <f>SUM(F47:F49)</f>
        <v>-26.355933069536093</v>
      </c>
      <c r="G50" s="949"/>
      <c r="H50" s="955">
        <f>SUM(H47:H49)</f>
        <v>-2.13705094</v>
      </c>
      <c r="I50" s="949"/>
      <c r="J50" s="955">
        <f>SUM(J47:J49)</f>
        <v>-28.492984009536094</v>
      </c>
    </row>
    <row r="51" spans="1:10">
      <c r="C51" s="946" t="s">
        <v>168</v>
      </c>
      <c r="D51" s="945"/>
      <c r="E51" s="945"/>
      <c r="F51" s="949"/>
      <c r="G51" s="949"/>
      <c r="H51" s="949"/>
      <c r="I51" s="949"/>
      <c r="J51" s="949"/>
    </row>
    <row r="52" spans="1:10">
      <c r="A52" s="310">
        <f>A50+1</f>
        <v>26</v>
      </c>
      <c r="C52" s="946" t="s">
        <v>1240</v>
      </c>
      <c r="D52" s="945" t="s">
        <v>1241</v>
      </c>
      <c r="E52" s="945"/>
      <c r="F52" s="949">
        <f>1.41178807*0.441</f>
        <v>0.62259853887000005</v>
      </c>
      <c r="G52" s="949"/>
      <c r="H52" s="972">
        <f>0.10612851*0.441</f>
        <v>4.6802672909999996E-2</v>
      </c>
      <c r="I52" s="971"/>
      <c r="J52" s="970">
        <f>F52+H52</f>
        <v>0.66940121178000001</v>
      </c>
    </row>
    <row r="53" spans="1:10">
      <c r="C53" s="946"/>
      <c r="D53" s="945"/>
      <c r="E53" s="945"/>
      <c r="F53" s="949"/>
      <c r="G53" s="949"/>
      <c r="H53" s="949"/>
      <c r="I53" s="949"/>
      <c r="J53" s="949"/>
    </row>
    <row r="54" spans="1:10" ht="12.95">
      <c r="A54" s="310">
        <v>27</v>
      </c>
      <c r="B54" s="310"/>
      <c r="C54" s="946" t="s">
        <v>1264</v>
      </c>
      <c r="D54" s="969"/>
      <c r="E54" s="969"/>
      <c r="F54" s="955">
        <f>F44+F50+F52</f>
        <v>-136.47533453066612</v>
      </c>
      <c r="G54" s="949"/>
      <c r="H54" s="955">
        <f>H44+H50+H52</f>
        <v>-4.7981677970899996</v>
      </c>
      <c r="I54" s="949"/>
      <c r="J54" s="955">
        <f>J44+J50+J52</f>
        <v>-141.27350232775609</v>
      </c>
    </row>
    <row r="55" spans="1:10">
      <c r="F55" s="314"/>
      <c r="G55" s="314"/>
      <c r="H55" s="314"/>
      <c r="I55" s="314"/>
      <c r="J55" s="314"/>
    </row>
    <row r="56" spans="1:10" ht="13.5" thickBot="1">
      <c r="A56" s="310">
        <v>28</v>
      </c>
      <c r="C56" s="252" t="s">
        <v>8</v>
      </c>
      <c r="D56" s="969"/>
      <c r="E56" s="969"/>
      <c r="F56" s="948">
        <f>F54+F34</f>
        <v>-250.5384449995361</v>
      </c>
      <c r="G56" s="949"/>
      <c r="H56" s="948">
        <f>H54+H34</f>
        <v>-2.5945170499999999</v>
      </c>
      <c r="I56" s="949"/>
      <c r="J56" s="948">
        <f>J54+J34</f>
        <v>-253.13296204953608</v>
      </c>
    </row>
    <row r="57" spans="1:10" ht="12.95" thickTop="1"/>
    <row r="59" spans="1:10">
      <c r="A59" s="737" t="s">
        <v>80</v>
      </c>
    </row>
    <row r="60" spans="1:10">
      <c r="A60" s="947" t="s">
        <v>40</v>
      </c>
      <c r="C60" s="1192" t="s">
        <v>1246</v>
      </c>
      <c r="D60" s="1192"/>
      <c r="E60" s="1192"/>
    </row>
  </sheetData>
  <mergeCells count="3">
    <mergeCell ref="A6:J6"/>
    <mergeCell ref="A7:J7"/>
    <mergeCell ref="C60:E60"/>
  </mergeCells>
  <pageMargins left="0.7" right="0.7" top="0.75" bottom="0.75" header="0.3" footer="0.3"/>
  <pageSetup scale="74" firstPageNumber="2" orientation="portrait" useFirstPageNumber="1" r:id="rId1"/>
  <headerFooter>
    <oddHeader>&amp;R&amp;"Arial,Regular"&amp;10Filed: 2024-02-16
EB-2022-0200
Rate Order
Working Papers
Schedule 27
Page &amp;P of 6</oddHeader>
  </headerFooter>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63480-0F60-4FD4-B73D-D758D339F384}">
  <dimension ref="A1:AG36"/>
  <sheetViews>
    <sheetView view="pageBreakPreview" zoomScaleNormal="100" zoomScaleSheetLayoutView="100" workbookViewId="0"/>
  </sheetViews>
  <sheetFormatPr defaultColWidth="8" defaultRowHeight="12.6"/>
  <cols>
    <col min="1" max="1" width="4.75" style="310" customWidth="1"/>
    <col min="2" max="2" width="1.5" style="310" customWidth="1"/>
    <col min="3" max="3" width="15.75" style="310" customWidth="1"/>
    <col min="4" max="4" width="1.75" style="310" customWidth="1"/>
    <col min="5" max="5" width="10.25" style="310" customWidth="1"/>
    <col min="6" max="6" width="2.25" style="310" customWidth="1"/>
    <col min="7" max="7" width="12.75" style="310" customWidth="1"/>
    <col min="8" max="8" width="1.75" style="310" customWidth="1"/>
    <col min="9" max="9" width="12.25" style="310" customWidth="1"/>
    <col min="10" max="10" width="3" style="310" customWidth="1"/>
    <col min="11" max="11" width="18.25" style="252" customWidth="1"/>
    <col min="12" max="12" width="3" style="252" customWidth="1"/>
    <col min="13" max="13" width="10.25" style="252" customWidth="1"/>
    <col min="14" max="14" width="3.125" style="252" customWidth="1"/>
    <col min="15" max="15" width="15.25" style="252" customWidth="1"/>
    <col min="16" max="16" width="3" style="252" customWidth="1"/>
    <col min="17" max="17" width="11.75" style="252" customWidth="1"/>
    <col min="18" max="16384" width="8" style="252"/>
  </cols>
  <sheetData>
    <row r="1" spans="1:20">
      <c r="K1" s="310"/>
      <c r="L1" s="310"/>
      <c r="M1" s="310"/>
      <c r="N1" s="310"/>
      <c r="Q1" s="314"/>
    </row>
    <row r="2" spans="1:20">
      <c r="K2" s="310"/>
      <c r="L2" s="310"/>
      <c r="M2" s="310"/>
      <c r="N2" s="310"/>
      <c r="Q2" s="314"/>
    </row>
    <row r="3" spans="1:20">
      <c r="K3" s="310"/>
      <c r="L3" s="310"/>
      <c r="M3" s="310"/>
      <c r="N3" s="310"/>
      <c r="Q3" s="314"/>
    </row>
    <row r="4" spans="1:20">
      <c r="Q4" s="605"/>
    </row>
    <row r="5" spans="1:20">
      <c r="Q5" s="605"/>
    </row>
    <row r="6" spans="1:20" ht="12.75" customHeight="1">
      <c r="A6" s="1193" t="s">
        <v>1265</v>
      </c>
      <c r="B6" s="1193"/>
      <c r="C6" s="1193"/>
      <c r="D6" s="1193"/>
      <c r="E6" s="1193"/>
      <c r="F6" s="1193"/>
      <c r="G6" s="1193"/>
      <c r="H6" s="1193"/>
      <c r="I6" s="1193"/>
      <c r="J6" s="1193"/>
      <c r="K6" s="1193"/>
      <c r="L6" s="1193"/>
      <c r="M6" s="1193"/>
      <c r="N6" s="1193"/>
      <c r="O6" s="1193"/>
      <c r="P6" s="1193"/>
      <c r="Q6" s="1193"/>
    </row>
    <row r="7" spans="1:20" ht="12.75" customHeight="1">
      <c r="A7" s="531"/>
      <c r="B7" s="531"/>
      <c r="C7" s="531"/>
      <c r="D7" s="531"/>
      <c r="E7" s="531"/>
      <c r="F7" s="531"/>
      <c r="G7" s="531"/>
      <c r="H7" s="531"/>
      <c r="I7" s="531"/>
      <c r="J7" s="531"/>
      <c r="K7" s="531"/>
      <c r="L7" s="531"/>
      <c r="M7" s="531"/>
      <c r="N7" s="531"/>
      <c r="O7" s="531"/>
      <c r="P7" s="531"/>
      <c r="Q7" s="531"/>
    </row>
    <row r="8" spans="1:20">
      <c r="A8" s="531"/>
      <c r="B8" s="531"/>
      <c r="C8" s="531"/>
      <c r="D8" s="531"/>
      <c r="E8" s="1194" t="s">
        <v>1266</v>
      </c>
      <c r="F8" s="1194"/>
      <c r="G8" s="1194"/>
      <c r="H8" s="1194"/>
      <c r="I8" s="1194"/>
      <c r="K8" s="1194" t="s">
        <v>1267</v>
      </c>
      <c r="L8" s="1194"/>
      <c r="M8" s="1194"/>
      <c r="N8" s="1194"/>
      <c r="O8" s="1194"/>
      <c r="P8" s="1194"/>
      <c r="Q8" s="1194"/>
    </row>
    <row r="9" spans="1:20" ht="12.75" customHeight="1">
      <c r="A9" s="1195" t="s">
        <v>4</v>
      </c>
      <c r="H9" s="991"/>
      <c r="J9" s="991"/>
      <c r="K9" s="310" t="s">
        <v>1268</v>
      </c>
      <c r="L9" s="310"/>
      <c r="M9" s="991"/>
      <c r="N9" s="991"/>
      <c r="O9" s="991" t="s">
        <v>1269</v>
      </c>
      <c r="P9" s="991"/>
      <c r="Q9" s="991"/>
    </row>
    <row r="10" spans="1:20" ht="12.75" customHeight="1">
      <c r="A10" s="1195"/>
      <c r="E10" s="310" t="s">
        <v>516</v>
      </c>
      <c r="G10" s="991" t="s">
        <v>1270</v>
      </c>
      <c r="H10" s="991"/>
      <c r="I10" s="991" t="s">
        <v>609</v>
      </c>
      <c r="J10" s="991"/>
      <c r="K10" s="310" t="s">
        <v>1271</v>
      </c>
      <c r="L10" s="310"/>
      <c r="N10" s="991"/>
      <c r="O10" s="991" t="s">
        <v>1272</v>
      </c>
      <c r="P10" s="991"/>
      <c r="Q10" s="991" t="s">
        <v>8</v>
      </c>
    </row>
    <row r="11" spans="1:20" ht="12.75" customHeight="1">
      <c r="A11" s="1195"/>
      <c r="E11" s="310" t="s">
        <v>1273</v>
      </c>
      <c r="G11" s="991" t="s">
        <v>1274</v>
      </c>
      <c r="H11" s="991"/>
      <c r="I11" s="991" t="s">
        <v>1275</v>
      </c>
      <c r="J11" s="991"/>
      <c r="K11" s="310" t="s">
        <v>1276</v>
      </c>
      <c r="L11" s="310"/>
      <c r="M11" s="991" t="s">
        <v>1256</v>
      </c>
      <c r="N11" s="991"/>
      <c r="O11" s="991" t="s">
        <v>1277</v>
      </c>
      <c r="P11" s="991"/>
      <c r="Q11" s="991" t="s">
        <v>1267</v>
      </c>
    </row>
    <row r="12" spans="1:20" ht="14.45">
      <c r="A12" s="1196"/>
      <c r="B12" s="991"/>
      <c r="C12" s="992" t="s">
        <v>1278</v>
      </c>
      <c r="D12" s="992"/>
      <c r="E12" s="990" t="s">
        <v>248</v>
      </c>
      <c r="F12" s="991"/>
      <c r="G12" s="990" t="s">
        <v>1279</v>
      </c>
      <c r="H12" s="991"/>
      <c r="I12" s="990" t="s">
        <v>1280</v>
      </c>
      <c r="J12" s="991"/>
      <c r="K12" s="990" t="s">
        <v>248</v>
      </c>
      <c r="L12" s="991"/>
      <c r="M12" s="990" t="s">
        <v>248</v>
      </c>
      <c r="N12" s="991"/>
      <c r="O12" s="990" t="s">
        <v>248</v>
      </c>
      <c r="P12" s="991"/>
      <c r="Q12" s="990" t="s">
        <v>248</v>
      </c>
    </row>
    <row r="13" spans="1:20" ht="12.75" customHeight="1">
      <c r="A13" s="531"/>
      <c r="B13" s="531"/>
      <c r="C13" s="531"/>
      <c r="D13" s="531"/>
      <c r="E13" s="989" t="s">
        <v>9</v>
      </c>
      <c r="F13" s="989"/>
      <c r="G13" s="989" t="s">
        <v>10</v>
      </c>
      <c r="H13" s="989"/>
      <c r="I13" s="989" t="s">
        <v>58</v>
      </c>
      <c r="J13" s="989"/>
      <c r="K13" s="989" t="s">
        <v>12</v>
      </c>
      <c r="L13" s="989"/>
      <c r="M13" s="989" t="s">
        <v>13</v>
      </c>
      <c r="N13" s="989"/>
      <c r="O13" s="989" t="s">
        <v>115</v>
      </c>
      <c r="P13" s="989"/>
      <c r="Q13" s="947" t="s">
        <v>1281</v>
      </c>
      <c r="T13" s="975"/>
    </row>
    <row r="14" spans="1:20" ht="12.75" customHeight="1">
      <c r="A14" s="531"/>
      <c r="B14" s="531"/>
      <c r="C14" s="531"/>
      <c r="D14" s="531"/>
      <c r="E14" s="989"/>
      <c r="F14" s="989"/>
      <c r="G14" s="989"/>
      <c r="H14" s="989"/>
      <c r="I14" s="989"/>
      <c r="J14" s="989"/>
      <c r="K14" s="989"/>
      <c r="L14" s="989"/>
      <c r="M14" s="989"/>
      <c r="N14" s="989"/>
      <c r="O14" s="989"/>
      <c r="P14" s="989"/>
      <c r="Q14" s="947"/>
    </row>
    <row r="15" spans="1:20" ht="12.75" customHeight="1">
      <c r="C15" s="775" t="s">
        <v>125</v>
      </c>
      <c r="D15" s="775"/>
      <c r="I15" s="989"/>
      <c r="J15" s="989"/>
      <c r="K15" s="737"/>
      <c r="L15" s="737"/>
    </row>
    <row r="16" spans="1:20" ht="12.75" customHeight="1">
      <c r="A16" s="310">
        <v>1</v>
      </c>
      <c r="C16" s="988" t="s">
        <v>127</v>
      </c>
      <c r="D16" s="988"/>
      <c r="E16" s="986">
        <v>3843092.7202052455</v>
      </c>
      <c r="F16" s="986"/>
      <c r="G16" s="986">
        <v>53399.772576577401</v>
      </c>
      <c r="H16" s="986"/>
      <c r="I16" s="987">
        <v>31.54231608119094</v>
      </c>
      <c r="J16" s="981"/>
      <c r="K16" s="986">
        <f t="shared" ref="K16:K26" si="0">E16/$E$28*$K$28</f>
        <v>-122179.35421938174</v>
      </c>
      <c r="L16" s="986"/>
      <c r="M16" s="986">
        <f t="shared" ref="M16:M26" si="1">G16/$G$28*$M$28</f>
        <v>811.92923893415127</v>
      </c>
      <c r="N16" s="986"/>
      <c r="O16" s="986">
        <f t="shared" ref="O16:O26" si="2">I16/$I$28*$O$28</f>
        <v>36540.288762226926</v>
      </c>
      <c r="P16" s="986"/>
      <c r="Q16" s="986">
        <f t="shared" ref="Q16:Q26" si="3">SUM(K16:O16)</f>
        <v>-84827.136218220665</v>
      </c>
      <c r="S16" s="430"/>
    </row>
    <row r="17" spans="1:33" ht="12.75" customHeight="1">
      <c r="A17" s="310">
        <v>2</v>
      </c>
      <c r="C17" s="988" t="s">
        <v>128</v>
      </c>
      <c r="D17" s="988"/>
      <c r="E17" s="986">
        <v>1637398.3511202063</v>
      </c>
      <c r="F17" s="986"/>
      <c r="G17" s="986">
        <v>46838.797511509983</v>
      </c>
      <c r="H17" s="986"/>
      <c r="I17" s="987">
        <v>25.134594097067204</v>
      </c>
      <c r="J17" s="981"/>
      <c r="K17" s="986">
        <f t="shared" si="0"/>
        <v>-52056.06205854514</v>
      </c>
      <c r="L17" s="986"/>
      <c r="M17" s="986">
        <f t="shared" si="1"/>
        <v>712.17137042250306</v>
      </c>
      <c r="N17" s="986"/>
      <c r="O17" s="986">
        <f t="shared" si="2"/>
        <v>29117.244398418414</v>
      </c>
      <c r="P17" s="986"/>
      <c r="Q17" s="986">
        <f t="shared" si="3"/>
        <v>-22226.646289704222</v>
      </c>
      <c r="S17" s="430"/>
      <c r="V17" s="986"/>
      <c r="AF17" s="986"/>
      <c r="AG17" s="986"/>
    </row>
    <row r="18" spans="1:33" ht="12.75" customHeight="1">
      <c r="A18" s="310">
        <v>3</v>
      </c>
      <c r="C18" s="988" t="s">
        <v>129</v>
      </c>
      <c r="D18" s="988"/>
      <c r="E18" s="986">
        <v>4.8548256792162443E-6</v>
      </c>
      <c r="F18" s="986"/>
      <c r="G18" s="986">
        <v>0</v>
      </c>
      <c r="H18" s="986"/>
      <c r="I18" s="987">
        <v>0</v>
      </c>
      <c r="J18" s="981"/>
      <c r="K18" s="986">
        <f t="shared" si="0"/>
        <v>-1.5434430275797083E-7</v>
      </c>
      <c r="L18" s="986"/>
      <c r="M18" s="986">
        <f t="shared" si="1"/>
        <v>0</v>
      </c>
      <c r="N18" s="986"/>
      <c r="O18" s="986">
        <f t="shared" si="2"/>
        <v>0</v>
      </c>
      <c r="P18" s="986"/>
      <c r="Q18" s="986">
        <f t="shared" si="3"/>
        <v>-1.5434430275797083E-7</v>
      </c>
      <c r="S18" s="430"/>
    </row>
    <row r="19" spans="1:33" ht="12.75" customHeight="1">
      <c r="A19" s="310">
        <v>4</v>
      </c>
      <c r="C19" s="988" t="s">
        <v>130</v>
      </c>
      <c r="D19" s="988"/>
      <c r="E19" s="986">
        <v>70161.905570384508</v>
      </c>
      <c r="F19" s="986"/>
      <c r="G19" s="986">
        <v>2611.201268709322</v>
      </c>
      <c r="H19" s="986"/>
      <c r="I19" s="987">
        <v>0.13252449378879172</v>
      </c>
      <c r="J19" s="981"/>
      <c r="K19" s="986">
        <f t="shared" si="0"/>
        <v>-2230.5827461100148</v>
      </c>
      <c r="L19" s="986"/>
      <c r="M19" s="986">
        <f t="shared" si="1"/>
        <v>39.702615882244203</v>
      </c>
      <c r="N19" s="986"/>
      <c r="O19" s="986">
        <f t="shared" si="2"/>
        <v>153.52338929854389</v>
      </c>
      <c r="P19" s="986"/>
      <c r="Q19" s="986">
        <f t="shared" si="3"/>
        <v>-2037.3567409292268</v>
      </c>
      <c r="S19" s="430"/>
      <c r="Y19" s="986"/>
      <c r="Z19" s="986"/>
    </row>
    <row r="20" spans="1:33" ht="12.75" customHeight="1">
      <c r="A20" s="310">
        <v>5</v>
      </c>
      <c r="C20" s="988" t="s">
        <v>131</v>
      </c>
      <c r="D20" s="988"/>
      <c r="E20" s="986">
        <v>25743.716840720768</v>
      </c>
      <c r="F20" s="986"/>
      <c r="G20" s="986">
        <v>1617.1763264055564</v>
      </c>
      <c r="H20" s="986"/>
      <c r="I20" s="987">
        <v>5.2555975405556454E-2</v>
      </c>
      <c r="J20" s="981"/>
      <c r="K20" s="986">
        <f t="shared" si="0"/>
        <v>-818.44257419787266</v>
      </c>
      <c r="L20" s="986"/>
      <c r="M20" s="986">
        <f t="shared" si="1"/>
        <v>24.588732883419098</v>
      </c>
      <c r="N20" s="986"/>
      <c r="O20" s="986">
        <f t="shared" si="2"/>
        <v>60.883624162421384</v>
      </c>
      <c r="P20" s="986"/>
      <c r="Q20" s="986">
        <f t="shared" si="3"/>
        <v>-732.97021715203221</v>
      </c>
      <c r="S20" s="430"/>
    </row>
    <row r="21" spans="1:33" ht="12.75" customHeight="1">
      <c r="A21" s="310">
        <v>6</v>
      </c>
      <c r="C21" s="988" t="s">
        <v>132</v>
      </c>
      <c r="D21" s="988"/>
      <c r="E21" s="986">
        <v>56369.83760692252</v>
      </c>
      <c r="F21" s="986"/>
      <c r="G21" s="986">
        <v>9260.357</v>
      </c>
      <c r="H21" s="986"/>
      <c r="I21" s="987">
        <v>0</v>
      </c>
      <c r="J21" s="981"/>
      <c r="K21" s="986">
        <f t="shared" si="0"/>
        <v>-1792.1062169682418</v>
      </c>
      <c r="L21" s="986"/>
      <c r="M21" s="986">
        <f t="shared" si="1"/>
        <v>140.8012478046858</v>
      </c>
      <c r="N21" s="986"/>
      <c r="O21" s="986">
        <f t="shared" si="2"/>
        <v>0</v>
      </c>
      <c r="P21" s="986"/>
      <c r="Q21" s="986">
        <f t="shared" si="3"/>
        <v>-1651.3049691635561</v>
      </c>
      <c r="S21" s="430"/>
    </row>
    <row r="22" spans="1:33" ht="12.75" customHeight="1">
      <c r="A22" s="310">
        <v>7</v>
      </c>
      <c r="C22" s="988" t="s">
        <v>133</v>
      </c>
      <c r="D22" s="988"/>
      <c r="E22" s="986">
        <v>3223.5850497242259</v>
      </c>
      <c r="F22" s="986"/>
      <c r="G22" s="986">
        <v>5.3458073149643512</v>
      </c>
      <c r="H22" s="986"/>
      <c r="I22" s="987">
        <v>0</v>
      </c>
      <c r="J22" s="981"/>
      <c r="K22" s="986">
        <f t="shared" si="0"/>
        <v>-102.48400658559315</v>
      </c>
      <c r="L22" s="986"/>
      <c r="M22" s="986">
        <f t="shared" si="1"/>
        <v>8.1281568353185285E-2</v>
      </c>
      <c r="N22" s="986"/>
      <c r="O22" s="986">
        <f t="shared" si="2"/>
        <v>0</v>
      </c>
      <c r="P22" s="986"/>
      <c r="Q22" s="986">
        <f t="shared" si="3"/>
        <v>-102.40272501723996</v>
      </c>
      <c r="S22" s="430"/>
    </row>
    <row r="23" spans="1:33" ht="12.75" customHeight="1">
      <c r="A23" s="310">
        <v>8</v>
      </c>
      <c r="C23" s="988" t="s">
        <v>134</v>
      </c>
      <c r="D23" s="988"/>
      <c r="E23" s="986">
        <v>5770.3010874024676</v>
      </c>
      <c r="F23" s="986"/>
      <c r="G23" s="986">
        <v>106.83226264537009</v>
      </c>
      <c r="H23" s="986"/>
      <c r="I23" s="987">
        <v>0</v>
      </c>
      <c r="J23" s="981"/>
      <c r="K23" s="986">
        <f t="shared" si="0"/>
        <v>-183.4490374909762</v>
      </c>
      <c r="L23" s="986"/>
      <c r="M23" s="986">
        <f t="shared" si="1"/>
        <v>1.624355938574078</v>
      </c>
      <c r="N23" s="986"/>
      <c r="O23" s="986">
        <f t="shared" si="2"/>
        <v>0</v>
      </c>
      <c r="P23" s="986"/>
      <c r="Q23" s="986">
        <f t="shared" si="3"/>
        <v>-181.82468155240213</v>
      </c>
      <c r="S23" s="430"/>
    </row>
    <row r="24" spans="1:33" ht="12.75" customHeight="1">
      <c r="A24" s="310">
        <v>9</v>
      </c>
      <c r="C24" s="988" t="s">
        <v>135</v>
      </c>
      <c r="D24" s="988"/>
      <c r="E24" s="986">
        <v>8087.7248991694305</v>
      </c>
      <c r="F24" s="986"/>
      <c r="G24" s="986">
        <v>104.65324683880911</v>
      </c>
      <c r="H24" s="986"/>
      <c r="I24" s="987">
        <v>0</v>
      </c>
      <c r="J24" s="981"/>
      <c r="K24" s="986">
        <f t="shared" si="0"/>
        <v>-257.12442483869131</v>
      </c>
      <c r="L24" s="986"/>
      <c r="M24" s="986">
        <f t="shared" si="1"/>
        <v>1.5912245868832178</v>
      </c>
      <c r="N24" s="986"/>
      <c r="O24" s="986">
        <f t="shared" si="2"/>
        <v>0</v>
      </c>
      <c r="P24" s="986"/>
      <c r="Q24" s="986">
        <f t="shared" si="3"/>
        <v>-255.5332002518081</v>
      </c>
      <c r="S24" s="430"/>
    </row>
    <row r="25" spans="1:33" ht="12.75" customHeight="1">
      <c r="A25" s="310">
        <v>10</v>
      </c>
      <c r="C25" s="988" t="s">
        <v>136</v>
      </c>
      <c r="D25" s="988"/>
      <c r="E25" s="986">
        <v>14640.944867644952</v>
      </c>
      <c r="F25" s="986"/>
      <c r="G25" s="986">
        <v>1286.7209999985994</v>
      </c>
      <c r="H25" s="986"/>
      <c r="I25" s="987">
        <v>0.53143159602508949</v>
      </c>
      <c r="J25" s="981"/>
      <c r="K25" s="986">
        <f t="shared" si="0"/>
        <v>-465.46396855990957</v>
      </c>
      <c r="L25" s="986"/>
      <c r="M25" s="986">
        <f t="shared" si="1"/>
        <v>19.564248157635383</v>
      </c>
      <c r="N25" s="986"/>
      <c r="O25" s="986">
        <f t="shared" si="2"/>
        <v>615.63849421024213</v>
      </c>
      <c r="P25" s="986"/>
      <c r="Q25" s="986">
        <f t="shared" si="3"/>
        <v>169.73877380796796</v>
      </c>
      <c r="S25" s="430"/>
    </row>
    <row r="26" spans="1:33" ht="12.75" customHeight="1">
      <c r="A26" s="310">
        <v>11</v>
      </c>
      <c r="C26" s="988" t="s">
        <v>137</v>
      </c>
      <c r="D26" s="988"/>
      <c r="E26" s="986">
        <v>448.56178882096469</v>
      </c>
      <c r="F26" s="986"/>
      <c r="G26" s="986">
        <v>15.6</v>
      </c>
      <c r="H26" s="986"/>
      <c r="I26" s="987">
        <v>0</v>
      </c>
      <c r="J26" s="981"/>
      <c r="K26" s="986">
        <f t="shared" si="0"/>
        <v>-14.260647263985144</v>
      </c>
      <c r="L26" s="986"/>
      <c r="M26" s="986">
        <f t="shared" si="1"/>
        <v>0.2371938215506269</v>
      </c>
      <c r="N26" s="986"/>
      <c r="O26" s="986">
        <f t="shared" si="2"/>
        <v>0</v>
      </c>
      <c r="P26" s="986"/>
      <c r="Q26" s="986">
        <f t="shared" si="3"/>
        <v>-14.023453442434517</v>
      </c>
    </row>
    <row r="27" spans="1:33">
      <c r="C27" s="308"/>
      <c r="D27" s="308"/>
      <c r="E27" s="981"/>
      <c r="F27" s="981"/>
      <c r="G27" s="981"/>
      <c r="H27" s="981"/>
      <c r="I27" s="985"/>
      <c r="J27" s="985"/>
      <c r="K27" s="984"/>
      <c r="L27" s="984"/>
      <c r="M27" s="983"/>
      <c r="N27" s="983"/>
      <c r="O27" s="983"/>
      <c r="P27" s="983"/>
      <c r="Q27" s="324"/>
    </row>
    <row r="28" spans="1:33" ht="12.95" thickBot="1">
      <c r="A28" s="310">
        <v>12</v>
      </c>
      <c r="C28" s="308" t="s">
        <v>138</v>
      </c>
      <c r="D28" s="308"/>
      <c r="E28" s="982">
        <f>SUM(E16:E26)</f>
        <v>5664937.6490410967</v>
      </c>
      <c r="F28" s="981"/>
      <c r="G28" s="982">
        <f>SUM(G16:G26)</f>
        <v>115246.45700000001</v>
      </c>
      <c r="H28" s="981"/>
      <c r="I28" s="982">
        <f>SUM(I16:I26)</f>
        <v>57.393422243477573</v>
      </c>
      <c r="J28" s="981"/>
      <c r="K28" s="978">
        <f>SUM('Sch. 27 p.2'!J21-'Sch. 27 p.2'!J19+'Sch. 27 p.2'!J28+'Sch. 27 p.2'!J30+'Sch. 27 p.2'!J32)*1000</f>
        <v>-180099.32990009652</v>
      </c>
      <c r="L28" s="980" t="s">
        <v>28</v>
      </c>
      <c r="M28" s="978">
        <f>'Sch. 27 p.2'!J26*1000</f>
        <v>1752.29151</v>
      </c>
      <c r="N28" s="979" t="s">
        <v>85</v>
      </c>
      <c r="O28" s="978">
        <f>'Sch. 27 p.2'!J19*1000</f>
        <v>66487.578668316535</v>
      </c>
      <c r="P28" s="979" t="s">
        <v>87</v>
      </c>
      <c r="Q28" s="978">
        <f>SUM(Q16:Q26)</f>
        <v>-111859.45972177996</v>
      </c>
    </row>
    <row r="29" spans="1:33" ht="12.95" thickTop="1">
      <c r="P29" s="308"/>
    </row>
    <row r="30" spans="1:33">
      <c r="A30" s="775" t="s">
        <v>80</v>
      </c>
    </row>
    <row r="31" spans="1:33" ht="12.75" customHeight="1">
      <c r="A31" s="947" t="s">
        <v>40</v>
      </c>
      <c r="C31" s="252" t="s">
        <v>1282</v>
      </c>
      <c r="D31" s="252"/>
      <c r="E31" s="252"/>
      <c r="F31" s="252"/>
      <c r="G31" s="252"/>
      <c r="H31" s="252"/>
      <c r="I31" s="252"/>
      <c r="J31" s="252"/>
    </row>
    <row r="32" spans="1:33">
      <c r="A32" s="947" t="s">
        <v>20</v>
      </c>
      <c r="C32" s="252" t="s">
        <v>1283</v>
      </c>
      <c r="D32" s="252"/>
      <c r="E32" s="252"/>
      <c r="F32" s="252"/>
      <c r="G32" s="252"/>
      <c r="H32" s="252"/>
      <c r="I32" s="252"/>
      <c r="J32" s="252"/>
    </row>
    <row r="33" spans="1:4">
      <c r="A33" s="947" t="s">
        <v>21</v>
      </c>
      <c r="C33" s="252" t="s">
        <v>1284</v>
      </c>
      <c r="D33" s="252"/>
    </row>
    <row r="34" spans="1:4">
      <c r="A34" s="947" t="s">
        <v>28</v>
      </c>
      <c r="C34" s="252" t="s">
        <v>1285</v>
      </c>
      <c r="D34" s="308"/>
    </row>
    <row r="35" spans="1:4">
      <c r="A35" s="947" t="s">
        <v>85</v>
      </c>
      <c r="C35" s="252" t="s">
        <v>1286</v>
      </c>
      <c r="D35" s="308"/>
    </row>
    <row r="36" spans="1:4">
      <c r="A36" s="947" t="s">
        <v>87</v>
      </c>
      <c r="C36" s="252" t="s">
        <v>1287</v>
      </c>
      <c r="D36" s="308"/>
    </row>
  </sheetData>
  <mergeCells count="4">
    <mergeCell ref="A6:Q6"/>
    <mergeCell ref="K8:Q8"/>
    <mergeCell ref="A9:A12"/>
    <mergeCell ref="E8:I8"/>
  </mergeCells>
  <printOptions horizontalCentered="1"/>
  <pageMargins left="0.45" right="0.45" top="0.75" bottom="0.75" header="0.3" footer="0.3"/>
  <pageSetup scale="65" firstPageNumber="3" orientation="landscape" useFirstPageNumber="1" r:id="rId1"/>
  <headerFooter>
    <oddHeader>&amp;R&amp;"Arial,Regular"&amp;10Filed: 2024-02-16
EB-2022-0200
Rate Order
Working Papers
Schedule 27
Page &amp;P of 6</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CA7B-DD1C-4AAA-941D-C1FF9845AF40}">
  <dimension ref="A1:AL59"/>
  <sheetViews>
    <sheetView zoomScaleNormal="100" zoomScaleSheetLayoutView="100" zoomScalePageLayoutView="70" workbookViewId="0">
      <selection activeCell="A2" sqref="A2"/>
    </sheetView>
  </sheetViews>
  <sheetFormatPr defaultColWidth="8" defaultRowHeight="12.6"/>
  <cols>
    <col min="1" max="1" width="4.75" style="310" customWidth="1"/>
    <col min="2" max="2" width="1.5" style="310" customWidth="1"/>
    <col min="3" max="3" width="24.75" style="310" customWidth="1"/>
    <col min="4" max="4" width="2.5" style="310" customWidth="1"/>
    <col min="5" max="5" width="11.75" style="310" customWidth="1"/>
    <col min="6" max="6" width="2.5" style="310" customWidth="1"/>
    <col min="7" max="7" width="11.75" style="310" customWidth="1"/>
    <col min="8" max="8" width="2.5" style="310" customWidth="1"/>
    <col min="9" max="9" width="11.75" style="310" customWidth="1"/>
    <col min="10" max="10" width="2.5" style="310" customWidth="1"/>
    <col min="11" max="11" width="11.75" style="310" customWidth="1"/>
    <col min="12" max="12" width="2.5" style="310" customWidth="1"/>
    <col min="13" max="13" width="11.75" style="252" customWidth="1"/>
    <col min="14" max="14" width="2.5" style="252" customWidth="1"/>
    <col min="15" max="15" width="11.75" style="252" customWidth="1"/>
    <col min="16" max="16" width="2.5" style="252" customWidth="1"/>
    <col min="17" max="17" width="11.75" style="252" customWidth="1"/>
    <col min="18" max="18" width="2.5" style="252" customWidth="1"/>
    <col min="19" max="19" width="11.75" style="252" customWidth="1"/>
    <col min="20" max="20" width="2.5" style="252" customWidth="1"/>
    <col min="21" max="21" width="11.75" style="252" customWidth="1"/>
    <col min="22" max="16384" width="8" style="252"/>
  </cols>
  <sheetData>
    <row r="1" spans="1:29">
      <c r="M1" s="310"/>
      <c r="N1" s="310"/>
      <c r="O1" s="310"/>
      <c r="P1" s="310"/>
      <c r="U1" s="314"/>
    </row>
    <row r="2" spans="1:29">
      <c r="M2" s="310"/>
      <c r="N2" s="310"/>
      <c r="O2" s="310"/>
      <c r="P2" s="310"/>
      <c r="U2" s="314"/>
    </row>
    <row r="3" spans="1:29">
      <c r="G3" s="1009"/>
      <c r="H3" s="1009"/>
      <c r="M3" s="310"/>
      <c r="N3" s="310"/>
      <c r="O3" s="310"/>
      <c r="P3" s="310"/>
      <c r="U3" s="314"/>
    </row>
    <row r="4" spans="1:29">
      <c r="A4" s="1193" t="s">
        <v>1288</v>
      </c>
      <c r="B4" s="1193"/>
      <c r="C4" s="1193"/>
      <c r="D4" s="1193"/>
      <c r="E4" s="1193"/>
      <c r="F4" s="1193"/>
      <c r="G4" s="1193"/>
      <c r="H4" s="1193"/>
      <c r="I4" s="1193"/>
      <c r="J4" s="1193"/>
      <c r="K4" s="1193"/>
      <c r="L4" s="1193"/>
      <c r="M4" s="1193"/>
      <c r="N4" s="1193"/>
      <c r="O4" s="1193"/>
      <c r="P4" s="1193"/>
      <c r="Q4" s="1193"/>
      <c r="R4" s="1193"/>
      <c r="S4" s="1193"/>
      <c r="T4" s="1193"/>
      <c r="U4" s="1193"/>
    </row>
    <row r="6" spans="1:29" ht="12.75" customHeight="1"/>
    <row r="7" spans="1:29" ht="12.75" customHeight="1">
      <c r="A7" s="531"/>
      <c r="B7" s="531"/>
      <c r="C7" s="531"/>
      <c r="D7" s="531"/>
      <c r="E7" s="1194" t="s">
        <v>1289</v>
      </c>
      <c r="F7" s="1194"/>
      <c r="G7" s="1194"/>
      <c r="H7" s="1194"/>
      <c r="I7" s="1194"/>
      <c r="J7" s="1194"/>
      <c r="K7" s="1194"/>
      <c r="L7" s="531"/>
      <c r="M7" s="1194" t="s">
        <v>1267</v>
      </c>
      <c r="N7" s="1197"/>
      <c r="O7" s="1197"/>
      <c r="P7" s="1197"/>
      <c r="Q7" s="1197"/>
      <c r="R7" s="1197"/>
      <c r="S7" s="1197"/>
      <c r="T7" s="531"/>
      <c r="U7" s="531"/>
    </row>
    <row r="8" spans="1:29">
      <c r="A8" s="531"/>
      <c r="B8" s="531"/>
      <c r="C8" s="531"/>
      <c r="D8" s="531"/>
      <c r="G8" s="310">
        <v>2019</v>
      </c>
      <c r="K8" s="310">
        <v>2021</v>
      </c>
      <c r="O8" s="310" t="s">
        <v>1290</v>
      </c>
      <c r="T8" s="310"/>
      <c r="U8" s="310"/>
    </row>
    <row r="9" spans="1:29">
      <c r="A9" s="531"/>
      <c r="B9" s="531"/>
      <c r="C9" s="531"/>
      <c r="D9" s="531"/>
      <c r="E9" s="310">
        <v>2013</v>
      </c>
      <c r="G9" s="522" t="s">
        <v>1291</v>
      </c>
      <c r="I9" s="310">
        <v>2020</v>
      </c>
      <c r="K9" s="310" t="s">
        <v>1291</v>
      </c>
      <c r="M9" s="310" t="s">
        <v>1248</v>
      </c>
      <c r="N9" s="310"/>
      <c r="O9" s="310" t="s">
        <v>1292</v>
      </c>
      <c r="P9" s="310"/>
      <c r="Q9" s="310" t="s">
        <v>1293</v>
      </c>
      <c r="R9" s="310"/>
      <c r="S9" s="310" t="s">
        <v>1294</v>
      </c>
      <c r="T9" s="310"/>
      <c r="U9" s="310"/>
    </row>
    <row r="10" spans="1:29">
      <c r="A10" s="531"/>
      <c r="B10" s="531"/>
      <c r="C10" s="531"/>
      <c r="D10" s="531"/>
      <c r="E10" s="522" t="s">
        <v>516</v>
      </c>
      <c r="F10" s="1008"/>
      <c r="G10" s="310" t="s">
        <v>1292</v>
      </c>
      <c r="I10" s="310" t="s">
        <v>1295</v>
      </c>
      <c r="K10" s="310" t="s">
        <v>1292</v>
      </c>
      <c r="M10" s="522" t="s">
        <v>1296</v>
      </c>
      <c r="N10" s="1008"/>
      <c r="O10" s="310" t="s">
        <v>1297</v>
      </c>
      <c r="P10" s="310"/>
      <c r="Q10" s="310" t="s">
        <v>1298</v>
      </c>
      <c r="R10" s="310"/>
      <c r="S10" s="310" t="s">
        <v>1298</v>
      </c>
      <c r="T10" s="310"/>
      <c r="U10" s="310" t="s">
        <v>8</v>
      </c>
    </row>
    <row r="11" spans="1:29" ht="12.75" customHeight="1">
      <c r="A11" s="1195" t="s">
        <v>4</v>
      </c>
      <c r="E11" s="310" t="s">
        <v>1273</v>
      </c>
      <c r="G11" s="991" t="s">
        <v>1299</v>
      </c>
      <c r="H11" s="991"/>
      <c r="I11" s="991" t="s">
        <v>1300</v>
      </c>
      <c r="J11" s="991"/>
      <c r="K11" s="991" t="s">
        <v>1301</v>
      </c>
      <c r="L11" s="991"/>
      <c r="M11" s="310" t="s">
        <v>1240</v>
      </c>
      <c r="N11" s="310"/>
      <c r="O11" s="991" t="s">
        <v>1302</v>
      </c>
      <c r="P11" s="991"/>
      <c r="Q11" s="991" t="s">
        <v>1302</v>
      </c>
      <c r="R11" s="991"/>
      <c r="S11" s="991" t="s">
        <v>1302</v>
      </c>
      <c r="T11" s="991"/>
      <c r="U11" s="991" t="s">
        <v>1267</v>
      </c>
    </row>
    <row r="12" spans="1:29" ht="14.45">
      <c r="A12" s="1196"/>
      <c r="B12" s="991"/>
      <c r="C12" s="992" t="s">
        <v>1278</v>
      </c>
      <c r="D12" s="1007"/>
      <c r="E12" s="1004" t="s">
        <v>248</v>
      </c>
      <c r="F12" s="1006"/>
      <c r="G12" s="990" t="s">
        <v>1279</v>
      </c>
      <c r="H12" s="991"/>
      <c r="I12" s="990" t="s">
        <v>1279</v>
      </c>
      <c r="J12" s="991"/>
      <c r="K12" s="990" t="s">
        <v>1279</v>
      </c>
      <c r="L12" s="991"/>
      <c r="M12" s="1004" t="s">
        <v>248</v>
      </c>
      <c r="N12" s="1005"/>
      <c r="O12" s="1004" t="s">
        <v>248</v>
      </c>
      <c r="P12" s="1002"/>
      <c r="Q12" s="1004" t="s">
        <v>248</v>
      </c>
      <c r="R12" s="1002"/>
      <c r="S12" s="1003" t="s">
        <v>248</v>
      </c>
      <c r="T12" s="1002"/>
      <c r="U12" s="990" t="s">
        <v>248</v>
      </c>
    </row>
    <row r="13" spans="1:29" ht="12.75" customHeight="1">
      <c r="A13" s="531"/>
      <c r="B13" s="531"/>
      <c r="C13" s="531"/>
      <c r="D13" s="531"/>
      <c r="E13" s="989" t="s">
        <v>9</v>
      </c>
      <c r="F13" s="989"/>
      <c r="G13" s="989" t="s">
        <v>10</v>
      </c>
      <c r="H13" s="989"/>
      <c r="I13" s="989" t="s">
        <v>58</v>
      </c>
      <c r="J13" s="989"/>
      <c r="K13" s="989" t="s">
        <v>12</v>
      </c>
      <c r="L13" s="989"/>
      <c r="M13" s="989" t="s">
        <v>13</v>
      </c>
      <c r="N13" s="989"/>
      <c r="O13" s="989" t="s">
        <v>115</v>
      </c>
      <c r="P13" s="989"/>
      <c r="Q13" s="989" t="s">
        <v>209</v>
      </c>
      <c r="R13" s="989"/>
      <c r="S13" s="947" t="s">
        <v>210</v>
      </c>
      <c r="T13" s="947"/>
      <c r="U13" s="947" t="s">
        <v>1303</v>
      </c>
    </row>
    <row r="14" spans="1:29" ht="12.75" customHeight="1">
      <c r="A14" s="531"/>
      <c r="B14" s="531"/>
      <c r="C14" s="531"/>
      <c r="D14" s="531"/>
      <c r="E14" s="989"/>
      <c r="F14" s="989"/>
      <c r="G14" s="989"/>
      <c r="H14" s="989"/>
      <c r="I14" s="989"/>
      <c r="J14" s="989"/>
      <c r="K14" s="989"/>
      <c r="L14" s="989"/>
      <c r="M14" s="989"/>
      <c r="N14" s="989"/>
      <c r="O14" s="989"/>
      <c r="P14" s="989"/>
      <c r="Q14" s="989"/>
      <c r="R14" s="989"/>
      <c r="S14" s="989"/>
      <c r="T14" s="989"/>
      <c r="U14" s="947"/>
    </row>
    <row r="15" spans="1:29" ht="12.75" customHeight="1">
      <c r="C15" s="775" t="s">
        <v>139</v>
      </c>
      <c r="D15" s="775"/>
      <c r="L15" s="997"/>
      <c r="W15" s="430"/>
    </row>
    <row r="16" spans="1:29" ht="12.75" customHeight="1">
      <c r="A16" s="310">
        <v>1</v>
      </c>
      <c r="C16" s="1000" t="s">
        <v>140</v>
      </c>
      <c r="D16" s="1000"/>
      <c r="E16" s="999">
        <v>659800.29893860384</v>
      </c>
      <c r="F16" s="997"/>
      <c r="G16" s="999">
        <v>0</v>
      </c>
      <c r="H16" s="997"/>
      <c r="I16" s="999">
        <v>0</v>
      </c>
      <c r="J16" s="997"/>
      <c r="K16" s="999">
        <v>0</v>
      </c>
      <c r="L16" s="997"/>
      <c r="M16" s="999">
        <f>E16/$E$48*$M$48</f>
        <v>-20159.070414704027</v>
      </c>
      <c r="N16" s="997"/>
      <c r="O16" s="999">
        <f>G16/$G$48*$O$48</f>
        <v>0</v>
      </c>
      <c r="P16" s="997"/>
      <c r="Q16" s="999">
        <f>I16/$I$48*$Q$48</f>
        <v>0</v>
      </c>
      <c r="R16" s="997"/>
      <c r="S16" s="999">
        <f>K16/$K$48*$S$48</f>
        <v>0</v>
      </c>
      <c r="T16" s="997"/>
      <c r="U16" s="999">
        <f>SUM(M16:S16)</f>
        <v>-20159.070414704027</v>
      </c>
      <c r="W16" s="430"/>
      <c r="AB16" s="986"/>
      <c r="AC16" s="986"/>
    </row>
    <row r="17" spans="1:38" ht="12.75" customHeight="1">
      <c r="A17" s="310">
        <f>A16+1</f>
        <v>2</v>
      </c>
      <c r="C17" s="1000" t="s">
        <v>141</v>
      </c>
      <c r="D17" s="1000"/>
      <c r="E17" s="999">
        <v>101688.2375654888</v>
      </c>
      <c r="F17" s="997"/>
      <c r="G17" s="999">
        <v>0</v>
      </c>
      <c r="H17" s="997"/>
      <c r="I17" s="999">
        <v>0</v>
      </c>
      <c r="J17" s="997"/>
      <c r="K17" s="999">
        <v>0</v>
      </c>
      <c r="L17" s="997"/>
      <c r="M17" s="999">
        <f>E17/$E$48*$M$48</f>
        <v>-3106.9102950203305</v>
      </c>
      <c r="N17" s="997"/>
      <c r="O17" s="999">
        <f>G17/$G$48*$O$48</f>
        <v>0</v>
      </c>
      <c r="P17" s="997"/>
      <c r="Q17" s="999">
        <f>I17/$I$48*$Q$48</f>
        <v>0</v>
      </c>
      <c r="R17" s="997"/>
      <c r="S17" s="999">
        <f>K17/$K$48*$S$48</f>
        <v>0</v>
      </c>
      <c r="T17" s="997"/>
      <c r="U17" s="999">
        <f>SUM(M17:S17)</f>
        <v>-3106.9102950203305</v>
      </c>
      <c r="W17" s="430"/>
      <c r="X17" s="986"/>
      <c r="Y17" s="986"/>
      <c r="Z17" s="986"/>
      <c r="AA17" s="986"/>
      <c r="AB17" s="986"/>
      <c r="AC17" s="986"/>
    </row>
    <row r="18" spans="1:38" ht="12.75" customHeight="1">
      <c r="A18" s="310">
        <f>A17+1</f>
        <v>3</v>
      </c>
      <c r="C18" s="1000" t="s">
        <v>142</v>
      </c>
      <c r="D18" s="1000"/>
      <c r="E18" s="999">
        <v>72026.961111354627</v>
      </c>
      <c r="F18" s="997"/>
      <c r="G18" s="999">
        <v>0</v>
      </c>
      <c r="H18" s="997"/>
      <c r="I18" s="999">
        <v>0</v>
      </c>
      <c r="J18" s="997"/>
      <c r="K18" s="999">
        <v>0</v>
      </c>
      <c r="L18" s="997"/>
      <c r="M18" s="999">
        <f>E18/$E$48*$M$48</f>
        <v>-2200.6606895097188</v>
      </c>
      <c r="N18" s="997"/>
      <c r="O18" s="999">
        <f>G18/$G$48*$O$48</f>
        <v>0</v>
      </c>
      <c r="P18" s="997"/>
      <c r="Q18" s="999">
        <f>I18/$I$48*$Q$48</f>
        <v>0</v>
      </c>
      <c r="R18" s="997"/>
      <c r="S18" s="999">
        <f>K18/$K$48*$S$48</f>
        <v>0</v>
      </c>
      <c r="T18" s="997"/>
      <c r="U18" s="999">
        <f>SUM(M18:S18)</f>
        <v>-2200.6606895097188</v>
      </c>
      <c r="W18" s="430"/>
      <c r="Y18" s="973"/>
    </row>
    <row r="19" spans="1:38" ht="12.75" customHeight="1">
      <c r="A19" s="310">
        <f>A18+1</f>
        <v>4</v>
      </c>
      <c r="C19" s="1000" t="s">
        <v>143</v>
      </c>
      <c r="D19" s="1000"/>
      <c r="E19" s="999">
        <v>19711.826077864825</v>
      </c>
      <c r="F19" s="997"/>
      <c r="G19" s="999">
        <v>0</v>
      </c>
      <c r="H19" s="997"/>
      <c r="I19" s="999">
        <v>0</v>
      </c>
      <c r="J19" s="997"/>
      <c r="K19" s="999">
        <v>0</v>
      </c>
      <c r="L19" s="997"/>
      <c r="M19" s="999">
        <f>E19/$E$48*$M$48</f>
        <v>-602.26115469379727</v>
      </c>
      <c r="N19" s="997"/>
      <c r="O19" s="999">
        <f>G19/$G$48*$O$48</f>
        <v>0</v>
      </c>
      <c r="P19" s="997"/>
      <c r="Q19" s="999">
        <f>I19/$I$48*$Q$48</f>
        <v>0</v>
      </c>
      <c r="R19" s="997"/>
      <c r="S19" s="999">
        <f>K19/$K$48*$S$48</f>
        <v>0</v>
      </c>
      <c r="T19" s="997"/>
      <c r="U19" s="999">
        <f>SUM(M19:S19)</f>
        <v>-602.26115469379727</v>
      </c>
      <c r="W19" s="430"/>
    </row>
    <row r="20" spans="1:38" ht="12.75" customHeight="1">
      <c r="A20" s="310">
        <f>A19+1</f>
        <v>5</v>
      </c>
      <c r="C20" s="1000" t="s">
        <v>129</v>
      </c>
      <c r="D20" s="1000"/>
      <c r="E20" s="999">
        <v>55495.107023813114</v>
      </c>
      <c r="F20" s="997"/>
      <c r="G20" s="999">
        <v>0</v>
      </c>
      <c r="H20" s="997"/>
      <c r="I20" s="999">
        <v>0</v>
      </c>
      <c r="J20" s="997"/>
      <c r="K20" s="999">
        <v>0</v>
      </c>
      <c r="L20" s="997"/>
      <c r="M20" s="999">
        <f>E20/$E$48*$M$48</f>
        <v>-1695.5581438266147</v>
      </c>
      <c r="N20" s="997"/>
      <c r="O20" s="999">
        <f>G20/$G$48*$O$48</f>
        <v>0</v>
      </c>
      <c r="P20" s="997"/>
      <c r="Q20" s="999">
        <f>I20/$I$48*$Q$48</f>
        <v>0</v>
      </c>
      <c r="R20" s="997"/>
      <c r="S20" s="999">
        <f>K20/$K$48*$S$48</f>
        <v>0</v>
      </c>
      <c r="T20" s="997"/>
      <c r="U20" s="999">
        <f>SUM(M20:S20)</f>
        <v>-1695.5581438266147</v>
      </c>
      <c r="W20" s="430"/>
    </row>
    <row r="21" spans="1:38" ht="12.75" customHeight="1">
      <c r="A21" s="310">
        <f>A20+1</f>
        <v>6</v>
      </c>
      <c r="C21" s="1001" t="s">
        <v>144</v>
      </c>
      <c r="D21" s="1001"/>
      <c r="E21" s="998">
        <f>SUM(E16:E20)</f>
        <v>908722.43071712519</v>
      </c>
      <c r="F21" s="985"/>
      <c r="G21" s="998">
        <f>SUM(G16:G20)</f>
        <v>0</v>
      </c>
      <c r="H21" s="985"/>
      <c r="I21" s="998">
        <f>SUM(I16:I20)</f>
        <v>0</v>
      </c>
      <c r="J21" s="985"/>
      <c r="K21" s="998">
        <f>SUM(K16:K20)</f>
        <v>0</v>
      </c>
      <c r="L21" s="985"/>
      <c r="M21" s="998">
        <f>SUM(M16:M20)</f>
        <v>-27764.46069775449</v>
      </c>
      <c r="N21" s="985"/>
      <c r="O21" s="998">
        <f>SUM(O16:O20)</f>
        <v>0</v>
      </c>
      <c r="P21" s="985"/>
      <c r="Q21" s="998">
        <f>SUM(Q16:Q20)</f>
        <v>0</v>
      </c>
      <c r="R21" s="985"/>
      <c r="S21" s="998">
        <f>SUM(S16:S20)</f>
        <v>0</v>
      </c>
      <c r="T21" s="985"/>
      <c r="U21" s="998">
        <f>SUM(U16:U20)</f>
        <v>-27764.46069775449</v>
      </c>
      <c r="W21" s="430"/>
    </row>
    <row r="22" spans="1:38" ht="12.75" customHeight="1">
      <c r="C22" s="308"/>
      <c r="D22" s="308"/>
      <c r="M22" s="297"/>
      <c r="N22" s="297"/>
      <c r="W22" s="430"/>
    </row>
    <row r="23" spans="1:38" ht="12.75" customHeight="1">
      <c r="C23" s="775" t="s">
        <v>145</v>
      </c>
      <c r="D23" s="775"/>
      <c r="M23" s="288"/>
      <c r="N23" s="297"/>
      <c r="W23" s="430"/>
    </row>
    <row r="24" spans="1:38" ht="12.75" customHeight="1">
      <c r="A24" s="310">
        <f>A21+1</f>
        <v>7</v>
      </c>
      <c r="C24" s="1000" t="s">
        <v>146</v>
      </c>
      <c r="D24" s="1000"/>
      <c r="E24" s="999">
        <v>1441159.4400405877</v>
      </c>
      <c r="F24" s="997"/>
      <c r="G24" s="999">
        <v>31973.580827786744</v>
      </c>
      <c r="H24" s="997"/>
      <c r="I24" s="999">
        <v>31030.012236682513</v>
      </c>
      <c r="J24" s="997"/>
      <c r="K24" s="999">
        <v>30972.414605110811</v>
      </c>
      <c r="L24" s="997"/>
      <c r="M24" s="999">
        <f t="shared" ref="M24:M36" si="0">E24/$E$48*$M$48</f>
        <v>-44032.16348542006</v>
      </c>
      <c r="N24" s="997"/>
      <c r="O24" s="999">
        <f t="shared" ref="O24:O36" si="1">G24/$G$48*$O$48</f>
        <v>-6041.1689824821251</v>
      </c>
      <c r="P24" s="997"/>
      <c r="Q24" s="999">
        <f t="shared" ref="Q24:Q36" si="2">I24/$I$48*$Q$48</f>
        <v>-4637.151763016619</v>
      </c>
      <c r="R24" s="997"/>
      <c r="S24" s="999">
        <f t="shared" ref="S24:S36" si="3">K24/$K$48*$S$48</f>
        <v>-1717.5415363064599</v>
      </c>
      <c r="T24" s="997"/>
      <c r="U24" s="999">
        <f t="shared" ref="U24:U36" si="4">SUM(M24:S24)</f>
        <v>-56428.025767225263</v>
      </c>
      <c r="W24" s="430"/>
      <c r="AL24" s="986"/>
    </row>
    <row r="25" spans="1:38" ht="12.75" customHeight="1">
      <c r="A25" s="310">
        <f t="shared" ref="A25:A37" si="5">A24+1</f>
        <v>8</v>
      </c>
      <c r="C25" s="1000" t="s">
        <v>147</v>
      </c>
      <c r="D25" s="1000"/>
      <c r="E25" s="999">
        <f>218197.060003395+137.672417939007</f>
        <v>218334.73242133399</v>
      </c>
      <c r="F25" s="997"/>
      <c r="G25" s="999">
        <v>10989.997912981442</v>
      </c>
      <c r="H25" s="997"/>
      <c r="I25" s="999">
        <v>11714.202516693596</v>
      </c>
      <c r="J25" s="997"/>
      <c r="K25" s="999">
        <v>11802.000324895414</v>
      </c>
      <c r="L25" s="997"/>
      <c r="M25" s="999">
        <f t="shared" si="0"/>
        <v>-6670.8445751504551</v>
      </c>
      <c r="N25" s="997"/>
      <c r="O25" s="999">
        <f t="shared" si="1"/>
        <v>-2076.4779167852298</v>
      </c>
      <c r="P25" s="997"/>
      <c r="Q25" s="999">
        <f t="shared" si="2"/>
        <v>-1750.5805166394275</v>
      </c>
      <c r="R25" s="997"/>
      <c r="S25" s="999">
        <f t="shared" si="3"/>
        <v>-654.46708072173851</v>
      </c>
      <c r="T25" s="997"/>
      <c r="U25" s="999">
        <f t="shared" si="4"/>
        <v>-11152.370089296852</v>
      </c>
      <c r="W25" s="430"/>
    </row>
    <row r="26" spans="1:38" ht="12.75" customHeight="1">
      <c r="A26" s="310">
        <f t="shared" si="5"/>
        <v>9</v>
      </c>
      <c r="C26" s="1000" t="s">
        <v>1304</v>
      </c>
      <c r="D26" s="1000"/>
      <c r="E26" s="999">
        <v>54282.404614249623</v>
      </c>
      <c r="F26" s="997"/>
      <c r="G26" s="999">
        <v>5860.4598387337974</v>
      </c>
      <c r="H26" s="997"/>
      <c r="I26" s="999">
        <v>5059.0597195249675</v>
      </c>
      <c r="J26" s="997"/>
      <c r="K26" s="999">
        <v>4756.3251966324424</v>
      </c>
      <c r="L26" s="997"/>
      <c r="M26" s="999">
        <f t="shared" si="0"/>
        <v>-1658.5060944325805</v>
      </c>
      <c r="N26" s="997"/>
      <c r="O26" s="999">
        <f t="shared" si="1"/>
        <v>-1107.290058987476</v>
      </c>
      <c r="P26" s="997"/>
      <c r="Q26" s="999">
        <f t="shared" si="2"/>
        <v>-756.03024319366784</v>
      </c>
      <c r="R26" s="997"/>
      <c r="S26" s="999">
        <f t="shared" si="3"/>
        <v>-263.75683618962012</v>
      </c>
      <c r="T26" s="997"/>
      <c r="U26" s="999">
        <f t="shared" si="4"/>
        <v>-3785.5832328033448</v>
      </c>
      <c r="W26" s="430"/>
    </row>
    <row r="27" spans="1:38" ht="12.75" customHeight="1">
      <c r="A27" s="310">
        <f t="shared" si="5"/>
        <v>10</v>
      </c>
      <c r="C27" s="1000" t="s">
        <v>1305</v>
      </c>
      <c r="D27" s="1000"/>
      <c r="E27" s="999">
        <v>0</v>
      </c>
      <c r="F27" s="997"/>
      <c r="G27" s="999">
        <v>0</v>
      </c>
      <c r="H27" s="997"/>
      <c r="I27" s="999">
        <v>86.849663287554833</v>
      </c>
      <c r="J27" s="997"/>
      <c r="K27" s="999">
        <v>0</v>
      </c>
      <c r="L27" s="997"/>
      <c r="M27" s="999">
        <f t="shared" si="0"/>
        <v>0</v>
      </c>
      <c r="N27" s="997"/>
      <c r="O27" s="999">
        <f t="shared" si="1"/>
        <v>0</v>
      </c>
      <c r="P27" s="997"/>
      <c r="Q27" s="999">
        <f t="shared" si="2"/>
        <v>-12.978888508306371</v>
      </c>
      <c r="R27" s="997"/>
      <c r="S27" s="999">
        <f t="shared" si="3"/>
        <v>0</v>
      </c>
      <c r="T27" s="997"/>
      <c r="U27" s="999">
        <f t="shared" si="4"/>
        <v>-12.978888508306371</v>
      </c>
      <c r="W27" s="430"/>
    </row>
    <row r="28" spans="1:38" ht="12.75" customHeight="1">
      <c r="A28" s="310">
        <f t="shared" si="5"/>
        <v>11</v>
      </c>
      <c r="C28" s="1000" t="s">
        <v>149</v>
      </c>
      <c r="D28" s="1000"/>
      <c r="E28" s="999">
        <f>889.742361016308+45144.0289451327</f>
        <v>46033.771306149007</v>
      </c>
      <c r="F28" s="997"/>
      <c r="G28" s="999">
        <v>86.554000000000002</v>
      </c>
      <c r="H28" s="997"/>
      <c r="I28" s="999">
        <v>346.11679496263451</v>
      </c>
      <c r="J28" s="997"/>
      <c r="K28" s="999">
        <v>58.981045083446617</v>
      </c>
      <c r="L28" s="997"/>
      <c r="M28" s="999">
        <f t="shared" si="0"/>
        <v>-1406.483202126273</v>
      </c>
      <c r="N28" s="997"/>
      <c r="O28" s="999">
        <f t="shared" si="1"/>
        <v>-16.353731004546759</v>
      </c>
      <c r="P28" s="997"/>
      <c r="Q28" s="999">
        <f t="shared" si="2"/>
        <v>-51.723992041268893</v>
      </c>
      <c r="R28" s="997"/>
      <c r="S28" s="999">
        <f t="shared" si="3"/>
        <v>-3.2707296501470502</v>
      </c>
      <c r="T28" s="997"/>
      <c r="U28" s="999">
        <f t="shared" si="4"/>
        <v>-1477.8316548222358</v>
      </c>
      <c r="W28" s="430"/>
    </row>
    <row r="29" spans="1:38" ht="12.75" customHeight="1">
      <c r="A29" s="310">
        <f t="shared" si="5"/>
        <v>12</v>
      </c>
      <c r="C29" s="1000" t="s">
        <v>1306</v>
      </c>
      <c r="D29" s="1000"/>
      <c r="E29" s="999">
        <v>18421.462413893954</v>
      </c>
      <c r="F29" s="997"/>
      <c r="G29" s="999">
        <v>2496.386973830246</v>
      </c>
      <c r="H29" s="997"/>
      <c r="I29" s="999">
        <v>2304.268076096103</v>
      </c>
      <c r="J29" s="997"/>
      <c r="K29" s="999">
        <v>3756.1137236669888</v>
      </c>
      <c r="L29" s="997"/>
      <c r="M29" s="999">
        <f t="shared" si="0"/>
        <v>-562.8362984086308</v>
      </c>
      <c r="N29" s="997"/>
      <c r="O29" s="999">
        <f t="shared" si="1"/>
        <v>-471.67364943589382</v>
      </c>
      <c r="P29" s="997"/>
      <c r="Q29" s="999">
        <f t="shared" si="2"/>
        <v>-344.35180656810275</v>
      </c>
      <c r="R29" s="997"/>
      <c r="S29" s="999">
        <f t="shared" si="3"/>
        <v>-208.29119775583271</v>
      </c>
      <c r="T29" s="997"/>
      <c r="U29" s="999">
        <f t="shared" si="4"/>
        <v>-1587.1529521684599</v>
      </c>
      <c r="W29" s="430"/>
    </row>
    <row r="30" spans="1:38" ht="12.75" customHeight="1">
      <c r="A30" s="310">
        <f t="shared" si="5"/>
        <v>13</v>
      </c>
      <c r="C30" s="1000" t="s">
        <v>1307</v>
      </c>
      <c r="D30" s="1000"/>
      <c r="E30" s="999">
        <v>481.44576836975148</v>
      </c>
      <c r="F30" s="997"/>
      <c r="G30" s="999">
        <v>0</v>
      </c>
      <c r="H30" s="997"/>
      <c r="I30" s="999">
        <v>478.07999999999993</v>
      </c>
      <c r="J30" s="997"/>
      <c r="K30" s="999">
        <v>0</v>
      </c>
      <c r="L30" s="997"/>
      <c r="M30" s="999">
        <f t="shared" si="0"/>
        <v>-14.709752573680218</v>
      </c>
      <c r="N30" s="997"/>
      <c r="O30" s="999">
        <f t="shared" si="1"/>
        <v>0</v>
      </c>
      <c r="P30" s="997"/>
      <c r="Q30" s="999">
        <f t="shared" si="2"/>
        <v>-71.444687096907245</v>
      </c>
      <c r="R30" s="997"/>
      <c r="S30" s="999">
        <f t="shared" si="3"/>
        <v>0</v>
      </c>
      <c r="T30" s="997"/>
      <c r="U30" s="999">
        <f t="shared" si="4"/>
        <v>-86.154439670587465</v>
      </c>
      <c r="W30" s="430"/>
    </row>
    <row r="31" spans="1:38" ht="12.75" customHeight="1">
      <c r="A31" s="310">
        <f t="shared" si="5"/>
        <v>14</v>
      </c>
      <c r="C31" s="1000" t="s">
        <v>151</v>
      </c>
      <c r="D31" s="1000"/>
      <c r="E31" s="999">
        <f>3583.20180973728</f>
        <v>3583.2018097372802</v>
      </c>
      <c r="F31" s="997"/>
      <c r="G31" s="999">
        <v>546.43700000000001</v>
      </c>
      <c r="H31" s="997"/>
      <c r="I31" s="999">
        <v>0</v>
      </c>
      <c r="J31" s="997"/>
      <c r="K31" s="999">
        <v>544.74929999999995</v>
      </c>
      <c r="L31" s="997"/>
      <c r="M31" s="999">
        <f t="shared" si="0"/>
        <v>-109.47860694938893</v>
      </c>
      <c r="N31" s="997"/>
      <c r="O31" s="999">
        <f t="shared" si="1"/>
        <v>-103.24518461228271</v>
      </c>
      <c r="P31" s="997"/>
      <c r="Q31" s="999">
        <f t="shared" si="2"/>
        <v>0</v>
      </c>
      <c r="R31" s="997"/>
      <c r="S31" s="999">
        <f t="shared" si="3"/>
        <v>-30.208479434131</v>
      </c>
      <c r="T31" s="997"/>
      <c r="U31" s="999">
        <f t="shared" si="4"/>
        <v>-242.93227099580264</v>
      </c>
      <c r="W31" s="430"/>
    </row>
    <row r="32" spans="1:38" ht="12.75" customHeight="1">
      <c r="A32" s="310">
        <f t="shared" si="5"/>
        <v>15</v>
      </c>
      <c r="C32" s="1000" t="s">
        <v>1308</v>
      </c>
      <c r="D32" s="1000"/>
      <c r="E32" s="999">
        <v>35715.070367576373</v>
      </c>
      <c r="F32" s="997"/>
      <c r="G32" s="999">
        <v>2572.3598027522262</v>
      </c>
      <c r="H32" s="997"/>
      <c r="I32" s="999">
        <v>2092.0461491908472</v>
      </c>
      <c r="J32" s="997"/>
      <c r="K32" s="999">
        <v>2128.8787880535256</v>
      </c>
      <c r="L32" s="997"/>
      <c r="M32" s="999">
        <f t="shared" si="0"/>
        <v>-1091.2129314950153</v>
      </c>
      <c r="N32" s="997"/>
      <c r="O32" s="999">
        <f t="shared" si="1"/>
        <v>-486.02814729670342</v>
      </c>
      <c r="P32" s="997"/>
      <c r="Q32" s="999">
        <f t="shared" si="2"/>
        <v>-312.63717896843593</v>
      </c>
      <c r="R32" s="997"/>
      <c r="S32" s="999">
        <f t="shared" si="3"/>
        <v>-118.05465575939732</v>
      </c>
      <c r="T32" s="997"/>
      <c r="U32" s="999">
        <f t="shared" si="4"/>
        <v>-2007.9329135195519</v>
      </c>
      <c r="W32" s="430"/>
    </row>
    <row r="33" spans="1:23" ht="12.75" customHeight="1">
      <c r="A33" s="310">
        <f t="shared" si="5"/>
        <v>16</v>
      </c>
      <c r="C33" s="1000" t="s">
        <v>1309</v>
      </c>
      <c r="D33" s="1000"/>
      <c r="E33" s="999">
        <v>1929.5821361090043</v>
      </c>
      <c r="F33" s="997"/>
      <c r="G33" s="999">
        <v>0</v>
      </c>
      <c r="H33" s="997"/>
      <c r="I33" s="999">
        <v>0</v>
      </c>
      <c r="J33" s="997"/>
      <c r="K33" s="999">
        <v>0</v>
      </c>
      <c r="L33" s="997"/>
      <c r="M33" s="999">
        <f t="shared" si="0"/>
        <v>-58.955084160087722</v>
      </c>
      <c r="N33" s="997"/>
      <c r="O33" s="999">
        <f t="shared" si="1"/>
        <v>0</v>
      </c>
      <c r="P33" s="997"/>
      <c r="Q33" s="999">
        <f t="shared" si="2"/>
        <v>0</v>
      </c>
      <c r="R33" s="997"/>
      <c r="S33" s="999">
        <f t="shared" si="3"/>
        <v>0</v>
      </c>
      <c r="T33" s="997"/>
      <c r="U33" s="999">
        <f t="shared" si="4"/>
        <v>-58.955084160087722</v>
      </c>
      <c r="W33" s="430"/>
    </row>
    <row r="34" spans="1:23" ht="12.75" customHeight="1">
      <c r="A34" s="310">
        <f t="shared" si="5"/>
        <v>17</v>
      </c>
      <c r="C34" s="1000" t="s">
        <v>1310</v>
      </c>
      <c r="D34" s="1000"/>
      <c r="E34" s="999">
        <v>154209.62260773982</v>
      </c>
      <c r="F34" s="997"/>
      <c r="G34" s="999">
        <v>23429.185562249531</v>
      </c>
      <c r="H34" s="997"/>
      <c r="I34" s="999">
        <v>4107.8302281446267</v>
      </c>
      <c r="J34" s="997"/>
      <c r="K34" s="999">
        <v>25296.533467216694</v>
      </c>
      <c r="L34" s="997"/>
      <c r="M34" s="999">
        <f t="shared" si="0"/>
        <v>-4711.6114463349704</v>
      </c>
      <c r="N34" s="997"/>
      <c r="O34" s="999">
        <f t="shared" si="1"/>
        <v>-4426.7693964535365</v>
      </c>
      <c r="P34" s="997"/>
      <c r="Q34" s="999">
        <f t="shared" si="2"/>
        <v>-613.87768845592802</v>
      </c>
      <c r="R34" s="997"/>
      <c r="S34" s="999">
        <f t="shared" si="3"/>
        <v>-1402.791726394549</v>
      </c>
      <c r="T34" s="997"/>
      <c r="U34" s="999">
        <f t="shared" si="4"/>
        <v>-11155.050257638984</v>
      </c>
      <c r="W34" s="430"/>
    </row>
    <row r="35" spans="1:23" ht="12.75" customHeight="1">
      <c r="A35" s="310">
        <f t="shared" si="5"/>
        <v>18</v>
      </c>
      <c r="C35" s="1000" t="s">
        <v>1311</v>
      </c>
      <c r="D35" s="1000"/>
      <c r="E35" s="999">
        <v>12167.966215872308</v>
      </c>
      <c r="F35" s="997"/>
      <c r="G35" s="999">
        <v>0</v>
      </c>
      <c r="H35" s="997"/>
      <c r="I35" s="999">
        <v>1371.8493154563857</v>
      </c>
      <c r="J35" s="997"/>
      <c r="K35" s="999">
        <v>0</v>
      </c>
      <c r="L35" s="997"/>
      <c r="M35" s="999">
        <f t="shared" si="0"/>
        <v>-371.771410446625</v>
      </c>
      <c r="N35" s="997"/>
      <c r="O35" s="999">
        <f t="shared" si="1"/>
        <v>0</v>
      </c>
      <c r="P35" s="997"/>
      <c r="Q35" s="999">
        <f t="shared" si="2"/>
        <v>-205.01034363890543</v>
      </c>
      <c r="R35" s="997"/>
      <c r="S35" s="999">
        <f t="shared" si="3"/>
        <v>0</v>
      </c>
      <c r="T35" s="997"/>
      <c r="U35" s="999">
        <f t="shared" si="4"/>
        <v>-576.78175408553045</v>
      </c>
      <c r="W35" s="430"/>
    </row>
    <row r="36" spans="1:23" ht="12.75" customHeight="1">
      <c r="A36" s="310">
        <f t="shared" si="5"/>
        <v>19</v>
      </c>
      <c r="C36" s="1000" t="s">
        <v>154</v>
      </c>
      <c r="D36" s="1000"/>
      <c r="E36" s="999">
        <v>21976.041331708588</v>
      </c>
      <c r="F36" s="997"/>
      <c r="G36" s="999">
        <v>2501.0159999999996</v>
      </c>
      <c r="H36" s="997"/>
      <c r="I36" s="999">
        <v>0</v>
      </c>
      <c r="J36" s="997"/>
      <c r="K36" s="999">
        <v>2475.1964159999998</v>
      </c>
      <c r="L36" s="997"/>
      <c r="M36" s="999">
        <f t="shared" si="0"/>
        <v>-671.4403818170797</v>
      </c>
      <c r="N36" s="997"/>
      <c r="O36" s="999">
        <f t="shared" si="1"/>
        <v>-472.54826931242354</v>
      </c>
      <c r="P36" s="997"/>
      <c r="Q36" s="999">
        <f t="shared" si="2"/>
        <v>0</v>
      </c>
      <c r="R36" s="997"/>
      <c r="S36" s="999">
        <f t="shared" si="3"/>
        <v>-137.25932282642816</v>
      </c>
      <c r="T36" s="997"/>
      <c r="U36" s="999">
        <f t="shared" si="4"/>
        <v>-1281.2479739559315</v>
      </c>
      <c r="W36" s="430"/>
    </row>
    <row r="37" spans="1:23" ht="12.75" customHeight="1">
      <c r="A37" s="310">
        <f t="shared" si="5"/>
        <v>20</v>
      </c>
      <c r="C37" s="308" t="s">
        <v>155</v>
      </c>
      <c r="D37" s="308"/>
      <c r="E37" s="998">
        <f>SUM(E24:E36)</f>
        <v>2008294.7410333275</v>
      </c>
      <c r="F37" s="985"/>
      <c r="G37" s="998">
        <f>SUM(G24:G36)</f>
        <v>80455.977918333985</v>
      </c>
      <c r="H37" s="985"/>
      <c r="I37" s="998">
        <f>SUM(I24:I36)</f>
        <v>58590.314700039227</v>
      </c>
      <c r="J37" s="985"/>
      <c r="K37" s="998">
        <f>SUM(K24:K36)</f>
        <v>81791.19286665933</v>
      </c>
      <c r="L37" s="985"/>
      <c r="M37" s="998">
        <f>SUM(M24:M36)</f>
        <v>-61360.013269314855</v>
      </c>
      <c r="N37" s="985"/>
      <c r="O37" s="998">
        <f>SUM(O24:O36)</f>
        <v>-15201.555336370215</v>
      </c>
      <c r="P37" s="985"/>
      <c r="Q37" s="998">
        <f>SUM(Q24:Q36)</f>
        <v>-8755.787108127568</v>
      </c>
      <c r="R37" s="985"/>
      <c r="S37" s="998">
        <f>SUM(S24:S36)</f>
        <v>-4535.6415650383042</v>
      </c>
      <c r="T37" s="985"/>
      <c r="U37" s="998">
        <f>SUM(U24:U36)</f>
        <v>-89852.997278850948</v>
      </c>
      <c r="W37" s="430"/>
    </row>
    <row r="38" spans="1:23" ht="12.75" customHeight="1"/>
    <row r="39" spans="1:23" ht="12.75" customHeight="1">
      <c r="C39" s="775" t="s">
        <v>624</v>
      </c>
      <c r="D39" s="775"/>
      <c r="M39" s="288"/>
      <c r="N39" s="297"/>
      <c r="O39" s="288"/>
      <c r="P39" s="297"/>
      <c r="Q39" s="288"/>
      <c r="R39" s="297"/>
      <c r="S39" s="288"/>
      <c r="T39" s="297"/>
    </row>
    <row r="40" spans="1:23">
      <c r="A40" s="310">
        <f>A37+1</f>
        <v>21</v>
      </c>
      <c r="C40" s="1000" t="s">
        <v>629</v>
      </c>
      <c r="D40" s="1000"/>
      <c r="E40" s="999">
        <v>765893.13624700462</v>
      </c>
      <c r="F40" s="997"/>
      <c r="G40" s="999">
        <v>0</v>
      </c>
      <c r="H40" s="997"/>
      <c r="I40" s="985">
        <v>0</v>
      </c>
      <c r="J40" s="985"/>
      <c r="K40" s="985">
        <v>0</v>
      </c>
      <c r="L40" s="985"/>
      <c r="M40" s="999">
        <f t="shared" ref="M40:M45" si="6">E40/$E$48*$M$48</f>
        <v>-23400.555726602626</v>
      </c>
      <c r="N40" s="997"/>
      <c r="O40" s="999">
        <f t="shared" ref="O40:O45" si="7">G40/$G$48*$O$48</f>
        <v>0</v>
      </c>
      <c r="P40" s="997"/>
      <c r="Q40" s="999">
        <f t="shared" ref="Q40:Q45" si="8">I40/$I$48*$Q$48</f>
        <v>0</v>
      </c>
      <c r="R40" s="997"/>
      <c r="S40" s="999">
        <f t="shared" ref="S40:S45" si="9">K40/$K$48*$S$48</f>
        <v>0</v>
      </c>
      <c r="T40" s="997"/>
      <c r="U40" s="999">
        <f t="shared" ref="U40:U45" si="10">SUM(M40:S40)</f>
        <v>-23400.555726602626</v>
      </c>
    </row>
    <row r="41" spans="1:23">
      <c r="A41" s="310">
        <f t="shared" ref="A41:A46" si="11">A40+1</f>
        <v>22</v>
      </c>
      <c r="C41" s="1000" t="s">
        <v>437</v>
      </c>
      <c r="D41" s="1000"/>
      <c r="E41" s="999">
        <v>520.97980940705907</v>
      </c>
      <c r="F41" s="997"/>
      <c r="G41" s="999">
        <v>0</v>
      </c>
      <c r="H41" s="997"/>
      <c r="I41" s="985">
        <v>0</v>
      </c>
      <c r="J41" s="985"/>
      <c r="K41" s="985">
        <v>0</v>
      </c>
      <c r="L41" s="985"/>
      <c r="M41" s="999">
        <f t="shared" si="6"/>
        <v>-15.917647626669643</v>
      </c>
      <c r="N41" s="997"/>
      <c r="O41" s="999">
        <f t="shared" si="7"/>
        <v>0</v>
      </c>
      <c r="P41" s="997"/>
      <c r="Q41" s="999">
        <f t="shared" si="8"/>
        <v>0</v>
      </c>
      <c r="R41" s="997"/>
      <c r="S41" s="999">
        <f t="shared" si="9"/>
        <v>0</v>
      </c>
      <c r="T41" s="997"/>
      <c r="U41" s="999">
        <f t="shared" si="10"/>
        <v>-15.917647626669643</v>
      </c>
    </row>
    <row r="42" spans="1:23">
      <c r="A42" s="310">
        <f t="shared" si="11"/>
        <v>23</v>
      </c>
      <c r="C42" s="1000" t="s">
        <v>164</v>
      </c>
      <c r="D42" s="1000"/>
      <c r="E42" s="999">
        <v>947.0536840007843</v>
      </c>
      <c r="F42" s="997"/>
      <c r="G42" s="999">
        <v>0</v>
      </c>
      <c r="H42" s="997"/>
      <c r="I42" s="985">
        <v>0</v>
      </c>
      <c r="J42" s="985"/>
      <c r="K42" s="985">
        <v>0</v>
      </c>
      <c r="L42" s="985"/>
      <c r="M42" s="999">
        <f t="shared" si="6"/>
        <v>-28.935606626715398</v>
      </c>
      <c r="N42" s="997"/>
      <c r="O42" s="999">
        <f t="shared" si="7"/>
        <v>0</v>
      </c>
      <c r="P42" s="997"/>
      <c r="Q42" s="999">
        <f t="shared" si="8"/>
        <v>0</v>
      </c>
      <c r="R42" s="997"/>
      <c r="S42" s="999">
        <f t="shared" si="9"/>
        <v>0</v>
      </c>
      <c r="T42" s="997"/>
      <c r="U42" s="999">
        <f t="shared" si="10"/>
        <v>-28.935606626715398</v>
      </c>
    </row>
    <row r="43" spans="1:23">
      <c r="A43" s="310">
        <f t="shared" si="11"/>
        <v>24</v>
      </c>
      <c r="C43" s="1000" t="s">
        <v>165</v>
      </c>
      <c r="D43" s="1000"/>
      <c r="E43" s="999">
        <v>0</v>
      </c>
      <c r="F43" s="997"/>
      <c r="G43" s="999">
        <v>0</v>
      </c>
      <c r="H43" s="997"/>
      <c r="I43" s="985">
        <v>0</v>
      </c>
      <c r="J43" s="985"/>
      <c r="K43" s="985">
        <v>0</v>
      </c>
      <c r="L43" s="985"/>
      <c r="M43" s="999">
        <f t="shared" si="6"/>
        <v>0</v>
      </c>
      <c r="N43" s="997"/>
      <c r="O43" s="999">
        <f t="shared" si="7"/>
        <v>0</v>
      </c>
      <c r="P43" s="997"/>
      <c r="Q43" s="999">
        <f t="shared" si="8"/>
        <v>0</v>
      </c>
      <c r="R43" s="997"/>
      <c r="S43" s="999">
        <f t="shared" si="9"/>
        <v>0</v>
      </c>
      <c r="T43" s="997"/>
      <c r="U43" s="999">
        <f t="shared" si="10"/>
        <v>0</v>
      </c>
    </row>
    <row r="44" spans="1:23">
      <c r="A44" s="310">
        <f t="shared" si="11"/>
        <v>25</v>
      </c>
      <c r="C44" s="1000" t="s">
        <v>1312</v>
      </c>
      <c r="D44" s="1000"/>
      <c r="E44" s="999">
        <f>5512.93647831191</f>
        <v>5512.9364783119099</v>
      </c>
      <c r="F44" s="997"/>
      <c r="G44" s="999">
        <v>0</v>
      </c>
      <c r="H44" s="997"/>
      <c r="I44" s="985">
        <v>0</v>
      </c>
      <c r="J44" s="985"/>
      <c r="K44" s="985">
        <v>0</v>
      </c>
      <c r="L44" s="985"/>
      <c r="M44" s="999">
        <f t="shared" si="6"/>
        <v>-168.43835147825797</v>
      </c>
      <c r="N44" s="997"/>
      <c r="O44" s="999">
        <f t="shared" si="7"/>
        <v>0</v>
      </c>
      <c r="P44" s="997"/>
      <c r="Q44" s="999">
        <f t="shared" si="8"/>
        <v>0</v>
      </c>
      <c r="R44" s="997"/>
      <c r="S44" s="999">
        <f t="shared" si="9"/>
        <v>0</v>
      </c>
      <c r="T44" s="997"/>
      <c r="U44" s="999">
        <f t="shared" si="10"/>
        <v>-168.43835147825797</v>
      </c>
    </row>
    <row r="45" spans="1:23">
      <c r="A45" s="310">
        <f t="shared" si="11"/>
        <v>26</v>
      </c>
      <c r="C45" s="1000" t="s">
        <v>1313</v>
      </c>
      <c r="D45" s="1000"/>
      <c r="E45" s="999">
        <f>1381.09570811669</f>
        <v>1381.09570811669</v>
      </c>
      <c r="F45" s="997"/>
      <c r="G45" s="999">
        <v>0</v>
      </c>
      <c r="H45" s="997"/>
      <c r="I45" s="985">
        <v>0</v>
      </c>
      <c r="J45" s="985"/>
      <c r="K45" s="985">
        <v>0</v>
      </c>
      <c r="L45" s="985"/>
      <c r="M45" s="999">
        <f t="shared" si="6"/>
        <v>-42.197018816386759</v>
      </c>
      <c r="N45" s="997"/>
      <c r="O45" s="999">
        <f t="shared" si="7"/>
        <v>0</v>
      </c>
      <c r="P45" s="997"/>
      <c r="Q45" s="999">
        <f t="shared" si="8"/>
        <v>0</v>
      </c>
      <c r="R45" s="997"/>
      <c r="S45" s="999">
        <f t="shared" si="9"/>
        <v>0</v>
      </c>
      <c r="T45" s="997"/>
      <c r="U45" s="999">
        <f t="shared" si="10"/>
        <v>-42.197018816386759</v>
      </c>
    </row>
    <row r="46" spans="1:23">
      <c r="A46" s="310">
        <f t="shared" si="11"/>
        <v>27</v>
      </c>
      <c r="C46" s="308" t="s">
        <v>946</v>
      </c>
      <c r="D46" s="308"/>
      <c r="E46" s="998">
        <f>SUM(E40:E45)</f>
        <v>774255.20192684093</v>
      </c>
      <c r="F46" s="985"/>
      <c r="G46" s="998">
        <f>SUM(G40:G45)</f>
        <v>0</v>
      </c>
      <c r="H46" s="985"/>
      <c r="I46" s="998">
        <f>SUM(I40:I45)</f>
        <v>0</v>
      </c>
      <c r="J46" s="985"/>
      <c r="K46" s="998">
        <f>SUM(K40:K45)</f>
        <v>0</v>
      </c>
      <c r="L46" s="985"/>
      <c r="M46" s="998">
        <f>SUM(M40:M45)</f>
        <v>-23656.044351150653</v>
      </c>
      <c r="N46" s="997"/>
      <c r="O46" s="998">
        <f>SUM(O40:O45)</f>
        <v>0</v>
      </c>
      <c r="P46" s="997"/>
      <c r="Q46" s="998">
        <f>SUM(Q40:Q45)</f>
        <v>0</v>
      </c>
      <c r="R46" s="997"/>
      <c r="S46" s="998">
        <f>SUM(S40:S45)</f>
        <v>0</v>
      </c>
      <c r="T46" s="997"/>
      <c r="U46" s="998">
        <f>SUM(U40:U45)</f>
        <v>-23656.044351150653</v>
      </c>
    </row>
    <row r="47" spans="1:23">
      <c r="C47" s="308"/>
      <c r="D47" s="308"/>
      <c r="E47" s="985"/>
      <c r="F47" s="985"/>
      <c r="G47" s="985"/>
      <c r="H47" s="985"/>
      <c r="I47" s="985"/>
      <c r="J47" s="985"/>
      <c r="K47" s="985"/>
      <c r="L47" s="985"/>
      <c r="M47" s="997"/>
      <c r="N47" s="997"/>
      <c r="O47" s="997"/>
      <c r="P47" s="997"/>
      <c r="Q47" s="997"/>
      <c r="R47" s="997"/>
      <c r="S47" s="997"/>
      <c r="T47" s="997"/>
      <c r="U47" s="997"/>
    </row>
    <row r="48" spans="1:23" ht="12.95" thickBot="1">
      <c r="A48" s="310">
        <f>A46+1</f>
        <v>28</v>
      </c>
      <c r="C48" s="308" t="s">
        <v>1264</v>
      </c>
      <c r="D48" s="308"/>
      <c r="E48" s="994">
        <f>E21+E37+E46</f>
        <v>3691272.3736772938</v>
      </c>
      <c r="F48" s="997"/>
      <c r="G48" s="994">
        <f>G21+G37+G46</f>
        <v>80455.977918333985</v>
      </c>
      <c r="H48" s="997"/>
      <c r="I48" s="994">
        <f>I21+I37+I46</f>
        <v>58590.314700039227</v>
      </c>
      <c r="J48" s="997"/>
      <c r="K48" s="994">
        <f>K21+K37+K46</f>
        <v>81791.19286665933</v>
      </c>
      <c r="L48" s="997"/>
      <c r="M48" s="293">
        <f>SUM('Sch. 27 p.2'!$J$44+'Sch. 27 p.2'!$J$52)*1000</f>
        <v>-112780.51831822</v>
      </c>
      <c r="N48" s="996" t="s">
        <v>85</v>
      </c>
      <c r="O48" s="994">
        <f>'Sch. 27 p.2'!$J$47*1000</f>
        <v>-15201.555336370218</v>
      </c>
      <c r="P48" s="995" t="s">
        <v>87</v>
      </c>
      <c r="Q48" s="994">
        <f>'Sch. 27 p.2'!$J$48*1000</f>
        <v>-8755.7871081275698</v>
      </c>
      <c r="R48" s="995" t="s">
        <v>89</v>
      </c>
      <c r="S48" s="994">
        <f>'Sch. 27 p.2'!$J$49*1000</f>
        <v>-4535.6415650383042</v>
      </c>
      <c r="T48" s="995" t="s">
        <v>838</v>
      </c>
      <c r="U48" s="994">
        <f>U21+U37+U46</f>
        <v>-141273.50232775608</v>
      </c>
    </row>
    <row r="49" spans="1:20" ht="12.95" thickTop="1">
      <c r="M49" s="430"/>
      <c r="N49" s="430"/>
      <c r="O49" s="430"/>
      <c r="P49" s="430"/>
      <c r="Q49" s="430"/>
      <c r="R49" s="430"/>
      <c r="S49" s="430"/>
      <c r="T49" s="430"/>
    </row>
    <row r="50" spans="1:20">
      <c r="A50" s="775" t="s">
        <v>80</v>
      </c>
    </row>
    <row r="51" spans="1:20">
      <c r="A51" s="947" t="s">
        <v>40</v>
      </c>
      <c r="C51" s="252" t="s">
        <v>1314</v>
      </c>
      <c r="D51" s="252"/>
    </row>
    <row r="52" spans="1:20">
      <c r="A52" s="947" t="s">
        <v>20</v>
      </c>
      <c r="C52" s="252" t="s">
        <v>1315</v>
      </c>
      <c r="D52" s="252"/>
    </row>
    <row r="53" spans="1:20">
      <c r="A53" s="947" t="s">
        <v>21</v>
      </c>
      <c r="C53" s="252" t="s">
        <v>1316</v>
      </c>
      <c r="D53" s="252"/>
    </row>
    <row r="54" spans="1:20">
      <c r="A54" s="947" t="s">
        <v>28</v>
      </c>
      <c r="C54" s="252" t="s">
        <v>1317</v>
      </c>
      <c r="D54" s="252"/>
    </row>
    <row r="55" spans="1:20">
      <c r="A55" s="947" t="s">
        <v>85</v>
      </c>
      <c r="C55" s="252" t="s">
        <v>1318</v>
      </c>
      <c r="D55" s="252"/>
    </row>
    <row r="56" spans="1:20">
      <c r="A56" s="947" t="s">
        <v>87</v>
      </c>
      <c r="C56" s="252" t="s">
        <v>1319</v>
      </c>
      <c r="D56" s="252"/>
    </row>
    <row r="57" spans="1:20">
      <c r="A57" s="947" t="s">
        <v>89</v>
      </c>
      <c r="C57" s="252" t="s">
        <v>1320</v>
      </c>
      <c r="D57" s="252"/>
    </row>
    <row r="58" spans="1:20">
      <c r="A58" s="947" t="s">
        <v>838</v>
      </c>
      <c r="C58" s="252" t="s">
        <v>1321</v>
      </c>
      <c r="D58" s="252"/>
    </row>
    <row r="59" spans="1:20">
      <c r="A59" s="947"/>
    </row>
  </sheetData>
  <mergeCells count="4">
    <mergeCell ref="A4:U4"/>
    <mergeCell ref="E7:K7"/>
    <mergeCell ref="A11:A12"/>
    <mergeCell ref="M7:S7"/>
  </mergeCells>
  <printOptions horizontalCentered="1"/>
  <pageMargins left="0.45" right="0.45" top="0.75" bottom="0.75" header="0.3" footer="0.3"/>
  <pageSetup scale="55" firstPageNumber="4" orientation="landscape" useFirstPageNumber="1" r:id="rId1"/>
  <headerFooter>
    <oddHeader>&amp;R&amp;"Arial,Regular"&amp;10Filed: 2024-02-16
EB-2022-0200
Rate Order
Working Papers
Schedule 27
Page &amp;P of 6</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A574-FBD4-492D-BB4C-AA9FDBD45300}">
  <dimension ref="A1:X68"/>
  <sheetViews>
    <sheetView zoomScaleNormal="100" zoomScaleSheetLayoutView="100" workbookViewId="0">
      <selection activeCell="F6" sqref="F6"/>
    </sheetView>
  </sheetViews>
  <sheetFormatPr defaultColWidth="8" defaultRowHeight="12.6"/>
  <cols>
    <col min="1" max="1" width="4.75" style="310" customWidth="1"/>
    <col min="2" max="2" width="1.5" style="310" customWidth="1"/>
    <col min="3" max="3" width="22.625" style="310" customWidth="1"/>
    <col min="4" max="5" width="13.625" style="310" customWidth="1"/>
    <col min="6" max="6" width="10.25" style="310" customWidth="1"/>
    <col min="7" max="7" width="13.625" style="310" customWidth="1"/>
    <col min="8" max="8" width="1.5" style="310" customWidth="1"/>
    <col min="9" max="16384" width="8" style="252"/>
  </cols>
  <sheetData>
    <row r="1" spans="1:12">
      <c r="G1" s="314"/>
    </row>
    <row r="2" spans="1:12">
      <c r="G2" s="314"/>
    </row>
    <row r="3" spans="1:12">
      <c r="G3" s="314"/>
    </row>
    <row r="4" spans="1:12">
      <c r="G4" s="314"/>
    </row>
    <row r="5" spans="1:12">
      <c r="G5" s="314"/>
    </row>
    <row r="6" spans="1:12">
      <c r="G6" s="605"/>
    </row>
    <row r="7" spans="1:12" ht="12.75" customHeight="1">
      <c r="A7" s="1193" t="s">
        <v>1322</v>
      </c>
      <c r="B7" s="1193"/>
      <c r="C7" s="1193"/>
      <c r="D7" s="1193"/>
      <c r="E7" s="1193"/>
      <c r="F7" s="1193"/>
      <c r="G7" s="1193"/>
      <c r="H7" s="1193"/>
    </row>
    <row r="8" spans="1:12" ht="12.75" customHeight="1">
      <c r="A8" s="531"/>
      <c r="B8" s="531"/>
      <c r="C8" s="531"/>
      <c r="D8" s="531"/>
      <c r="E8" s="531"/>
      <c r="F8" s="531"/>
      <c r="G8" s="531"/>
      <c r="H8" s="531"/>
    </row>
    <row r="9" spans="1:12">
      <c r="A9" s="531"/>
      <c r="B9" s="531"/>
      <c r="C9" s="531"/>
      <c r="D9" s="310" t="s">
        <v>1323</v>
      </c>
      <c r="E9" s="310">
        <v>2024</v>
      </c>
      <c r="H9" s="531"/>
      <c r="I9" s="531"/>
      <c r="J9" s="531"/>
      <c r="K9" s="531"/>
    </row>
    <row r="10" spans="1:12">
      <c r="A10" s="531"/>
      <c r="B10" s="531"/>
      <c r="C10" s="531"/>
      <c r="D10" s="310" t="s">
        <v>1324</v>
      </c>
      <c r="E10" s="310" t="s">
        <v>1111</v>
      </c>
      <c r="G10" s="310" t="s">
        <v>991</v>
      </c>
      <c r="H10" s="531"/>
      <c r="I10" s="531"/>
      <c r="J10" s="531"/>
      <c r="K10" s="531"/>
    </row>
    <row r="11" spans="1:12">
      <c r="A11" s="1195" t="s">
        <v>4</v>
      </c>
      <c r="D11" s="310" t="s">
        <v>1325</v>
      </c>
      <c r="E11" s="991" t="s">
        <v>1326</v>
      </c>
      <c r="F11" s="310" t="s">
        <v>233</v>
      </c>
      <c r="G11" s="310" t="s">
        <v>1327</v>
      </c>
      <c r="H11" s="991"/>
    </row>
    <row r="12" spans="1:12">
      <c r="A12" s="1196"/>
      <c r="B12" s="991"/>
      <c r="C12" s="992" t="s">
        <v>194</v>
      </c>
      <c r="D12" s="1017" t="s">
        <v>248</v>
      </c>
      <c r="E12" s="1017" t="s">
        <v>858</v>
      </c>
      <c r="F12" s="991" t="s">
        <v>245</v>
      </c>
      <c r="G12" s="993" t="s">
        <v>1328</v>
      </c>
      <c r="H12" s="991"/>
    </row>
    <row r="13" spans="1:12" ht="12.75" customHeight="1">
      <c r="A13" s="531"/>
      <c r="B13" s="531"/>
      <c r="C13" s="531"/>
      <c r="D13" s="989" t="s">
        <v>9</v>
      </c>
      <c r="E13" s="989" t="s">
        <v>10</v>
      </c>
      <c r="F13" s="1016" t="s">
        <v>58</v>
      </c>
      <c r="G13" s="989" t="s">
        <v>1329</v>
      </c>
      <c r="H13" s="989"/>
    </row>
    <row r="14" spans="1:12" ht="12.75" customHeight="1">
      <c r="A14" s="531"/>
      <c r="B14" s="531"/>
      <c r="C14" s="531"/>
      <c r="D14" s="989"/>
      <c r="E14" s="989"/>
      <c r="F14" s="989"/>
      <c r="G14" s="989"/>
      <c r="H14" s="989"/>
    </row>
    <row r="15" spans="1:12" ht="12.75" customHeight="1">
      <c r="C15" s="775" t="s">
        <v>125</v>
      </c>
      <c r="E15" s="986"/>
      <c r="G15" s="989"/>
      <c r="H15" s="989"/>
    </row>
    <row r="16" spans="1:12" ht="12.75" customHeight="1">
      <c r="A16" s="310">
        <v>1</v>
      </c>
      <c r="C16" s="988" t="s">
        <v>127</v>
      </c>
      <c r="D16" s="999">
        <f>+'Sch. 27 p.3'!Q16</f>
        <v>-84827.136218220665</v>
      </c>
      <c r="E16" s="999">
        <v>2146382.684925254</v>
      </c>
      <c r="F16" s="310" t="s">
        <v>262</v>
      </c>
      <c r="G16" s="1013">
        <f t="shared" ref="G16:G25" si="0">D16/E16*100</f>
        <v>-3.9520974900696566</v>
      </c>
      <c r="H16" s="981"/>
      <c r="I16" s="1015"/>
      <c r="L16" s="986"/>
    </row>
    <row r="17" spans="1:24" ht="12.75" customHeight="1">
      <c r="A17" s="310">
        <f t="shared" ref="A17:A27" si="1">A16+1</f>
        <v>2</v>
      </c>
      <c r="C17" s="988" t="s">
        <v>128</v>
      </c>
      <c r="D17" s="999">
        <f>+'Sch. 27 p.3'!Q17</f>
        <v>-22226.646289704222</v>
      </c>
      <c r="E17" s="999">
        <v>2078899.301296097</v>
      </c>
      <c r="F17" s="310" t="s">
        <v>262</v>
      </c>
      <c r="G17" s="1013">
        <f t="shared" si="0"/>
        <v>-1.0691545413405519</v>
      </c>
      <c r="H17" s="981"/>
      <c r="M17" s="986"/>
      <c r="W17" s="986"/>
      <c r="X17" s="986"/>
    </row>
    <row r="18" spans="1:24" ht="12.75" customHeight="1">
      <c r="A18" s="310">
        <f t="shared" si="1"/>
        <v>3</v>
      </c>
      <c r="C18" s="988" t="s">
        <v>129</v>
      </c>
      <c r="D18" s="999">
        <f>+'Sch. 27 p.3'!Q18</f>
        <v>-1.5434430275797083E-7</v>
      </c>
      <c r="E18" s="999">
        <v>3002.24</v>
      </c>
      <c r="F18" s="310" t="s">
        <v>281</v>
      </c>
      <c r="G18" s="1013">
        <f t="shared" si="0"/>
        <v>-5.1409714998791178E-9</v>
      </c>
      <c r="H18" s="981"/>
    </row>
    <row r="19" spans="1:24" ht="12.75" customHeight="1">
      <c r="A19" s="310">
        <f t="shared" si="1"/>
        <v>4</v>
      </c>
      <c r="C19" s="988" t="s">
        <v>130</v>
      </c>
      <c r="D19" s="999">
        <f>+'Sch. 27 p.3'!Q19</f>
        <v>-2037.3567409292268</v>
      </c>
      <c r="E19" s="999">
        <v>50435.911999999997</v>
      </c>
      <c r="F19" s="310" t="s">
        <v>281</v>
      </c>
      <c r="G19" s="1013">
        <f t="shared" si="0"/>
        <v>-4.0394961846416635</v>
      </c>
      <c r="H19" s="981"/>
      <c r="P19" s="986"/>
      <c r="Q19" s="986"/>
    </row>
    <row r="20" spans="1:24" ht="12.75" customHeight="1">
      <c r="A20" s="310">
        <f t="shared" si="1"/>
        <v>5</v>
      </c>
      <c r="C20" s="988" t="s">
        <v>131</v>
      </c>
      <c r="D20" s="999">
        <f>+'Sch. 27 p.3'!Q20</f>
        <v>-732.97021715203221</v>
      </c>
      <c r="E20" s="999">
        <v>9653.8799999999992</v>
      </c>
      <c r="F20" s="310" t="s">
        <v>281</v>
      </c>
      <c r="G20" s="1013">
        <f t="shared" si="0"/>
        <v>-7.5924935585695312</v>
      </c>
      <c r="H20" s="981"/>
    </row>
    <row r="21" spans="1:24" ht="12.75" customHeight="1">
      <c r="A21" s="310">
        <f t="shared" si="1"/>
        <v>6</v>
      </c>
      <c r="C21" s="988" t="s">
        <v>132</v>
      </c>
      <c r="D21" s="999">
        <f>+'Sch. 27 p.3'!Q21</f>
        <v>-1651.3049691635561</v>
      </c>
      <c r="E21" s="999">
        <v>74082.856</v>
      </c>
      <c r="F21" s="310" t="s">
        <v>281</v>
      </c>
      <c r="G21" s="1013">
        <f t="shared" si="0"/>
        <v>-2.2289974473494327</v>
      </c>
      <c r="H21" s="981"/>
    </row>
    <row r="22" spans="1:24" ht="12.75" customHeight="1">
      <c r="A22" s="310">
        <f t="shared" si="1"/>
        <v>7</v>
      </c>
      <c r="C22" s="988" t="s">
        <v>133</v>
      </c>
      <c r="D22" s="999">
        <f>+'Sch. 27 p.3'!Q22</f>
        <v>-102.40272501723996</v>
      </c>
      <c r="E22" s="999">
        <v>51097.080999999998</v>
      </c>
      <c r="F22" s="310" t="s">
        <v>262</v>
      </c>
      <c r="G22" s="1013">
        <f t="shared" si="0"/>
        <v>-0.20040817012079412</v>
      </c>
      <c r="H22" s="981"/>
    </row>
    <row r="23" spans="1:24" ht="12.75" customHeight="1">
      <c r="A23" s="310">
        <f t="shared" si="1"/>
        <v>8</v>
      </c>
      <c r="C23" s="988" t="s">
        <v>134</v>
      </c>
      <c r="D23" s="999">
        <f>+'Sch. 27 p.3'!Q23</f>
        <v>-181.82468155240213</v>
      </c>
      <c r="E23" s="999">
        <v>4092.3199999999997</v>
      </c>
      <c r="F23" s="310" t="s">
        <v>281</v>
      </c>
      <c r="G23" s="1013">
        <f t="shared" si="0"/>
        <v>-4.4430709610294921</v>
      </c>
      <c r="H23" s="981"/>
    </row>
    <row r="24" spans="1:24" ht="12.75" customHeight="1">
      <c r="A24" s="310">
        <f t="shared" si="1"/>
        <v>9</v>
      </c>
      <c r="C24" s="988" t="s">
        <v>135</v>
      </c>
      <c r="D24" s="999">
        <f>+'Sch. 27 p.3'!Q24</f>
        <v>-255.5332002518081</v>
      </c>
      <c r="E24" s="999">
        <v>20618.511999999999</v>
      </c>
      <c r="F24" s="310" t="s">
        <v>281</v>
      </c>
      <c r="G24" s="1013">
        <f t="shared" si="0"/>
        <v>-1.2393387081075884</v>
      </c>
      <c r="H24" s="981"/>
    </row>
    <row r="25" spans="1:24" ht="12.75" customHeight="1">
      <c r="A25" s="310">
        <f t="shared" si="1"/>
        <v>10</v>
      </c>
      <c r="C25" s="988" t="s">
        <v>136</v>
      </c>
      <c r="D25" s="999">
        <f>+'Sch. 27 p.3'!Q25</f>
        <v>169.73877380796796</v>
      </c>
      <c r="E25" s="999">
        <v>10016.799999999999</v>
      </c>
      <c r="F25" s="310" t="s">
        <v>281</v>
      </c>
      <c r="G25" s="1013">
        <f t="shared" si="0"/>
        <v>1.6945409093519683</v>
      </c>
      <c r="H25" s="981"/>
    </row>
    <row r="26" spans="1:24" ht="12.75" customHeight="1">
      <c r="A26" s="310">
        <f t="shared" si="1"/>
        <v>11</v>
      </c>
      <c r="C26" s="988" t="s">
        <v>137</v>
      </c>
      <c r="D26" s="999">
        <f>+'Sch. 27 p.3'!Q26</f>
        <v>-14.023453442434517</v>
      </c>
      <c r="E26" s="999">
        <v>0</v>
      </c>
      <c r="F26" s="310" t="s">
        <v>281</v>
      </c>
      <c r="G26" s="1013">
        <v>0</v>
      </c>
      <c r="H26" s="981"/>
    </row>
    <row r="27" spans="1:24" ht="12.75" customHeight="1">
      <c r="A27" s="310">
        <f t="shared" si="1"/>
        <v>12</v>
      </c>
      <c r="C27" s="308" t="s">
        <v>138</v>
      </c>
      <c r="D27" s="1014">
        <f>SUM(D16:D26)</f>
        <v>-111859.45972177996</v>
      </c>
      <c r="E27" s="981"/>
      <c r="F27" s="981"/>
      <c r="G27" s="997"/>
      <c r="H27" s="981"/>
    </row>
    <row r="28" spans="1:24" ht="12.75" customHeight="1">
      <c r="C28" s="775"/>
      <c r="E28" s="986"/>
      <c r="G28" s="989"/>
      <c r="H28" s="989"/>
    </row>
    <row r="29" spans="1:24" ht="12.75" customHeight="1">
      <c r="C29" s="775" t="s">
        <v>139</v>
      </c>
      <c r="E29" s="999"/>
      <c r="H29" s="989"/>
    </row>
    <row r="30" spans="1:24" ht="12.75" customHeight="1">
      <c r="A30" s="310">
        <f>A27+1</f>
        <v>13</v>
      </c>
      <c r="C30" s="1000" t="s">
        <v>140</v>
      </c>
      <c r="D30" s="986">
        <f>'Sch. 27 p.4'!U16</f>
        <v>-20159.070414704027</v>
      </c>
      <c r="E30" s="999">
        <v>419838.37399899703</v>
      </c>
      <c r="F30" s="310" t="s">
        <v>262</v>
      </c>
      <c r="G30" s="1013">
        <f>D30/E30*100</f>
        <v>-4.8016264503616304</v>
      </c>
      <c r="H30" s="989"/>
    </row>
    <row r="31" spans="1:24" ht="12.75" customHeight="1">
      <c r="A31" s="310">
        <f>A30+1</f>
        <v>14</v>
      </c>
      <c r="C31" s="1000" t="s">
        <v>141</v>
      </c>
      <c r="D31" s="986">
        <f>'Sch. 27 p.4'!U17</f>
        <v>-3106.9102950203305</v>
      </c>
      <c r="E31" s="999">
        <v>166805.14384610107</v>
      </c>
      <c r="F31" s="310" t="s">
        <v>262</v>
      </c>
      <c r="G31" s="1013">
        <f>D31/E31*100</f>
        <v>-1.8625986125984519</v>
      </c>
      <c r="H31" s="989"/>
    </row>
    <row r="32" spans="1:24" ht="12.75" customHeight="1">
      <c r="A32" s="310">
        <f>A31+1</f>
        <v>15</v>
      </c>
      <c r="C32" s="1000" t="s">
        <v>142</v>
      </c>
      <c r="D32" s="986">
        <f>'Sch. 27 p.4'!U18</f>
        <v>-2200.6606895097188</v>
      </c>
      <c r="E32" s="999">
        <v>61154.512000000002</v>
      </c>
      <c r="F32" s="310" t="s">
        <v>281</v>
      </c>
      <c r="G32" s="1013">
        <f>D32/E32*100</f>
        <v>-3.5985254685863879</v>
      </c>
      <c r="H32" s="989"/>
    </row>
    <row r="33" spans="1:8" ht="12.75" customHeight="1">
      <c r="A33" s="310">
        <f>A32+1</f>
        <v>16</v>
      </c>
      <c r="C33" s="1000" t="s">
        <v>143</v>
      </c>
      <c r="D33" s="986">
        <f>'Sch. 27 p.4'!U19</f>
        <v>-602.26115469379727</v>
      </c>
      <c r="E33" s="999">
        <v>93495.360420000012</v>
      </c>
      <c r="F33" s="310" t="s">
        <v>262</v>
      </c>
      <c r="G33" s="1013">
        <f>D33/E33*100</f>
        <v>-0.64416154126613201</v>
      </c>
      <c r="H33" s="989"/>
    </row>
    <row r="34" spans="1:8" ht="12.75" customHeight="1">
      <c r="A34" s="310">
        <f>A33+1</f>
        <v>17</v>
      </c>
      <c r="C34" s="1000" t="s">
        <v>129</v>
      </c>
      <c r="D34" s="986">
        <f>'Sch. 27 p.4'!U20</f>
        <v>-1695.5581438266147</v>
      </c>
      <c r="E34" s="986">
        <v>28033.360000000001</v>
      </c>
      <c r="F34" s="310" t="s">
        <v>281</v>
      </c>
      <c r="G34" s="1013">
        <f>D34/E34*100</f>
        <v>-6.0483586121200412</v>
      </c>
      <c r="H34" s="989"/>
    </row>
    <row r="35" spans="1:8" ht="12.75" customHeight="1">
      <c r="A35" s="310">
        <f>A34+1</f>
        <v>18</v>
      </c>
      <c r="C35" s="1001" t="s">
        <v>144</v>
      </c>
      <c r="D35" s="1012">
        <f>SUM(D30:D34)</f>
        <v>-27764.46069775449</v>
      </c>
      <c r="E35" s="981"/>
      <c r="F35" s="985"/>
      <c r="G35" s="985"/>
      <c r="H35" s="989"/>
    </row>
    <row r="36" spans="1:8" ht="12.75" customHeight="1">
      <c r="C36" s="308"/>
      <c r="E36" s="986"/>
      <c r="H36" s="989"/>
    </row>
    <row r="37" spans="1:8" ht="12.75" customHeight="1">
      <c r="C37" s="775" t="s">
        <v>145</v>
      </c>
      <c r="E37" s="999"/>
      <c r="H37" s="989"/>
    </row>
    <row r="38" spans="1:8" ht="12.75" customHeight="1">
      <c r="A38" s="310">
        <f>A35+1</f>
        <v>19</v>
      </c>
      <c r="C38" s="1000" t="s">
        <v>146</v>
      </c>
      <c r="D38" s="986">
        <f>'Sch. 27 p.4'!U24</f>
        <v>-56428.025767225263</v>
      </c>
      <c r="E38" s="999">
        <v>1418219.956172256</v>
      </c>
      <c r="F38" s="310" t="s">
        <v>262</v>
      </c>
      <c r="G38" s="1013">
        <f t="shared" ref="G38:G50" si="2">D38/E38*100</f>
        <v>-3.9787922544485448</v>
      </c>
      <c r="H38" s="989"/>
    </row>
    <row r="39" spans="1:8" ht="12.75" customHeight="1">
      <c r="A39" s="310">
        <f t="shared" ref="A39:A51" si="3">A38+1</f>
        <v>20</v>
      </c>
      <c r="C39" s="1000" t="s">
        <v>147</v>
      </c>
      <c r="D39" s="986">
        <f>'Sch. 27 p.4'!U25</f>
        <v>-11152.370089296852</v>
      </c>
      <c r="E39" s="999">
        <v>672042.15088004968</v>
      </c>
      <c r="F39" s="310" t="s">
        <v>262</v>
      </c>
      <c r="G39" s="1013">
        <f t="shared" si="2"/>
        <v>-1.6594747925695805</v>
      </c>
      <c r="H39" s="989"/>
    </row>
    <row r="40" spans="1:8" ht="12.75" customHeight="1">
      <c r="A40" s="310">
        <f t="shared" si="3"/>
        <v>21</v>
      </c>
      <c r="C40" s="1000" t="s">
        <v>1304</v>
      </c>
      <c r="D40" s="986">
        <f>'Sch. 27 p.4'!U26</f>
        <v>-3785.5832328033448</v>
      </c>
      <c r="E40" s="999">
        <v>31301.096000000001</v>
      </c>
      <c r="F40" s="310" t="s">
        <v>281</v>
      </c>
      <c r="G40" s="1013">
        <f t="shared" si="2"/>
        <v>-12.094091634373903</v>
      </c>
      <c r="H40" s="989"/>
    </row>
    <row r="41" spans="1:8" ht="12.75" customHeight="1">
      <c r="A41" s="310">
        <f t="shared" si="3"/>
        <v>22</v>
      </c>
      <c r="C41" s="1000" t="s">
        <v>1305</v>
      </c>
      <c r="D41" s="986">
        <f>'Sch. 27 p.4'!U27</f>
        <v>-12.978888508306371</v>
      </c>
      <c r="E41" s="999">
        <v>229.77864000000002</v>
      </c>
      <c r="F41" s="310" t="s">
        <v>262</v>
      </c>
      <c r="G41" s="1013">
        <f t="shared" si="2"/>
        <v>-5.6484312503139407</v>
      </c>
      <c r="H41" s="989"/>
    </row>
    <row r="42" spans="1:8" ht="12.75" customHeight="1">
      <c r="A42" s="310">
        <f t="shared" si="3"/>
        <v>23</v>
      </c>
      <c r="C42" s="1000" t="s">
        <v>1330</v>
      </c>
      <c r="D42" s="986">
        <f>'Sch. 27 p.4'!U28</f>
        <v>-1477.8316548222358</v>
      </c>
      <c r="E42" s="999">
        <v>41729.039689999998</v>
      </c>
      <c r="F42" s="310" t="s">
        <v>262</v>
      </c>
      <c r="G42" s="1013">
        <f t="shared" si="2"/>
        <v>-3.5414945222820098</v>
      </c>
      <c r="H42" s="989"/>
    </row>
    <row r="43" spans="1:8" ht="12.75" customHeight="1">
      <c r="A43" s="310">
        <f t="shared" si="3"/>
        <v>24</v>
      </c>
      <c r="C43" s="1000" t="s">
        <v>1306</v>
      </c>
      <c r="D43" s="986">
        <f>'Sch. 27 p.4'!U29</f>
        <v>-1587.1529521684599</v>
      </c>
      <c r="E43" s="986">
        <v>48214.168000000005</v>
      </c>
      <c r="F43" s="310" t="s">
        <v>281</v>
      </c>
      <c r="G43" s="1013">
        <f t="shared" si="2"/>
        <v>-3.2918808267488089</v>
      </c>
      <c r="H43" s="989"/>
    </row>
    <row r="44" spans="1:8" ht="12.75" customHeight="1">
      <c r="A44" s="310">
        <f t="shared" si="3"/>
        <v>25</v>
      </c>
      <c r="C44" s="1000" t="s">
        <v>1307</v>
      </c>
      <c r="D44" s="986">
        <f>'Sch. 27 p.4'!U30</f>
        <v>-86.154439670587465</v>
      </c>
      <c r="E44" s="999">
        <v>41749.229210000005</v>
      </c>
      <c r="F44" s="310" t="s">
        <v>262</v>
      </c>
      <c r="G44" s="1013">
        <f t="shared" si="2"/>
        <v>-0.20636174918877612</v>
      </c>
      <c r="H44" s="989"/>
    </row>
    <row r="45" spans="1:8" ht="12.75" customHeight="1">
      <c r="A45" s="310">
        <f t="shared" si="3"/>
        <v>26</v>
      </c>
      <c r="C45" s="1000" t="s">
        <v>151</v>
      </c>
      <c r="D45" s="986">
        <f>'Sch. 27 p.4'!U31</f>
        <v>-242.93227099580264</v>
      </c>
      <c r="E45" s="986">
        <v>4026.9759999999997</v>
      </c>
      <c r="F45" s="310" t="s">
        <v>281</v>
      </c>
      <c r="G45" s="1013">
        <f t="shared" si="2"/>
        <v>-6.0326227669547237</v>
      </c>
      <c r="H45" s="989"/>
    </row>
    <row r="46" spans="1:8" ht="12.75" customHeight="1">
      <c r="A46" s="310">
        <f t="shared" si="3"/>
        <v>27</v>
      </c>
      <c r="C46" s="1000" t="s">
        <v>1308</v>
      </c>
      <c r="D46" s="986">
        <f>'Sch. 27 p.4'!U32</f>
        <v>-2007.9329135195519</v>
      </c>
      <c r="E46" s="986">
        <v>17693.232</v>
      </c>
      <c r="F46" s="310" t="s">
        <v>281</v>
      </c>
      <c r="G46" s="1013">
        <f t="shared" si="2"/>
        <v>-11.348593142957441</v>
      </c>
      <c r="H46" s="989"/>
    </row>
    <row r="47" spans="1:8" ht="12.75" customHeight="1">
      <c r="A47" s="310">
        <f t="shared" si="3"/>
        <v>28</v>
      </c>
      <c r="C47" s="1000" t="s">
        <v>1309</v>
      </c>
      <c r="D47" s="986">
        <f>'Sch. 27 p.4'!U33</f>
        <v>-58.955084160087722</v>
      </c>
      <c r="E47" s="999">
        <v>24634.758120000002</v>
      </c>
      <c r="F47" s="310" t="s">
        <v>262</v>
      </c>
      <c r="G47" s="1013">
        <f t="shared" si="2"/>
        <v>-0.23931667553993308</v>
      </c>
      <c r="H47" s="989"/>
    </row>
    <row r="48" spans="1:8" ht="12.75" customHeight="1">
      <c r="A48" s="310">
        <f t="shared" si="3"/>
        <v>29</v>
      </c>
      <c r="C48" s="1000" t="s">
        <v>1310</v>
      </c>
      <c r="D48" s="986">
        <f>'Sch. 27 p.4'!U34</f>
        <v>-11155.050257638984</v>
      </c>
      <c r="E48" s="986">
        <v>207033.016</v>
      </c>
      <c r="F48" s="310" t="s">
        <v>281</v>
      </c>
      <c r="G48" s="1013">
        <f t="shared" si="2"/>
        <v>-5.3880537863772338</v>
      </c>
      <c r="H48" s="989"/>
    </row>
    <row r="49" spans="1:8" ht="12.75" customHeight="1">
      <c r="A49" s="310">
        <f t="shared" si="3"/>
        <v>30</v>
      </c>
      <c r="C49" s="1000" t="s">
        <v>1311</v>
      </c>
      <c r="D49" s="986">
        <f>'Sch. 27 p.4'!U35</f>
        <v>-576.78175408553045</v>
      </c>
      <c r="E49" s="999">
        <v>18840.365090000003</v>
      </c>
      <c r="F49" s="310" t="s">
        <v>262</v>
      </c>
      <c r="G49" s="1013">
        <f t="shared" si="2"/>
        <v>-3.0614149531086947</v>
      </c>
      <c r="H49" s="989"/>
    </row>
    <row r="50" spans="1:8" ht="12.75" customHeight="1">
      <c r="A50" s="310">
        <f t="shared" si="3"/>
        <v>31</v>
      </c>
      <c r="C50" s="1000" t="s">
        <v>154</v>
      </c>
      <c r="D50" s="986">
        <f>'Sch. 27 p.4'!U36</f>
        <v>-1281.2479739559315</v>
      </c>
      <c r="E50" s="986">
        <v>18800</v>
      </c>
      <c r="F50" s="310" t="s">
        <v>281</v>
      </c>
      <c r="G50" s="1013">
        <f t="shared" si="2"/>
        <v>-6.8151487976379332</v>
      </c>
      <c r="H50" s="989"/>
    </row>
    <row r="51" spans="1:8" ht="12.75" customHeight="1">
      <c r="A51" s="310">
        <f t="shared" si="3"/>
        <v>32</v>
      </c>
      <c r="C51" s="308" t="s">
        <v>155</v>
      </c>
      <c r="D51" s="1012">
        <f>SUM(D38:D50)</f>
        <v>-89852.997278850948</v>
      </c>
      <c r="E51" s="981"/>
      <c r="F51" s="985"/>
      <c r="G51" s="985"/>
      <c r="H51" s="989"/>
    </row>
    <row r="52" spans="1:8" ht="12.75" customHeight="1">
      <c r="E52" s="986"/>
      <c r="H52" s="989"/>
    </row>
    <row r="53" spans="1:8" ht="12.75" customHeight="1">
      <c r="C53" s="775" t="s">
        <v>1331</v>
      </c>
      <c r="H53" s="989"/>
    </row>
    <row r="54" spans="1:8" ht="12.75" customHeight="1">
      <c r="A54" s="310">
        <f>A51+1</f>
        <v>33</v>
      </c>
      <c r="C54" s="1000" t="s">
        <v>629</v>
      </c>
      <c r="D54" s="986">
        <f>'Sch. 27 p.4'!U40</f>
        <v>-23400.555726602626</v>
      </c>
      <c r="F54" s="981"/>
      <c r="H54" s="989"/>
    </row>
    <row r="55" spans="1:8" ht="12.75" customHeight="1">
      <c r="A55" s="310">
        <f>A54+1</f>
        <v>34</v>
      </c>
      <c r="C55" s="1000" t="s">
        <v>437</v>
      </c>
      <c r="D55" s="986">
        <f>'Sch. 27 p.4'!U41</f>
        <v>-15.917647626669643</v>
      </c>
      <c r="F55" s="981"/>
      <c r="H55" s="989"/>
    </row>
    <row r="56" spans="1:8" ht="12.75" customHeight="1">
      <c r="A56" s="310">
        <f>A55+1</f>
        <v>35</v>
      </c>
      <c r="C56" s="1000" t="s">
        <v>164</v>
      </c>
      <c r="D56" s="986">
        <f>'Sch. 27 p.4'!U42</f>
        <v>-28.935606626715398</v>
      </c>
      <c r="F56" s="981"/>
      <c r="H56" s="989"/>
    </row>
    <row r="57" spans="1:8" ht="12.75" customHeight="1">
      <c r="A57" s="310">
        <f>A56+1</f>
        <v>36</v>
      </c>
      <c r="C57" s="1000" t="s">
        <v>165</v>
      </c>
      <c r="D57" s="986">
        <f>'Sch. 27 p.4'!U43</f>
        <v>0</v>
      </c>
      <c r="F57" s="981"/>
      <c r="H57" s="989"/>
    </row>
    <row r="58" spans="1:8" ht="12.75" customHeight="1">
      <c r="A58" s="310">
        <f>A57+1</f>
        <v>37</v>
      </c>
      <c r="C58" s="1000" t="s">
        <v>162</v>
      </c>
      <c r="D58" s="986">
        <f>'Sch. 27 p.4'!U44</f>
        <v>-168.43835147825797</v>
      </c>
      <c r="F58" s="981"/>
      <c r="H58" s="989"/>
    </row>
    <row r="59" spans="1:8" ht="12.75" customHeight="1">
      <c r="A59" s="310">
        <f>A58+1</f>
        <v>38</v>
      </c>
      <c r="C59" s="308" t="s">
        <v>946</v>
      </c>
      <c r="D59" s="1011">
        <f>SUM(D54:D58)</f>
        <v>-23613.847332334266</v>
      </c>
      <c r="F59" s="981"/>
      <c r="H59" s="989"/>
    </row>
    <row r="60" spans="1:8" ht="12.75" customHeight="1">
      <c r="C60" s="308"/>
      <c r="D60" s="981"/>
      <c r="F60" s="981"/>
      <c r="H60" s="989"/>
    </row>
    <row r="61" spans="1:8">
      <c r="A61" s="310">
        <f>A59+1</f>
        <v>39</v>
      </c>
      <c r="C61" s="308" t="s">
        <v>1264</v>
      </c>
      <c r="D61" s="1010">
        <f>D35+D51+D59</f>
        <v>-141231.30530893971</v>
      </c>
      <c r="E61" s="981"/>
      <c r="F61" s="981"/>
      <c r="G61" s="981"/>
      <c r="H61" s="985"/>
    </row>
    <row r="62" spans="1:8">
      <c r="C62" s="308"/>
      <c r="D62" s="981"/>
      <c r="E62" s="981"/>
      <c r="F62" s="981"/>
      <c r="G62" s="981"/>
      <c r="H62" s="985"/>
    </row>
    <row r="63" spans="1:8">
      <c r="A63" s="310">
        <f>A61+1</f>
        <v>40</v>
      </c>
      <c r="C63" s="308" t="s">
        <v>8</v>
      </c>
      <c r="D63" s="1010">
        <f>D61+D27</f>
        <v>-253090.76503071969</v>
      </c>
      <c r="E63" s="981"/>
      <c r="F63" s="981"/>
      <c r="G63" s="981"/>
      <c r="H63" s="981"/>
    </row>
    <row r="64" spans="1:8">
      <c r="F64" s="981"/>
      <c r="G64" s="981"/>
    </row>
    <row r="65" spans="1:3">
      <c r="A65" s="775" t="s">
        <v>80</v>
      </c>
    </row>
    <row r="66" spans="1:3">
      <c r="A66" s="947" t="s">
        <v>40</v>
      </c>
      <c r="C66" s="308" t="s">
        <v>1332</v>
      </c>
    </row>
    <row r="67" spans="1:3">
      <c r="A67" s="947" t="s">
        <v>20</v>
      </c>
      <c r="C67" s="308" t="s">
        <v>1333</v>
      </c>
    </row>
    <row r="68" spans="1:3">
      <c r="A68" s="947" t="s">
        <v>21</v>
      </c>
      <c r="C68" s="308" t="s">
        <v>1334</v>
      </c>
    </row>
  </sheetData>
  <mergeCells count="2">
    <mergeCell ref="A7:H7"/>
    <mergeCell ref="A11:A12"/>
  </mergeCells>
  <printOptions horizontalCentered="1"/>
  <pageMargins left="0.7" right="0.7" top="0.75" bottom="0.75" header="0.3" footer="0.3"/>
  <pageSetup scale="73" firstPageNumber="5" orientation="portrait" useFirstPageNumber="1" r:id="rId1"/>
  <headerFooter>
    <oddHeader xml:space="preserve">&amp;R&amp;"Arial,Regular"&amp;10Filed: 2024-02-16
EB-2022-0200
Rate Order
Working Papers
Schedule 27
Page &amp;P of 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FA42-9C62-4448-89DE-F7090D979EB5}">
  <dimension ref="A1:N141"/>
  <sheetViews>
    <sheetView view="pageBreakPreview" zoomScaleNormal="100" zoomScaleSheetLayoutView="100" workbookViewId="0">
      <selection activeCell="B3" sqref="B3"/>
    </sheetView>
  </sheetViews>
  <sheetFormatPr defaultColWidth="8" defaultRowHeight="12.75" customHeight="1"/>
  <cols>
    <col min="1" max="1" width="4.75" style="252" customWidth="1"/>
    <col min="2" max="2" width="24.125" style="252" customWidth="1"/>
    <col min="3" max="3" width="2" style="252" customWidth="1"/>
    <col min="4" max="4" width="14.25" style="1018" customWidth="1"/>
    <col min="5" max="5" width="2" style="1018" customWidth="1"/>
    <col min="6" max="6" width="11.125" style="252" customWidth="1"/>
    <col min="7" max="7" width="2" style="252" customWidth="1"/>
    <col min="8" max="8" width="7.75" style="252" customWidth="1"/>
    <col min="9" max="9" width="2" style="252" customWidth="1"/>
    <col min="10" max="10" width="9.75" style="252" bestFit="1" customWidth="1"/>
    <col min="11" max="11" width="2" style="252" customWidth="1"/>
    <col min="12" max="12" width="13.25" style="252" customWidth="1"/>
    <col min="13" max="13" width="2" style="252" customWidth="1"/>
    <col min="14" max="14" width="11.75" style="252" bestFit="1" customWidth="1"/>
    <col min="15" max="16384" width="8" style="252"/>
  </cols>
  <sheetData>
    <row r="1" spans="1:14" ht="12.75" customHeight="1">
      <c r="A1" s="310"/>
      <c r="B1" s="310"/>
      <c r="C1" s="310"/>
      <c r="D1" s="1029"/>
      <c r="E1" s="1029"/>
      <c r="F1" s="310"/>
      <c r="G1" s="310"/>
      <c r="H1" s="310"/>
      <c r="I1" s="310"/>
      <c r="J1" s="314"/>
    </row>
    <row r="2" spans="1:14" ht="12.75" customHeight="1">
      <c r="A2" s="310"/>
      <c r="B2" s="310"/>
      <c r="C2" s="310"/>
      <c r="D2" s="1029"/>
      <c r="E2" s="1029"/>
      <c r="F2" s="310"/>
      <c r="G2" s="310"/>
      <c r="H2" s="310"/>
      <c r="I2" s="310"/>
      <c r="J2" s="314"/>
    </row>
    <row r="3" spans="1:14" ht="12.75" customHeight="1">
      <c r="A3" s="310"/>
      <c r="B3" s="310"/>
      <c r="C3" s="310"/>
      <c r="D3" s="1029"/>
      <c r="E3" s="1029"/>
      <c r="F3" s="310"/>
      <c r="G3" s="310"/>
      <c r="H3" s="310"/>
      <c r="I3" s="310"/>
      <c r="J3" s="314"/>
    </row>
    <row r="4" spans="1:14" ht="12.75" customHeight="1">
      <c r="A4" s="310"/>
      <c r="B4" s="310"/>
      <c r="C4" s="310"/>
      <c r="D4" s="1029"/>
      <c r="E4" s="1029"/>
      <c r="F4" s="310"/>
      <c r="G4" s="310"/>
      <c r="H4" s="310"/>
      <c r="I4" s="310"/>
      <c r="J4" s="314"/>
    </row>
    <row r="5" spans="1:14" ht="12.75" customHeight="1">
      <c r="A5" s="310"/>
      <c r="B5" s="310"/>
      <c r="C5" s="310"/>
      <c r="D5" s="1029"/>
      <c r="E5" s="1029"/>
      <c r="F5" s="310"/>
      <c r="G5" s="310"/>
      <c r="H5" s="310"/>
      <c r="I5" s="310"/>
      <c r="J5" s="605"/>
    </row>
    <row r="6" spans="1:14" ht="12.75" customHeight="1">
      <c r="A6" s="1193" t="s">
        <v>1335</v>
      </c>
      <c r="B6" s="1193"/>
      <c r="C6" s="1193"/>
      <c r="D6" s="1193"/>
      <c r="E6" s="1193"/>
      <c r="F6" s="1193"/>
      <c r="G6" s="1193"/>
      <c r="H6" s="1193"/>
      <c r="I6" s="1193"/>
      <c r="J6" s="1193"/>
      <c r="K6" s="1193"/>
      <c r="L6" s="1193"/>
      <c r="M6" s="1193"/>
      <c r="N6" s="1193"/>
    </row>
    <row r="8" spans="1:14" ht="12.75" customHeight="1">
      <c r="A8" s="1195" t="s">
        <v>4</v>
      </c>
      <c r="B8" s="310"/>
      <c r="C8" s="310"/>
      <c r="D8" s="1029" t="s">
        <v>1336</v>
      </c>
      <c r="E8" s="1029"/>
      <c r="F8" s="310"/>
      <c r="G8" s="310"/>
      <c r="H8" s="310"/>
      <c r="I8" s="310"/>
      <c r="J8" s="310" t="s">
        <v>1337</v>
      </c>
      <c r="L8" s="310" t="s">
        <v>1338</v>
      </c>
      <c r="M8" s="310"/>
      <c r="N8" s="310" t="s">
        <v>1337</v>
      </c>
    </row>
    <row r="9" spans="1:14" ht="12.75" customHeight="1">
      <c r="A9" s="1195"/>
      <c r="B9" s="310"/>
      <c r="C9" s="310"/>
      <c r="D9" s="1029" t="s">
        <v>1339</v>
      </c>
      <c r="E9" s="1029"/>
      <c r="F9" s="1198"/>
      <c r="G9" s="1198"/>
      <c r="H9" s="1198"/>
      <c r="I9" s="310"/>
      <c r="J9" s="310" t="s">
        <v>1340</v>
      </c>
      <c r="L9" s="310" t="s">
        <v>1341</v>
      </c>
      <c r="M9" s="310"/>
      <c r="N9" s="310" t="s">
        <v>1340</v>
      </c>
    </row>
    <row r="10" spans="1:14" ht="12.75" customHeight="1">
      <c r="A10" s="1196"/>
      <c r="B10" s="992" t="s">
        <v>194</v>
      </c>
      <c r="D10" s="1033" t="s">
        <v>859</v>
      </c>
      <c r="E10" s="1023"/>
      <c r="F10" s="1194" t="s">
        <v>1342</v>
      </c>
      <c r="G10" s="1194"/>
      <c r="H10" s="1194"/>
      <c r="I10" s="991"/>
      <c r="J10" s="1032" t="s">
        <v>993</v>
      </c>
      <c r="L10" s="993" t="s">
        <v>993</v>
      </c>
      <c r="M10" s="310"/>
      <c r="N10" s="993" t="s">
        <v>249</v>
      </c>
    </row>
    <row r="11" spans="1:14" ht="12.75" customHeight="1">
      <c r="A11" s="991"/>
      <c r="B11" s="991"/>
      <c r="C11" s="1007"/>
      <c r="D11" s="1031" t="s">
        <v>9</v>
      </c>
      <c r="E11" s="1031"/>
      <c r="F11" s="947" t="s">
        <v>10</v>
      </c>
      <c r="G11" s="947"/>
      <c r="H11" s="947" t="s">
        <v>58</v>
      </c>
      <c r="I11" s="947"/>
      <c r="J11" s="947" t="s">
        <v>1343</v>
      </c>
      <c r="L11" s="947" t="s">
        <v>13</v>
      </c>
      <c r="M11" s="947"/>
      <c r="N11" s="310" t="s">
        <v>1344</v>
      </c>
    </row>
    <row r="12" spans="1:14" ht="12.75" customHeight="1">
      <c r="A12" s="991"/>
      <c r="B12" s="991"/>
      <c r="C12" s="1007"/>
      <c r="D12" s="1031"/>
      <c r="E12" s="1031"/>
      <c r="F12" s="947"/>
      <c r="G12" s="947"/>
      <c r="H12" s="947"/>
      <c r="I12" s="947"/>
      <c r="J12" s="947"/>
    </row>
    <row r="13" spans="1:14" ht="12.75" customHeight="1">
      <c r="B13" s="775" t="s">
        <v>125</v>
      </c>
      <c r="D13" s="1030"/>
      <c r="E13" s="1030"/>
    </row>
    <row r="14" spans="1:14" ht="12.75" customHeight="1">
      <c r="A14" s="310">
        <v>1</v>
      </c>
      <c r="B14" s="988" t="s">
        <v>1345</v>
      </c>
      <c r="D14" s="1025">
        <f>'Sch. 27 p.5'!G16</f>
        <v>-3.9520974900696566</v>
      </c>
      <c r="E14" s="1025"/>
      <c r="F14" s="287">
        <v>971</v>
      </c>
      <c r="G14" s="287"/>
      <c r="H14" s="310" t="s">
        <v>1346</v>
      </c>
      <c r="I14" s="310"/>
      <c r="J14" s="958">
        <f>D14*F14/100</f>
        <v>-38.374866628576363</v>
      </c>
      <c r="L14" s="1024">
        <v>1222.1522264774112</v>
      </c>
      <c r="M14" s="1027"/>
      <c r="N14" s="1026">
        <f>J14/L14</f>
        <v>-3.139941637154612E-2</v>
      </c>
    </row>
    <row r="15" spans="1:14" ht="12.75" customHeight="1">
      <c r="A15" s="310"/>
      <c r="B15" s="988"/>
      <c r="D15" s="1025"/>
      <c r="E15" s="1025"/>
      <c r="F15" s="287"/>
      <c r="G15" s="287"/>
      <c r="H15" s="310"/>
      <c r="I15" s="310"/>
      <c r="J15" s="958"/>
      <c r="L15" s="958"/>
      <c r="M15" s="958"/>
    </row>
    <row r="16" spans="1:14" ht="12.75" customHeight="1">
      <c r="A16" s="310">
        <f>A14+1</f>
        <v>2</v>
      </c>
      <c r="B16" s="988" t="s">
        <v>1347</v>
      </c>
      <c r="D16" s="1025">
        <f>'Sch. 27 p.5'!G17</f>
        <v>-1.0691545413405519</v>
      </c>
      <c r="E16" s="1025"/>
      <c r="F16" s="287">
        <v>8818.6627752719542</v>
      </c>
      <c r="G16" s="287"/>
      <c r="H16" s="310" t="s">
        <v>1346</v>
      </c>
      <c r="I16" s="310"/>
      <c r="J16" s="1024">
        <f>D16*F16/100</f>
        <v>-94.28513354732884</v>
      </c>
      <c r="L16" s="1024">
        <v>9480.6427922875973</v>
      </c>
      <c r="M16" s="1027"/>
      <c r="N16" s="1026">
        <f>J16/L16</f>
        <v>-9.9450148700918044E-3</v>
      </c>
    </row>
    <row r="17" spans="1:14" ht="12.75" customHeight="1">
      <c r="A17" s="310"/>
      <c r="B17" s="988"/>
      <c r="D17" s="1025"/>
      <c r="E17" s="1025"/>
      <c r="F17" s="1024"/>
      <c r="G17" s="1024"/>
      <c r="H17" s="310"/>
      <c r="I17" s="310"/>
      <c r="J17" s="1024"/>
    </row>
    <row r="18" spans="1:14" ht="12.75" customHeight="1">
      <c r="A18" s="310">
        <f>A16+1</f>
        <v>3</v>
      </c>
      <c r="B18" s="988" t="s">
        <v>1348</v>
      </c>
      <c r="D18" s="1025">
        <f>'Sch. 27 p.5'!G18</f>
        <v>-5.1409714998791178E-9</v>
      </c>
      <c r="E18" s="1025"/>
      <c r="F18" s="287">
        <v>2993</v>
      </c>
      <c r="G18" s="287"/>
      <c r="H18" s="310" t="s">
        <v>1349</v>
      </c>
      <c r="I18" s="310"/>
      <c r="J18" s="1024">
        <f>D18*(F18*8)/100</f>
        <v>-1.2309542159310561E-6</v>
      </c>
      <c r="L18" s="1024">
        <v>119669.53083853662</v>
      </c>
      <c r="M18" s="1027"/>
      <c r="N18" s="1026">
        <f>J18/L18</f>
        <v>-1.0286279283503781E-11</v>
      </c>
    </row>
    <row r="19" spans="1:14" ht="12.75" customHeight="1">
      <c r="A19" s="310">
        <f>+A18+1</f>
        <v>4</v>
      </c>
      <c r="B19" s="988" t="s">
        <v>1350</v>
      </c>
      <c r="D19" s="1025">
        <f>+D18</f>
        <v>-5.1409714998791178E-9</v>
      </c>
      <c r="E19" s="1025"/>
      <c r="F19" s="287">
        <v>30000</v>
      </c>
      <c r="G19" s="287"/>
      <c r="H19" s="1029" t="str">
        <f>+H18</f>
        <v>m³/d</v>
      </c>
      <c r="I19" s="1029"/>
      <c r="J19" s="1024">
        <f>D19*(F19*8)/100</f>
        <v>-1.2338331599709882E-5</v>
      </c>
      <c r="L19" s="1024">
        <v>603424.71612523205</v>
      </c>
      <c r="M19" s="1027"/>
      <c r="N19" s="1026">
        <f>J19/L19</f>
        <v>-2.0447176375104332E-11</v>
      </c>
    </row>
    <row r="20" spans="1:14" ht="12.75" customHeight="1">
      <c r="A20" s="310"/>
      <c r="B20" s="988"/>
      <c r="D20" s="1025"/>
      <c r="E20" s="1025"/>
      <c r="F20" s="287"/>
      <c r="G20" s="287"/>
      <c r="H20" s="310"/>
      <c r="I20" s="310"/>
      <c r="J20" s="1024"/>
    </row>
    <row r="21" spans="1:14" ht="12.75" customHeight="1">
      <c r="A21" s="310">
        <f>+A19+1</f>
        <v>5</v>
      </c>
      <c r="B21" s="988" t="s">
        <v>1351</v>
      </c>
      <c r="D21" s="1025">
        <f>'Sch. 27 p.5'!G19</f>
        <v>-4.0394961846416635</v>
      </c>
      <c r="E21" s="1025"/>
      <c r="F21" s="287">
        <v>3292</v>
      </c>
      <c r="G21" s="287"/>
      <c r="H21" s="310" t="s">
        <v>1349</v>
      </c>
      <c r="I21" s="310"/>
      <c r="J21" s="1024">
        <f>D21*(F21*8)/100</f>
        <v>-1063.8417151872286</v>
      </c>
      <c r="L21" s="1024">
        <v>198080.12195581535</v>
      </c>
      <c r="M21" s="1027"/>
      <c r="N21" s="1026">
        <f>J21/L21</f>
        <v>-5.3707646415147806E-3</v>
      </c>
    </row>
    <row r="22" spans="1:14" ht="12.75" customHeight="1">
      <c r="A22" s="310">
        <f>+A21+1</f>
        <v>6</v>
      </c>
      <c r="B22" s="988" t="s">
        <v>1352</v>
      </c>
      <c r="D22" s="1025">
        <f>+D21</f>
        <v>-4.0394961846416635</v>
      </c>
      <c r="E22" s="1025"/>
      <c r="F22" s="287">
        <v>53871</v>
      </c>
      <c r="G22" s="287"/>
      <c r="H22" s="1029" t="str">
        <f>+H21</f>
        <v>m³/d</v>
      </c>
      <c r="I22" s="1029"/>
      <c r="J22" s="1024">
        <f>D22*(F22*8)/100</f>
        <v>-17408.935917026483</v>
      </c>
      <c r="L22" s="1024">
        <v>3176336.7239614613</v>
      </c>
      <c r="M22" s="1027"/>
      <c r="N22" s="1026">
        <f>J22/L22</f>
        <v>-5.4808219121411095E-3</v>
      </c>
    </row>
    <row r="23" spans="1:14" ht="12.75" customHeight="1">
      <c r="A23" s="310"/>
      <c r="B23" s="988"/>
      <c r="D23" s="1025"/>
      <c r="E23" s="1025"/>
      <c r="F23" s="287"/>
      <c r="G23" s="287"/>
      <c r="H23" s="310"/>
      <c r="I23" s="310"/>
      <c r="J23" s="1024"/>
    </row>
    <row r="24" spans="1:14" ht="12.75" customHeight="1">
      <c r="A24" s="310">
        <f>+A22+1</f>
        <v>7</v>
      </c>
      <c r="B24" s="988" t="s">
        <v>1353</v>
      </c>
      <c r="D24" s="1025">
        <f>'Sch. 27 p.5'!G20</f>
        <v>-7.5924935585695312</v>
      </c>
      <c r="E24" s="1025"/>
      <c r="F24" s="287">
        <v>15300</v>
      </c>
      <c r="G24" s="287"/>
      <c r="H24" s="310" t="s">
        <v>1349</v>
      </c>
      <c r="I24" s="310"/>
      <c r="J24" s="1024">
        <f>D24*(F24*8)/100</f>
        <v>-9293.2121156891062</v>
      </c>
      <c r="L24" s="287">
        <v>1380090.5685350504</v>
      </c>
      <c r="M24" s="1027"/>
      <c r="N24" s="1026">
        <f>J24/L24</f>
        <v>-6.7337697449477828E-3</v>
      </c>
    </row>
    <row r="25" spans="1:14" ht="12.75" customHeight="1">
      <c r="A25" s="310">
        <f>+A24+1</f>
        <v>8</v>
      </c>
      <c r="B25" s="988" t="s">
        <v>1354</v>
      </c>
      <c r="D25" s="1025">
        <f>+D24</f>
        <v>-7.5924935585695312</v>
      </c>
      <c r="E25" s="1025"/>
      <c r="F25" s="287">
        <v>238928</v>
      </c>
      <c r="G25" s="287"/>
      <c r="H25" s="1029" t="str">
        <f>+H24</f>
        <v>m³/d</v>
      </c>
      <c r="I25" s="1029"/>
      <c r="J25" s="1024">
        <f>D25*(F25*8)/100</f>
        <v>-145124.74407695208</v>
      </c>
      <c r="L25" s="1024">
        <v>21374015.774074364</v>
      </c>
      <c r="M25" s="1027"/>
      <c r="N25" s="1026">
        <f>J25/L25</f>
        <v>-6.7897743508256083E-3</v>
      </c>
    </row>
    <row r="26" spans="1:14" ht="12.75" customHeight="1">
      <c r="A26" s="310"/>
      <c r="B26" s="988"/>
      <c r="D26" s="1025"/>
      <c r="E26" s="1025"/>
      <c r="F26" s="287"/>
      <c r="G26" s="287"/>
      <c r="H26" s="310"/>
      <c r="I26" s="310"/>
      <c r="J26" s="1024"/>
    </row>
    <row r="27" spans="1:14" ht="12.75" customHeight="1">
      <c r="A27" s="310">
        <f>+A25+1</f>
        <v>9</v>
      </c>
      <c r="B27" s="988" t="s">
        <v>1355</v>
      </c>
      <c r="D27" s="1025">
        <f>'Sch. 27 p.5'!G21</f>
        <v>-2.2289974473494327</v>
      </c>
      <c r="E27" s="1025"/>
      <c r="F27" s="287">
        <v>2315000</v>
      </c>
      <c r="G27" s="287"/>
      <c r="H27" s="310" t="s">
        <v>1349</v>
      </c>
      <c r="I27" s="310"/>
      <c r="J27" s="1024">
        <f>D27*(F27*8)/100</f>
        <v>-412810.32724911498</v>
      </c>
      <c r="L27" s="287">
        <v>52819198.134122796</v>
      </c>
      <c r="M27" s="1027"/>
      <c r="N27" s="1026">
        <f>J27/L27</f>
        <v>-7.8155356732389891E-3</v>
      </c>
    </row>
    <row r="28" spans="1:14" ht="12.75" customHeight="1">
      <c r="A28" s="310"/>
      <c r="B28" s="988"/>
      <c r="D28" s="1025"/>
      <c r="E28" s="1025"/>
      <c r="F28" s="1024"/>
      <c r="G28" s="1024"/>
      <c r="H28" s="310"/>
      <c r="I28" s="310"/>
      <c r="J28" s="1024"/>
    </row>
    <row r="29" spans="1:14" ht="12.75" customHeight="1">
      <c r="A29" s="310">
        <f>A27+1</f>
        <v>10</v>
      </c>
      <c r="B29" s="988" t="s">
        <v>1356</v>
      </c>
      <c r="D29" s="1025">
        <f>'Sch. 27 p.5'!G22</f>
        <v>-0.20040817012079412</v>
      </c>
      <c r="E29" s="1025"/>
      <c r="F29" s="287">
        <v>595851.96073228971</v>
      </c>
      <c r="G29" s="287"/>
      <c r="H29" s="310" t="s">
        <v>1346</v>
      </c>
      <c r="I29" s="310"/>
      <c r="J29" s="1024">
        <f>D29*F29/100</f>
        <v>-1194.1360111324545</v>
      </c>
      <c r="L29" s="1024">
        <v>182063.28498866002</v>
      </c>
      <c r="M29" s="1027"/>
      <c r="N29" s="1026">
        <f>J29/L29</f>
        <v>-6.5589062133358323E-3</v>
      </c>
    </row>
    <row r="30" spans="1:14" ht="12.75" customHeight="1">
      <c r="A30" s="310"/>
      <c r="B30" s="988"/>
      <c r="D30" s="1025"/>
      <c r="E30" s="1025"/>
      <c r="F30" s="1024"/>
      <c r="G30" s="1024"/>
      <c r="H30" s="310"/>
      <c r="I30" s="310"/>
      <c r="J30" s="1024"/>
    </row>
    <row r="31" spans="1:14" ht="12.75" customHeight="1">
      <c r="A31" s="310">
        <f>A29+1</f>
        <v>11</v>
      </c>
      <c r="B31" s="988" t="s">
        <v>1357</v>
      </c>
      <c r="D31" s="1025">
        <f>'Sch. 27 p.5'!G23</f>
        <v>-4.4430709610294921</v>
      </c>
      <c r="E31" s="1025"/>
      <c r="F31" s="287">
        <v>2993</v>
      </c>
      <c r="G31" s="287"/>
      <c r="H31" s="310" t="s">
        <v>1349</v>
      </c>
      <c r="I31" s="310"/>
      <c r="J31" s="1024">
        <f>D31*(F31*8)/100</f>
        <v>-1063.8489109089016</v>
      </c>
      <c r="L31" s="1024">
        <v>125671.27442965363</v>
      </c>
      <c r="M31" s="1027"/>
      <c r="N31" s="1026">
        <f>J31/L31</f>
        <v>-8.4653308064000492E-3</v>
      </c>
    </row>
    <row r="32" spans="1:14" ht="12.75" customHeight="1">
      <c r="A32" s="310">
        <f>+A31+1</f>
        <v>12</v>
      </c>
      <c r="B32" s="988" t="s">
        <v>1358</v>
      </c>
      <c r="D32" s="1025">
        <f>+D31</f>
        <v>-4.4430709610294921</v>
      </c>
      <c r="E32" s="1025"/>
      <c r="F32" s="287">
        <v>4489</v>
      </c>
      <c r="G32" s="287"/>
      <c r="H32" s="1029" t="str">
        <f>+H31</f>
        <v>m³/d</v>
      </c>
      <c r="I32" s="1029"/>
      <c r="J32" s="1024">
        <f>D32*(F32*8)/100</f>
        <v>-1595.5956435249111</v>
      </c>
      <c r="L32" s="1024">
        <v>217369.50945627212</v>
      </c>
      <c r="M32" s="1027"/>
      <c r="N32" s="1026">
        <f>J32/L32</f>
        <v>-7.3404758906441504E-3</v>
      </c>
    </row>
    <row r="33" spans="1:14" ht="12.75" customHeight="1">
      <c r="A33" s="310"/>
      <c r="B33" s="988"/>
      <c r="D33" s="1025"/>
      <c r="E33" s="1025"/>
      <c r="F33" s="287"/>
      <c r="G33" s="287"/>
      <c r="H33" s="310"/>
      <c r="I33" s="310"/>
      <c r="J33" s="1024"/>
    </row>
    <row r="34" spans="1:14" ht="12.75" customHeight="1">
      <c r="A34" s="310">
        <f>+A32+1</f>
        <v>13</v>
      </c>
      <c r="B34" s="988" t="s">
        <v>1359</v>
      </c>
      <c r="D34" s="1025">
        <f>'Sch. 27 p.5'!G24</f>
        <v>-1.2393387081075884</v>
      </c>
      <c r="E34" s="1025"/>
      <c r="F34" s="287">
        <v>36413</v>
      </c>
      <c r="G34" s="287"/>
      <c r="H34" s="310" t="s">
        <v>1349</v>
      </c>
      <c r="I34" s="310"/>
      <c r="J34" s="1024">
        <f>D34*(F34*8)/100</f>
        <v>-3610.2432302657294</v>
      </c>
      <c r="L34" s="1024">
        <v>2864475.2724600052</v>
      </c>
      <c r="M34" s="1027"/>
      <c r="N34" s="1026">
        <f>J34/L34</f>
        <v>-1.2603506355861331E-3</v>
      </c>
    </row>
    <row r="35" spans="1:14" ht="12.75" customHeight="1">
      <c r="A35" s="310">
        <f>+A34+1</f>
        <v>14</v>
      </c>
      <c r="B35" s="988" t="s">
        <v>1360</v>
      </c>
      <c r="D35" s="1025">
        <f>+D34</f>
        <v>-1.2393387081075884</v>
      </c>
      <c r="E35" s="1025"/>
      <c r="F35" s="287">
        <v>255089</v>
      </c>
      <c r="G35" s="287"/>
      <c r="H35" s="1029" t="str">
        <f>+H34</f>
        <v>m³/d</v>
      </c>
      <c r="I35" s="1029"/>
      <c r="J35" s="1024">
        <f>D35*(F35*8)/100</f>
        <v>-25291.33373699653</v>
      </c>
      <c r="L35" s="1024">
        <v>19911439.475104861</v>
      </c>
      <c r="M35" s="1027"/>
      <c r="N35" s="1026">
        <f>J35/L35</f>
        <v>-1.2701911264937985E-3</v>
      </c>
    </row>
    <row r="36" spans="1:14" ht="12.75" customHeight="1">
      <c r="A36" s="310"/>
      <c r="B36" s="988"/>
      <c r="D36" s="1025"/>
      <c r="E36" s="1025"/>
      <c r="F36" s="287"/>
      <c r="G36" s="287"/>
      <c r="H36" s="310"/>
      <c r="I36" s="310"/>
      <c r="J36" s="1024"/>
    </row>
    <row r="37" spans="1:14" ht="12.75" customHeight="1">
      <c r="A37" s="310">
        <f>+A35+1</f>
        <v>15</v>
      </c>
      <c r="B37" s="988" t="s">
        <v>1361</v>
      </c>
      <c r="D37" s="1025">
        <f>'Sch. 27 p.5'!G25</f>
        <v>1.6945409093519683</v>
      </c>
      <c r="E37" s="1025"/>
      <c r="F37" s="287">
        <v>1252000</v>
      </c>
      <c r="G37" s="287"/>
      <c r="H37" s="310" t="s">
        <v>1349</v>
      </c>
      <c r="I37" s="310"/>
      <c r="J37" s="1024">
        <f>D37*(F37*8)/100</f>
        <v>169725.21748069316</v>
      </c>
      <c r="L37" s="1024">
        <v>29076060.948728472</v>
      </c>
      <c r="M37" s="1027"/>
      <c r="N37" s="1026">
        <f>J37/L37</f>
        <v>5.8372837290436149E-3</v>
      </c>
    </row>
    <row r="38" spans="1:14" ht="12.75" customHeight="1">
      <c r="A38" s="310"/>
      <c r="B38" s="988"/>
      <c r="D38" s="1025"/>
      <c r="E38" s="1025"/>
      <c r="F38" s="287"/>
      <c r="G38" s="287"/>
      <c r="H38" s="310"/>
      <c r="I38" s="310"/>
      <c r="J38" s="1024"/>
    </row>
    <row r="39" spans="1:14" ht="12.75" customHeight="1">
      <c r="A39" s="310"/>
      <c r="B39" s="775" t="s">
        <v>139</v>
      </c>
      <c r="D39" s="1025"/>
      <c r="E39" s="1025"/>
      <c r="H39" s="310"/>
      <c r="I39" s="310"/>
    </row>
    <row r="40" spans="1:14" ht="12.75" customHeight="1">
      <c r="A40" s="310">
        <f>A37+1</f>
        <v>16</v>
      </c>
      <c r="B40" s="1000" t="s">
        <v>1362</v>
      </c>
      <c r="D40" s="1025">
        <f>'Sch. 27 p.5'!G30</f>
        <v>-4.8016264503616304</v>
      </c>
      <c r="E40" s="1025"/>
      <c r="F40" s="287">
        <v>880</v>
      </c>
      <c r="G40" s="287"/>
      <c r="H40" s="310" t="s">
        <v>1346</v>
      </c>
      <c r="I40" s="310"/>
      <c r="J40" s="1015">
        <f>D40*F40/100</f>
        <v>-42.254312763182355</v>
      </c>
      <c r="L40" s="1024">
        <v>1315.2143958000001</v>
      </c>
      <c r="M40" s="1027"/>
      <c r="N40" s="1026">
        <f>J40/L40</f>
        <v>-3.2127319240206835E-2</v>
      </c>
    </row>
    <row r="41" spans="1:14" ht="12.75" customHeight="1">
      <c r="A41" s="310"/>
      <c r="B41" s="1000"/>
      <c r="D41" s="1025"/>
      <c r="E41" s="1025"/>
      <c r="F41" s="1024"/>
      <c r="G41" s="1024"/>
      <c r="H41" s="310"/>
      <c r="I41" s="310"/>
      <c r="J41" s="1015"/>
    </row>
    <row r="42" spans="1:14" ht="12.75" customHeight="1">
      <c r="A42" s="310">
        <f>A40+1</f>
        <v>17</v>
      </c>
      <c r="B42" s="1000" t="s">
        <v>141</v>
      </c>
      <c r="D42" s="1025">
        <f>'Sch. 27 p.5'!G31</f>
        <v>-1.8625986125984519</v>
      </c>
      <c r="E42" s="1025"/>
      <c r="F42" s="287">
        <v>46750.51</v>
      </c>
      <c r="G42" s="287"/>
      <c r="H42" s="310" t="s">
        <v>1346</v>
      </c>
      <c r="I42" s="310"/>
      <c r="J42" s="430">
        <f>D42*F42/100</f>
        <v>-870.7743506427006</v>
      </c>
      <c r="L42" s="1024">
        <v>40502.949352919997</v>
      </c>
      <c r="M42" s="1027"/>
      <c r="N42" s="1026">
        <f>J42/L42</f>
        <v>-2.1499035614795877E-2</v>
      </c>
    </row>
    <row r="43" spans="1:14" ht="12.75" customHeight="1">
      <c r="A43" s="310"/>
      <c r="B43" s="1000"/>
      <c r="D43" s="1025"/>
      <c r="E43" s="1025"/>
      <c r="F43" s="1024"/>
      <c r="G43" s="1024"/>
      <c r="H43" s="310"/>
      <c r="I43" s="310"/>
      <c r="J43" s="430"/>
    </row>
    <row r="44" spans="1:14" ht="12.75" customHeight="1">
      <c r="A44" s="310">
        <f>A42+1</f>
        <v>18</v>
      </c>
      <c r="B44" s="1000" t="s">
        <v>1363</v>
      </c>
      <c r="D44" s="1025">
        <f>'Sch. 27 p.5'!G32</f>
        <v>-3.5985254685863879</v>
      </c>
      <c r="E44" s="1025"/>
      <c r="F44" s="1024">
        <v>14000</v>
      </c>
      <c r="G44" s="1024"/>
      <c r="H44" s="310" t="s">
        <v>1349</v>
      </c>
      <c r="I44" s="310"/>
      <c r="J44" s="1024">
        <f>D44*(F44*8)/100</f>
        <v>-4030.3485248167544</v>
      </c>
      <c r="L44" s="1024">
        <v>989745.36119999993</v>
      </c>
      <c r="M44" s="1027"/>
      <c r="N44" s="1026">
        <f>J44/L44</f>
        <v>-4.072106506192893E-3</v>
      </c>
    </row>
    <row r="45" spans="1:14" ht="12.75" customHeight="1">
      <c r="A45" s="310">
        <f>A44+1</f>
        <v>19</v>
      </c>
      <c r="B45" s="1000" t="s">
        <v>1364</v>
      </c>
      <c r="D45" s="1025">
        <f>'Sch. 27 p.5'!G32</f>
        <v>-3.5985254685863879</v>
      </c>
      <c r="E45" s="1025"/>
      <c r="F45" s="1024">
        <v>60000</v>
      </c>
      <c r="G45" s="1024"/>
      <c r="H45" s="310" t="str">
        <f>+H44</f>
        <v>m³/d</v>
      </c>
      <c r="I45" s="310"/>
      <c r="J45" s="1024">
        <f>D45*(F45*8)/100</f>
        <v>-17272.922249214662</v>
      </c>
      <c r="L45" s="1024">
        <v>4795941.9239999996</v>
      </c>
      <c r="M45" s="1027"/>
      <c r="N45" s="1026">
        <f>J45/L45</f>
        <v>-3.6015703532140319E-3</v>
      </c>
    </row>
    <row r="46" spans="1:14" ht="12.75" customHeight="1">
      <c r="A46" s="310"/>
      <c r="B46" s="1000"/>
      <c r="D46" s="1025"/>
      <c r="E46" s="1025"/>
      <c r="F46" s="1024"/>
      <c r="G46" s="1024"/>
      <c r="H46" s="310"/>
      <c r="I46" s="310"/>
      <c r="J46" s="1024"/>
    </row>
    <row r="47" spans="1:14" ht="12.75" customHeight="1">
      <c r="A47" s="310">
        <f>A45+1</f>
        <v>20</v>
      </c>
      <c r="B47" s="1000" t="s">
        <v>1365</v>
      </c>
      <c r="D47" s="1025">
        <f>'Sch. 27 p.5'!G33</f>
        <v>-0.64416154126613201</v>
      </c>
      <c r="E47" s="1025"/>
      <c r="F47" s="287">
        <v>1677053.350276554</v>
      </c>
      <c r="G47" s="287"/>
      <c r="H47" s="310" t="s">
        <v>1346</v>
      </c>
      <c r="I47" s="310"/>
      <c r="J47" s="430">
        <f>D47*F47/100</f>
        <v>-10802.932708996754</v>
      </c>
      <c r="L47" s="1024">
        <v>726721.57000000007</v>
      </c>
      <c r="M47" s="1027"/>
      <c r="N47" s="1026">
        <f>J47/L47</f>
        <v>-1.4865298010896736E-2</v>
      </c>
    </row>
    <row r="48" spans="1:14" ht="12.75" customHeight="1">
      <c r="A48" s="310"/>
      <c r="B48" s="1000"/>
      <c r="D48" s="1025"/>
      <c r="E48" s="1025"/>
      <c r="F48" s="1024"/>
      <c r="G48" s="1024"/>
      <c r="H48" s="310"/>
      <c r="I48" s="310"/>
      <c r="J48" s="430"/>
    </row>
    <row r="49" spans="1:14" ht="12.75" customHeight="1">
      <c r="A49" s="310">
        <f>A47+1</f>
        <v>21</v>
      </c>
      <c r="B49" s="1000" t="s">
        <v>1348</v>
      </c>
      <c r="D49" s="1025">
        <f>'Sch. 27 p.5'!G34</f>
        <v>-6.0483586121200412</v>
      </c>
      <c r="E49" s="1025"/>
      <c r="F49" s="1024">
        <v>100000</v>
      </c>
      <c r="G49" s="1024"/>
      <c r="H49" s="310" t="s">
        <v>1349</v>
      </c>
      <c r="I49" s="310"/>
      <c r="J49" s="1024">
        <f>D49*(F49*8)/100</f>
        <v>-48386.868896960324</v>
      </c>
      <c r="L49" s="1024">
        <v>8875698.8399999999</v>
      </c>
      <c r="M49" s="1027"/>
      <c r="N49" s="1026">
        <f>J49/L49</f>
        <v>-5.4516122920818168E-3</v>
      </c>
    </row>
    <row r="50" spans="1:14" ht="12.75" customHeight="1">
      <c r="A50" s="310">
        <f>A49+1</f>
        <v>22</v>
      </c>
      <c r="B50" s="1000" t="s">
        <v>1350</v>
      </c>
      <c r="D50" s="1025">
        <f>'Sch. 27 p.5'!G34</f>
        <v>-6.0483586121200412</v>
      </c>
      <c r="E50" s="1025"/>
      <c r="F50" s="1024">
        <v>850000</v>
      </c>
      <c r="G50" s="1024"/>
      <c r="H50" s="310" t="str">
        <f>H49</f>
        <v>m³/d</v>
      </c>
      <c r="I50" s="310"/>
      <c r="J50" s="1024">
        <f>D50*(F50*8)/100</f>
        <v>-411288.38562416279</v>
      </c>
      <c r="L50" s="1024">
        <v>78223969.74000001</v>
      </c>
      <c r="M50" s="1027"/>
      <c r="N50" s="1026">
        <f>J50/L50</f>
        <v>-5.2578306494952725E-3</v>
      </c>
    </row>
    <row r="51" spans="1:14" ht="12.75" customHeight="1">
      <c r="A51" s="310"/>
      <c r="B51" s="308"/>
      <c r="D51" s="1025"/>
      <c r="E51" s="1025"/>
      <c r="F51" s="1024"/>
      <c r="G51" s="1024"/>
      <c r="H51" s="310"/>
      <c r="I51" s="310"/>
    </row>
    <row r="52" spans="1:14" ht="12.75" customHeight="1">
      <c r="A52" s="310"/>
      <c r="B52" s="775" t="s">
        <v>145</v>
      </c>
      <c r="D52" s="1025"/>
      <c r="E52" s="1025"/>
      <c r="F52" s="1024"/>
      <c r="G52" s="1024"/>
      <c r="H52" s="310"/>
      <c r="I52" s="310"/>
    </row>
    <row r="53" spans="1:14" ht="12.75" customHeight="1">
      <c r="A53" s="310">
        <f>A50+1</f>
        <v>23</v>
      </c>
      <c r="B53" s="1000" t="s">
        <v>1366</v>
      </c>
      <c r="D53" s="1025">
        <f>'Sch. 27 p.5'!G38</f>
        <v>-3.9787922544485448</v>
      </c>
      <c r="E53" s="1025"/>
      <c r="F53" s="287">
        <v>880</v>
      </c>
      <c r="G53" s="287"/>
      <c r="H53" s="310" t="s">
        <v>1346</v>
      </c>
      <c r="I53" s="310"/>
      <c r="J53" s="1015">
        <f>D53*F53/100</f>
        <v>-35.013371839147197</v>
      </c>
      <c r="L53" s="1024">
        <v>1054.9148941999999</v>
      </c>
      <c r="M53" s="1027"/>
      <c r="N53" s="1026">
        <f>J53/L53</f>
        <v>-3.319070764063841E-2</v>
      </c>
    </row>
    <row r="54" spans="1:14" ht="12.75" customHeight="1">
      <c r="A54" s="310"/>
      <c r="B54" s="1000"/>
      <c r="D54" s="1025"/>
      <c r="E54" s="1025"/>
      <c r="F54" s="1024"/>
      <c r="G54" s="1024"/>
      <c r="H54" s="310"/>
      <c r="I54" s="310"/>
      <c r="J54" s="1015"/>
    </row>
    <row r="55" spans="1:14" ht="12.75" customHeight="1">
      <c r="A55" s="310">
        <f>A53+1</f>
        <v>24</v>
      </c>
      <c r="B55" s="1000" t="s">
        <v>147</v>
      </c>
      <c r="D55" s="1025">
        <f>'Sch. 27 p.5'!G39</f>
        <v>-1.6594747925695805</v>
      </c>
      <c r="E55" s="1025"/>
      <c r="F55" s="287">
        <v>29930</v>
      </c>
      <c r="G55" s="287"/>
      <c r="H55" s="310" t="s">
        <v>1346</v>
      </c>
      <c r="I55" s="310"/>
      <c r="J55" s="430">
        <f>D55*F55/100</f>
        <v>-496.68080541607543</v>
      </c>
      <c r="L55" s="1024">
        <v>26239.784677000003</v>
      </c>
      <c r="M55" s="1027"/>
      <c r="N55" s="1026">
        <f>J55/L55</f>
        <v>-1.8928539678583253E-2</v>
      </c>
    </row>
    <row r="56" spans="1:14" ht="12.75" customHeight="1">
      <c r="A56" s="310"/>
      <c r="B56" s="1000"/>
      <c r="D56" s="1025"/>
      <c r="E56" s="1025"/>
      <c r="F56" s="1024"/>
      <c r="G56" s="1024"/>
      <c r="H56" s="310"/>
      <c r="I56" s="310"/>
      <c r="J56" s="430"/>
    </row>
    <row r="57" spans="1:14" ht="12.75" customHeight="1">
      <c r="A57" s="310">
        <f>A55+1</f>
        <v>25</v>
      </c>
      <c r="B57" s="1000" t="s">
        <v>1367</v>
      </c>
      <c r="D57" s="1025">
        <f>'Sch. 27 p.5'!G40</f>
        <v>-12.094091634373903</v>
      </c>
      <c r="E57" s="1025"/>
      <c r="F57" s="1024">
        <v>4800</v>
      </c>
      <c r="G57" s="1024"/>
      <c r="H57" s="310" t="s">
        <v>1349</v>
      </c>
      <c r="I57" s="310"/>
      <c r="J57" s="1024">
        <f>D57*(F57*8)/100</f>
        <v>-4644.1311875995789</v>
      </c>
      <c r="L57" s="1024">
        <v>300578.18359999999</v>
      </c>
      <c r="M57" s="1027"/>
      <c r="N57" s="1026">
        <f>J57/L57</f>
        <v>-1.545065956543221E-2</v>
      </c>
    </row>
    <row r="58" spans="1:14" ht="12.75" customHeight="1">
      <c r="A58" s="310">
        <f>A57+1</f>
        <v>26</v>
      </c>
      <c r="B58" s="1000" t="s">
        <v>1368</v>
      </c>
      <c r="D58" s="1025">
        <f>D57</f>
        <v>-12.094091634373903</v>
      </c>
      <c r="E58" s="1025"/>
      <c r="F58" s="1024">
        <v>50000</v>
      </c>
      <c r="G58" s="1024"/>
      <c r="H58" s="310" t="str">
        <f>H57</f>
        <v>m³/d</v>
      </c>
      <c r="I58" s="310"/>
      <c r="J58" s="1024">
        <f>D58*(F58*8)/100</f>
        <v>-48376.366537495611</v>
      </c>
      <c r="L58" s="1024">
        <v>3795184.6751999999</v>
      </c>
      <c r="M58" s="1027"/>
      <c r="N58" s="1026">
        <f>J58/L58</f>
        <v>-1.2746775368696981E-2</v>
      </c>
    </row>
    <row r="59" spans="1:14" ht="12.75" customHeight="1">
      <c r="A59" s="310"/>
      <c r="B59" s="1000"/>
      <c r="D59" s="1025"/>
      <c r="E59" s="1025"/>
      <c r="F59" s="1024"/>
      <c r="G59" s="1024"/>
      <c r="H59" s="310"/>
      <c r="I59" s="310"/>
      <c r="J59" s="430"/>
    </row>
    <row r="60" spans="1:14" ht="12.75" customHeight="1">
      <c r="A60" s="310">
        <f>A58+1</f>
        <v>27</v>
      </c>
      <c r="B60" s="1000" t="s">
        <v>1369</v>
      </c>
      <c r="D60" s="1028">
        <f>'Sch. 27 p.5'!G42</f>
        <v>-3.5414945222820098</v>
      </c>
      <c r="E60" s="1028"/>
      <c r="F60" s="287">
        <v>512505.4359204169</v>
      </c>
      <c r="G60" s="287"/>
      <c r="H60" s="310" t="s">
        <v>1346</v>
      </c>
      <c r="I60" s="310"/>
      <c r="J60" s="430">
        <f>D60*F60/100</f>
        <v>-18150.3519395191</v>
      </c>
      <c r="L60" s="1024">
        <v>267754.70999999996</v>
      </c>
      <c r="M60" s="1027"/>
      <c r="N60" s="1026">
        <f>J60/L60</f>
        <v>-6.7787236831498135E-2</v>
      </c>
    </row>
    <row r="61" spans="1:14" ht="12.75" customHeight="1">
      <c r="A61" s="310">
        <f>A60+1</f>
        <v>28</v>
      </c>
      <c r="B61" s="1000" t="s">
        <v>1370</v>
      </c>
      <c r="D61" s="1028">
        <f>D60</f>
        <v>-3.5414945222820098</v>
      </c>
      <c r="E61" s="1028"/>
      <c r="F61" s="287">
        <v>4037921.6163426782</v>
      </c>
      <c r="G61" s="287"/>
      <c r="H61" s="310" t="s">
        <v>1346</v>
      </c>
      <c r="I61" s="310"/>
      <c r="J61" s="430">
        <f>D61*F61/100</f>
        <v>-143002.77285681714</v>
      </c>
      <c r="L61" s="1024">
        <v>2031109.06</v>
      </c>
      <c r="M61" s="1027"/>
      <c r="N61" s="1026">
        <f>J61/L61</f>
        <v>-7.0406250295992054E-2</v>
      </c>
    </row>
    <row r="62" spans="1:14" ht="12.75" customHeight="1">
      <c r="A62" s="310"/>
      <c r="B62" s="1000"/>
      <c r="D62" s="1025"/>
      <c r="E62" s="1025"/>
      <c r="F62" s="1024"/>
      <c r="G62" s="1024"/>
      <c r="H62" s="310"/>
      <c r="I62" s="310"/>
      <c r="J62" s="430"/>
    </row>
    <row r="63" spans="1:14" ht="12.75" customHeight="1">
      <c r="A63" s="310">
        <f>A61+1</f>
        <v>29</v>
      </c>
      <c r="B63" s="1000" t="s">
        <v>1371</v>
      </c>
      <c r="D63" s="1025">
        <f>'Sch. 27 p.5'!G43</f>
        <v>-3.2918808267488089</v>
      </c>
      <c r="E63" s="1025"/>
      <c r="F63" s="1024">
        <v>165000</v>
      </c>
      <c r="G63" s="1024"/>
      <c r="H63" s="310" t="s">
        <v>1349</v>
      </c>
      <c r="I63" s="310"/>
      <c r="J63" s="1024">
        <f>D63*(F63*8)/100</f>
        <v>-43452.826913084275</v>
      </c>
      <c r="L63" s="1024">
        <v>10824168.24</v>
      </c>
      <c r="M63" s="1027"/>
      <c r="N63" s="1026">
        <f>J63/L63</f>
        <v>-4.0144264159260954E-3</v>
      </c>
    </row>
    <row r="64" spans="1:14" ht="12.75" customHeight="1">
      <c r="A64" s="310">
        <f>A63+1</f>
        <v>30</v>
      </c>
      <c r="B64" s="1000" t="s">
        <v>1372</v>
      </c>
      <c r="D64" s="1025">
        <f>D63</f>
        <v>-3.2918808267488089</v>
      </c>
      <c r="E64" s="1025"/>
      <c r="F64" s="1024">
        <v>720000</v>
      </c>
      <c r="G64" s="1024"/>
      <c r="H64" s="310" t="str">
        <f>H63</f>
        <v>m³/d</v>
      </c>
      <c r="I64" s="310"/>
      <c r="J64" s="1024">
        <f>D64*(F64*8)/100</f>
        <v>-189612.33562073138</v>
      </c>
      <c r="L64" s="1024">
        <v>17590792.32</v>
      </c>
      <c r="M64" s="1027"/>
      <c r="N64" s="1026">
        <f>J64/L64</f>
        <v>-1.077906737635405E-2</v>
      </c>
    </row>
    <row r="65" spans="1:14" ht="12.75" customHeight="1">
      <c r="A65" s="310"/>
      <c r="B65" s="1000"/>
      <c r="D65" s="1025"/>
      <c r="E65" s="1025"/>
      <c r="F65" s="1024"/>
      <c r="G65" s="1024"/>
      <c r="H65" s="310"/>
      <c r="I65" s="310"/>
      <c r="J65" s="430"/>
    </row>
    <row r="66" spans="1:14" ht="12.75" customHeight="1">
      <c r="A66" s="310">
        <f>A64+1</f>
        <v>31</v>
      </c>
      <c r="B66" s="1000" t="s">
        <v>1373</v>
      </c>
      <c r="D66" s="1025">
        <f>'Sch. 27 p.5'!G45</f>
        <v>-6.0326227669547237</v>
      </c>
      <c r="E66" s="1025"/>
      <c r="F66" s="1024">
        <v>56439</v>
      </c>
      <c r="G66" s="1024"/>
      <c r="H66" s="310" t="s">
        <v>1349</v>
      </c>
      <c r="I66" s="310"/>
      <c r="J66" s="1024">
        <f>D66*(F66*8)/100</f>
        <v>-27238.01570753261</v>
      </c>
      <c r="L66" s="1024">
        <v>1275788.590112</v>
      </c>
      <c r="M66" s="1027"/>
      <c r="N66" s="1026">
        <f>J66/L66</f>
        <v>-2.1349944590068341E-2</v>
      </c>
    </row>
    <row r="67" spans="1:14" ht="12.75" customHeight="1">
      <c r="A67" s="310">
        <f>A66+1</f>
        <v>32</v>
      </c>
      <c r="B67" s="1000" t="s">
        <v>1374</v>
      </c>
      <c r="D67" s="1025">
        <f>D66</f>
        <v>-6.0326227669547237</v>
      </c>
      <c r="E67" s="1025"/>
      <c r="F67" s="1024">
        <v>168100</v>
      </c>
      <c r="G67" s="1024"/>
      <c r="H67" s="310" t="str">
        <f>H66</f>
        <v>m³/d</v>
      </c>
      <c r="I67" s="310"/>
      <c r="J67" s="1024">
        <f>D67*(F67*8)/100</f>
        <v>-81126.710970007131</v>
      </c>
      <c r="L67" s="1024">
        <v>3717863.1588000003</v>
      </c>
      <c r="M67" s="1027"/>
      <c r="N67" s="1026">
        <f>J67/L67</f>
        <v>-2.1820789928210287E-2</v>
      </c>
    </row>
    <row r="68" spans="1:14" ht="12.75" customHeight="1">
      <c r="A68" s="310"/>
      <c r="B68" s="1000"/>
      <c r="D68" s="1025"/>
      <c r="E68" s="1025"/>
      <c r="F68" s="1024"/>
      <c r="G68" s="1024"/>
      <c r="H68" s="310"/>
      <c r="I68" s="310"/>
      <c r="J68" s="1024"/>
    </row>
    <row r="69" spans="1:14" ht="12.75" customHeight="1">
      <c r="A69" s="310">
        <f>A67+1</f>
        <v>33</v>
      </c>
      <c r="B69" s="1000" t="s">
        <v>1375</v>
      </c>
      <c r="D69" s="1025">
        <f>'Sch. 27 p.5'!G46</f>
        <v>-11.348593142957441</v>
      </c>
      <c r="E69" s="1025"/>
      <c r="F69" s="1024">
        <v>25750</v>
      </c>
      <c r="G69" s="1024"/>
      <c r="H69" s="310" t="s">
        <v>1349</v>
      </c>
      <c r="I69" s="310"/>
      <c r="J69" s="1024">
        <f>D69*(F69*8)/100</f>
        <v>-23378.101874492328</v>
      </c>
      <c r="L69" s="1024">
        <v>2272245.2999999998</v>
      </c>
      <c r="M69" s="1027"/>
      <c r="N69" s="1026">
        <f>J69/L69</f>
        <v>-1.0288546696297415E-2</v>
      </c>
    </row>
    <row r="70" spans="1:14" ht="12.75" customHeight="1">
      <c r="A70" s="310">
        <f>A69+1</f>
        <v>34</v>
      </c>
      <c r="B70" s="1000" t="s">
        <v>1376</v>
      </c>
      <c r="D70" s="1025">
        <f>D69</f>
        <v>-11.348593142957441</v>
      </c>
      <c r="E70" s="1025"/>
      <c r="F70" s="1024">
        <v>48750</v>
      </c>
      <c r="G70" s="1024"/>
      <c r="H70" s="310" t="s">
        <v>1349</v>
      </c>
      <c r="I70" s="310"/>
      <c r="J70" s="1024">
        <f>D70*(F70*8)/100</f>
        <v>-44259.513257534018</v>
      </c>
      <c r="L70" s="1024">
        <v>3490536.094356</v>
      </c>
      <c r="M70" s="1027"/>
      <c r="N70" s="1026">
        <f>J70/L70</f>
        <v>-1.267986121934082E-2</v>
      </c>
    </row>
    <row r="71" spans="1:14" ht="12.75" customHeight="1">
      <c r="A71" s="310">
        <f>A70+1</f>
        <v>35</v>
      </c>
      <c r="B71" s="1000" t="s">
        <v>1377</v>
      </c>
      <c r="D71" s="1025">
        <f>D69</f>
        <v>-11.348593142957441</v>
      </c>
      <c r="E71" s="1025"/>
      <c r="F71" s="1024">
        <v>133000</v>
      </c>
      <c r="G71" s="1024"/>
      <c r="H71" s="310" t="str">
        <f>H69</f>
        <v>m³/d</v>
      </c>
      <c r="I71" s="310"/>
      <c r="J71" s="1024">
        <f>D71*(F71*8)/100</f>
        <v>-120749.03104106717</v>
      </c>
      <c r="L71" s="1024">
        <v>7743716.3985600006</v>
      </c>
      <c r="M71" s="1027"/>
      <c r="N71" s="1026">
        <f>J71/L71</f>
        <v>-1.5593162872483465E-2</v>
      </c>
    </row>
    <row r="72" spans="1:14" ht="12.75" customHeight="1">
      <c r="A72" s="310"/>
      <c r="B72" s="1000"/>
      <c r="D72" s="1025"/>
      <c r="E72" s="1025"/>
      <c r="F72" s="1024"/>
      <c r="G72" s="1024"/>
      <c r="H72" s="310"/>
      <c r="I72" s="310"/>
      <c r="J72" s="430"/>
    </row>
    <row r="73" spans="1:14" ht="12.75" customHeight="1">
      <c r="A73" s="310">
        <f>A71+1</f>
        <v>36</v>
      </c>
      <c r="B73" s="1000" t="s">
        <v>1378</v>
      </c>
      <c r="D73" s="1025">
        <f>'Sch. 27 p.5'!G48</f>
        <v>-5.3880537863772338</v>
      </c>
      <c r="E73" s="1025"/>
      <c r="F73" s="1024">
        <v>190000</v>
      </c>
      <c r="G73" s="1024"/>
      <c r="H73" s="310" t="s">
        <v>1349</v>
      </c>
      <c r="I73" s="310"/>
      <c r="J73" s="1024">
        <f>D73*(F73*8)/100</f>
        <v>-81898.417552933955</v>
      </c>
      <c r="L73" s="1024">
        <v>17253889.870080002</v>
      </c>
      <c r="M73" s="1027"/>
      <c r="N73" s="1026">
        <f>J73/L73</f>
        <v>-4.7466639795211707E-3</v>
      </c>
    </row>
    <row r="74" spans="1:14" ht="12.75" customHeight="1">
      <c r="A74" s="310">
        <f>A73+1</f>
        <v>37</v>
      </c>
      <c r="B74" s="1000" t="s">
        <v>1379</v>
      </c>
      <c r="D74" s="1025">
        <f>D73</f>
        <v>-5.3880537863772338</v>
      </c>
      <c r="E74" s="1025"/>
      <c r="F74" s="1024">
        <v>669000</v>
      </c>
      <c r="G74" s="1024"/>
      <c r="H74" s="310" t="s">
        <v>1349</v>
      </c>
      <c r="I74" s="310"/>
      <c r="J74" s="1024">
        <f>D74*(F74*8)/100</f>
        <v>-288368.63864690956</v>
      </c>
      <c r="L74" s="1024">
        <v>56897509.513229996</v>
      </c>
      <c r="M74" s="1027"/>
      <c r="N74" s="1026">
        <f>J74/L74</f>
        <v>-5.0682119676935446E-3</v>
      </c>
    </row>
    <row r="75" spans="1:14" ht="12.75" customHeight="1">
      <c r="A75" s="310">
        <f>A74+1</f>
        <v>38</v>
      </c>
      <c r="B75" s="1000" t="s">
        <v>1380</v>
      </c>
      <c r="D75" s="1025">
        <f>D73</f>
        <v>-5.3880537863772338</v>
      </c>
      <c r="E75" s="1025"/>
      <c r="F75" s="1024">
        <v>1200000</v>
      </c>
      <c r="G75" s="1024"/>
      <c r="H75" s="310" t="str">
        <f>H73</f>
        <v>m³/d</v>
      </c>
      <c r="I75" s="310"/>
      <c r="J75" s="1024">
        <f>D75*(F75*8)/100</f>
        <v>-517253.16349221446</v>
      </c>
      <c r="L75" s="1024">
        <v>106060030.41708001</v>
      </c>
      <c r="M75" s="1027"/>
      <c r="N75" s="1026">
        <f>J75/L75</f>
        <v>-4.8769848684572454E-3</v>
      </c>
    </row>
    <row r="76" spans="1:14" ht="12.75" customHeight="1">
      <c r="A76" s="310"/>
      <c r="B76" s="1000"/>
      <c r="D76" s="1025"/>
      <c r="E76" s="1025"/>
      <c r="F76" s="1024"/>
      <c r="G76" s="1024"/>
      <c r="H76" s="310"/>
      <c r="I76" s="310"/>
      <c r="J76" s="430"/>
    </row>
    <row r="77" spans="1:14" ht="12.75" customHeight="1">
      <c r="A77" s="310">
        <f>A75+1</f>
        <v>39</v>
      </c>
      <c r="B77" s="1000" t="s">
        <v>154</v>
      </c>
      <c r="D77" s="1025">
        <f>'Sch. 27 p.5'!G50</f>
        <v>-6.8151487976379332</v>
      </c>
      <c r="E77" s="1025"/>
      <c r="F77" s="1024">
        <v>2350000</v>
      </c>
      <c r="G77" s="1024"/>
      <c r="H77" s="310" t="s">
        <v>1349</v>
      </c>
      <c r="I77" s="310"/>
      <c r="J77" s="1024">
        <f>D77*(F77*8)/100</f>
        <v>-1281247.9739559316</v>
      </c>
      <c r="L77" s="1024">
        <v>48485404.224000007</v>
      </c>
      <c r="M77" s="1027"/>
      <c r="N77" s="1026">
        <f>J77/L77</f>
        <v>-2.6425436571316054E-2</v>
      </c>
    </row>
    <row r="78" spans="1:14" ht="12.75" customHeight="1">
      <c r="A78" s="310"/>
      <c r="B78" s="988"/>
      <c r="D78" s="1025"/>
      <c r="E78" s="1025"/>
      <c r="F78" s="1024"/>
      <c r="G78" s="1024"/>
      <c r="H78" s="310"/>
      <c r="I78" s="310"/>
      <c r="J78" s="1024"/>
    </row>
    <row r="79" spans="1:14" ht="12.75" customHeight="1">
      <c r="A79" s="775" t="s">
        <v>80</v>
      </c>
      <c r="B79" s="310"/>
      <c r="D79" s="1025"/>
      <c r="E79" s="1025"/>
      <c r="F79" s="1024"/>
      <c r="G79" s="1024"/>
      <c r="H79" s="310"/>
      <c r="I79" s="310"/>
      <c r="J79" s="1024"/>
    </row>
    <row r="80" spans="1:14" ht="12.75" customHeight="1">
      <c r="A80" s="947" t="s">
        <v>40</v>
      </c>
      <c r="B80" s="308" t="s">
        <v>1381</v>
      </c>
      <c r="D80" s="1025"/>
      <c r="E80" s="1025"/>
      <c r="F80" s="1024"/>
      <c r="G80" s="1024"/>
      <c r="H80" s="310"/>
      <c r="I80" s="310"/>
      <c r="J80" s="1024"/>
    </row>
    <row r="81" spans="1:10" ht="12.75" customHeight="1">
      <c r="A81" s="947" t="s">
        <v>20</v>
      </c>
      <c r="B81" s="308" t="s">
        <v>1382</v>
      </c>
      <c r="D81" s="1025"/>
      <c r="E81" s="1025"/>
      <c r="F81" s="1024"/>
      <c r="G81" s="1024"/>
      <c r="H81" s="310"/>
      <c r="I81" s="310"/>
      <c r="J81" s="1024"/>
    </row>
    <row r="82" spans="1:10" ht="12.75" customHeight="1">
      <c r="A82" s="310"/>
      <c r="B82" s="988"/>
      <c r="D82" s="1025"/>
      <c r="E82" s="1025"/>
      <c r="F82" s="1024"/>
      <c r="G82" s="1024"/>
      <c r="H82" s="310"/>
      <c r="I82" s="310"/>
      <c r="J82" s="1024"/>
    </row>
    <row r="83" spans="1:10" ht="12.75" customHeight="1">
      <c r="A83" s="310"/>
      <c r="B83" s="988"/>
      <c r="D83" s="1025"/>
      <c r="E83" s="1025"/>
      <c r="F83" s="1024"/>
      <c r="G83" s="1024"/>
      <c r="H83" s="310"/>
      <c r="I83" s="310"/>
      <c r="J83" s="1024"/>
    </row>
    <row r="84" spans="1:10" ht="12.75" customHeight="1">
      <c r="A84" s="310"/>
      <c r="B84" s="310"/>
      <c r="C84" s="310"/>
      <c r="D84" s="1023"/>
      <c r="E84" s="1023"/>
      <c r="F84" s="310"/>
      <c r="G84" s="310"/>
      <c r="H84" s="310"/>
      <c r="I84" s="310"/>
      <c r="J84" s="314"/>
    </row>
    <row r="85" spans="1:10" ht="12.75" customHeight="1">
      <c r="A85" s="310"/>
      <c r="B85" s="310"/>
      <c r="C85" s="310"/>
      <c r="D85" s="1023"/>
      <c r="E85" s="1023"/>
      <c r="F85" s="310"/>
      <c r="G85" s="310"/>
      <c r="H85" s="310"/>
      <c r="I85" s="310"/>
      <c r="J85" s="314"/>
    </row>
    <row r="86" spans="1:10" ht="12.75" customHeight="1">
      <c r="A86" s="310"/>
      <c r="B86" s="310"/>
      <c r="C86" s="310"/>
      <c r="D86" s="1023"/>
      <c r="E86" s="1023"/>
      <c r="F86" s="310"/>
      <c r="G86" s="310"/>
      <c r="H86" s="310"/>
      <c r="I86" s="310"/>
      <c r="J86" s="314"/>
    </row>
    <row r="87" spans="1:10" ht="12.75" customHeight="1">
      <c r="A87" s="310"/>
      <c r="B87" s="310"/>
      <c r="C87" s="310"/>
      <c r="D87" s="1023"/>
      <c r="E87" s="1023"/>
      <c r="F87" s="310"/>
      <c r="G87" s="310"/>
      <c r="H87" s="310"/>
      <c r="I87" s="310"/>
      <c r="J87" s="314"/>
    </row>
    <row r="88" spans="1:10" ht="12.75" customHeight="1">
      <c r="A88" s="310"/>
      <c r="B88" s="310"/>
      <c r="C88" s="310"/>
      <c r="D88" s="1023"/>
      <c r="E88" s="1023"/>
      <c r="F88" s="310"/>
      <c r="G88" s="310"/>
      <c r="H88" s="310"/>
      <c r="I88" s="310"/>
      <c r="J88" s="314"/>
    </row>
    <row r="89" spans="1:10" ht="12.75" customHeight="1">
      <c r="A89" s="310"/>
      <c r="B89" s="310"/>
      <c r="C89" s="310"/>
      <c r="D89" s="1023"/>
      <c r="E89" s="1023"/>
      <c r="F89" s="310"/>
      <c r="G89" s="310"/>
      <c r="H89" s="310"/>
      <c r="I89" s="310"/>
      <c r="J89" s="314"/>
    </row>
    <row r="90" spans="1:10" ht="12.75" customHeight="1">
      <c r="A90" s="310"/>
      <c r="B90" s="310"/>
      <c r="C90" s="310"/>
      <c r="D90" s="1023"/>
      <c r="E90" s="1023"/>
      <c r="F90" s="310"/>
      <c r="G90" s="310"/>
      <c r="H90" s="310"/>
      <c r="I90" s="310"/>
      <c r="J90" s="605"/>
    </row>
    <row r="91" spans="1:10" ht="12.75" customHeight="1">
      <c r="A91" s="1193"/>
      <c r="B91" s="1193"/>
      <c r="C91" s="1193"/>
      <c r="D91" s="1193"/>
      <c r="E91" s="1193"/>
      <c r="F91" s="1193"/>
      <c r="G91" s="1193"/>
      <c r="H91" s="1193"/>
      <c r="I91" s="1193"/>
      <c r="J91" s="1193"/>
    </row>
    <row r="92" spans="1:10" ht="12.75" customHeight="1">
      <c r="D92" s="1019"/>
      <c r="E92" s="1019"/>
    </row>
    <row r="93" spans="1:10" ht="12.75" customHeight="1">
      <c r="A93" s="1195"/>
      <c r="B93" s="310"/>
      <c r="C93" s="310"/>
      <c r="D93" s="1023"/>
      <c r="E93" s="1023"/>
      <c r="F93" s="310"/>
      <c r="G93" s="310"/>
      <c r="H93" s="310"/>
      <c r="I93" s="310"/>
      <c r="J93" s="310"/>
    </row>
    <row r="94" spans="1:10" ht="12.75" customHeight="1">
      <c r="A94" s="1195"/>
      <c r="B94" s="310"/>
      <c r="C94" s="310"/>
      <c r="D94" s="1023"/>
      <c r="E94" s="1023"/>
      <c r="F94" s="1198"/>
      <c r="G94" s="1198"/>
      <c r="H94" s="1198"/>
      <c r="I94" s="310"/>
      <c r="J94" s="310"/>
    </row>
    <row r="95" spans="1:10" ht="12.75" customHeight="1">
      <c r="A95" s="1195"/>
      <c r="B95" s="1007"/>
      <c r="D95" s="1023"/>
      <c r="E95" s="1023"/>
      <c r="F95" s="310"/>
      <c r="G95" s="310"/>
      <c r="H95" s="991"/>
      <c r="I95" s="991"/>
      <c r="J95" s="947"/>
    </row>
    <row r="96" spans="1:10" ht="12.75" customHeight="1">
      <c r="A96" s="991"/>
      <c r="B96" s="991"/>
      <c r="C96" s="1007"/>
      <c r="D96" s="1022"/>
      <c r="E96" s="1022"/>
      <c r="F96" s="947"/>
      <c r="G96" s="947"/>
      <c r="H96" s="947"/>
      <c r="I96" s="947"/>
      <c r="J96" s="947"/>
    </row>
    <row r="97" spans="1:10" ht="12.75" customHeight="1">
      <c r="A97" s="310"/>
      <c r="B97" s="775"/>
      <c r="D97" s="1020"/>
      <c r="E97" s="1020"/>
      <c r="H97" s="310"/>
      <c r="I97" s="310"/>
    </row>
    <row r="98" spans="1:10" ht="12.75" customHeight="1">
      <c r="A98" s="310"/>
      <c r="B98" s="775"/>
      <c r="D98" s="1020"/>
      <c r="E98" s="1020"/>
      <c r="H98" s="310"/>
      <c r="I98" s="310"/>
    </row>
    <row r="99" spans="1:10" ht="12.75" customHeight="1">
      <c r="A99" s="310"/>
      <c r="B99" s="1000"/>
      <c r="D99" s="1020"/>
      <c r="E99" s="1020"/>
      <c r="F99" s="1021"/>
      <c r="G99" s="1021"/>
      <c r="H99" s="310"/>
      <c r="I99" s="310"/>
      <c r="J99" s="1015"/>
    </row>
    <row r="100" spans="1:10" ht="12.75" customHeight="1">
      <c r="A100" s="310"/>
      <c r="B100" s="1000"/>
      <c r="D100" s="1020"/>
      <c r="E100" s="1020"/>
      <c r="F100" s="1021"/>
      <c r="G100" s="1021"/>
      <c r="H100" s="310"/>
      <c r="I100" s="310"/>
      <c r="J100" s="1015"/>
    </row>
    <row r="101" spans="1:10" ht="12.75" customHeight="1">
      <c r="A101" s="310"/>
      <c r="B101" s="1000"/>
      <c r="D101" s="1020"/>
      <c r="E101" s="1020"/>
      <c r="F101" s="1021"/>
      <c r="G101" s="1021"/>
      <c r="H101" s="310"/>
      <c r="I101" s="310"/>
      <c r="J101" s="430"/>
    </row>
    <row r="102" spans="1:10" ht="12.75" customHeight="1">
      <c r="A102" s="310"/>
      <c r="B102" s="1000"/>
      <c r="D102" s="1020"/>
      <c r="E102" s="1020"/>
      <c r="F102" s="1021"/>
      <c r="G102" s="1021"/>
      <c r="H102" s="310"/>
      <c r="I102" s="310"/>
      <c r="J102" s="430"/>
    </row>
    <row r="103" spans="1:10" ht="12.75" customHeight="1">
      <c r="A103" s="310"/>
      <c r="B103" s="1000"/>
      <c r="D103" s="1020"/>
      <c r="E103" s="1020"/>
      <c r="F103" s="1021"/>
      <c r="G103" s="1021"/>
      <c r="H103" s="310"/>
      <c r="I103" s="310"/>
      <c r="J103" s="1021"/>
    </row>
    <row r="104" spans="1:10" ht="12.75" customHeight="1">
      <c r="A104" s="310"/>
      <c r="B104" s="1000"/>
      <c r="D104" s="1020"/>
      <c r="E104" s="1020"/>
      <c r="F104" s="1021"/>
      <c r="G104" s="1021"/>
      <c r="H104" s="310"/>
      <c r="I104" s="310"/>
      <c r="J104" s="1021"/>
    </row>
    <row r="105" spans="1:10" ht="12.75" customHeight="1">
      <c r="A105" s="310"/>
      <c r="B105" s="1000"/>
      <c r="D105" s="1020"/>
      <c r="E105" s="1020"/>
      <c r="F105" s="1021"/>
      <c r="G105" s="1021"/>
      <c r="H105" s="310"/>
      <c r="I105" s="310"/>
      <c r="J105" s="1021"/>
    </row>
    <row r="106" spans="1:10" ht="12.75" customHeight="1">
      <c r="A106" s="310"/>
      <c r="B106" s="1000"/>
      <c r="D106" s="1020"/>
      <c r="E106" s="1020"/>
      <c r="F106" s="1021"/>
      <c r="G106" s="1021"/>
      <c r="H106" s="310"/>
      <c r="I106" s="310"/>
      <c r="J106" s="430"/>
    </row>
    <row r="107" spans="1:10" ht="12.75" customHeight="1">
      <c r="A107" s="310"/>
      <c r="B107" s="1000"/>
      <c r="D107" s="1020"/>
      <c r="E107" s="1020"/>
      <c r="F107" s="1021"/>
      <c r="G107" s="1021"/>
      <c r="H107" s="310"/>
      <c r="I107" s="310"/>
      <c r="J107" s="430"/>
    </row>
    <row r="108" spans="1:10" ht="12.75" customHeight="1">
      <c r="A108" s="310"/>
      <c r="B108" s="1000"/>
      <c r="D108" s="1020"/>
      <c r="E108" s="1020"/>
      <c r="F108" s="1021"/>
      <c r="G108" s="1021"/>
      <c r="H108" s="310"/>
      <c r="I108" s="310"/>
      <c r="J108" s="1021"/>
    </row>
    <row r="109" spans="1:10" ht="12.75" customHeight="1">
      <c r="A109" s="310"/>
      <c r="B109" s="1000"/>
      <c r="D109" s="1020"/>
      <c r="E109" s="1020"/>
      <c r="F109" s="1021"/>
      <c r="G109" s="1021"/>
      <c r="H109" s="310"/>
      <c r="I109" s="310"/>
      <c r="J109" s="1021"/>
    </row>
    <row r="110" spans="1:10" ht="12.75" customHeight="1">
      <c r="A110" s="310"/>
      <c r="B110" s="308"/>
      <c r="D110" s="1020"/>
      <c r="E110" s="1020"/>
      <c r="F110" s="1021"/>
      <c r="G110" s="1021"/>
      <c r="H110" s="310"/>
      <c r="I110" s="310"/>
    </row>
    <row r="111" spans="1:10" ht="12.75" customHeight="1">
      <c r="A111" s="310"/>
      <c r="B111" s="775"/>
      <c r="D111" s="1020"/>
      <c r="E111" s="1020"/>
      <c r="F111" s="1021"/>
      <c r="G111" s="1021"/>
      <c r="H111" s="310"/>
      <c r="I111" s="310"/>
    </row>
    <row r="112" spans="1:10" ht="12.75" customHeight="1">
      <c r="A112" s="310"/>
      <c r="B112" s="1000"/>
      <c r="D112" s="1020"/>
      <c r="E112" s="1020"/>
      <c r="F112" s="1021"/>
      <c r="G112" s="1021"/>
      <c r="H112" s="310"/>
      <c r="I112" s="310"/>
      <c r="J112" s="1015"/>
    </row>
    <row r="113" spans="1:10" ht="12.75" customHeight="1">
      <c r="A113" s="310"/>
      <c r="B113" s="1000"/>
      <c r="D113" s="1020"/>
      <c r="E113" s="1020"/>
      <c r="F113" s="1021"/>
      <c r="G113" s="1021"/>
      <c r="H113" s="310"/>
      <c r="I113" s="310"/>
      <c r="J113" s="1015"/>
    </row>
    <row r="114" spans="1:10" ht="12.75" customHeight="1">
      <c r="A114" s="310"/>
      <c r="B114" s="1000"/>
      <c r="D114" s="1020"/>
      <c r="E114" s="1020"/>
      <c r="F114" s="1021"/>
      <c r="G114" s="1021"/>
      <c r="H114" s="310"/>
      <c r="I114" s="310"/>
      <c r="J114" s="430"/>
    </row>
    <row r="115" spans="1:10" ht="12.75" customHeight="1">
      <c r="A115" s="310"/>
      <c r="B115" s="1000"/>
      <c r="D115" s="1020"/>
      <c r="E115" s="1020"/>
      <c r="F115" s="1021"/>
      <c r="G115" s="1021"/>
      <c r="H115" s="310"/>
      <c r="I115" s="310"/>
      <c r="J115" s="430"/>
    </row>
    <row r="116" spans="1:10" ht="12.75" customHeight="1">
      <c r="A116" s="310"/>
      <c r="B116" s="1000"/>
      <c r="D116" s="1020"/>
      <c r="E116" s="1020"/>
      <c r="F116" s="1021"/>
      <c r="G116" s="1021"/>
      <c r="H116" s="310"/>
      <c r="I116" s="310"/>
      <c r="J116" s="1021"/>
    </row>
    <row r="117" spans="1:10" ht="12.75" customHeight="1">
      <c r="A117" s="310"/>
      <c r="B117" s="1000"/>
      <c r="D117" s="1020"/>
      <c r="E117" s="1020"/>
      <c r="F117" s="1021"/>
      <c r="G117" s="1021"/>
      <c r="H117" s="310"/>
      <c r="I117" s="310"/>
      <c r="J117" s="1021"/>
    </row>
    <row r="118" spans="1:10" ht="12.75" customHeight="1">
      <c r="A118" s="310"/>
      <c r="B118" s="1000"/>
      <c r="D118" s="1020"/>
      <c r="E118" s="1020"/>
      <c r="F118" s="1021"/>
      <c r="G118" s="1021"/>
      <c r="H118" s="310"/>
      <c r="I118" s="310"/>
      <c r="J118" s="430"/>
    </row>
    <row r="119" spans="1:10" ht="12.75" customHeight="1">
      <c r="A119" s="310"/>
      <c r="B119" s="1000"/>
      <c r="D119" s="1020"/>
      <c r="E119" s="1020"/>
      <c r="F119" s="1021"/>
      <c r="G119" s="1021"/>
      <c r="H119" s="310"/>
      <c r="I119" s="310"/>
      <c r="J119" s="430"/>
    </row>
    <row r="120" spans="1:10" ht="12.75" customHeight="1">
      <c r="A120" s="310"/>
      <c r="B120" s="1000"/>
      <c r="D120" s="1020"/>
      <c r="E120" s="1020"/>
      <c r="F120" s="1021"/>
      <c r="G120" s="1021"/>
      <c r="H120" s="310"/>
      <c r="I120" s="310"/>
      <c r="J120" s="430"/>
    </row>
    <row r="121" spans="1:10" ht="12.75" customHeight="1">
      <c r="A121" s="310"/>
      <c r="B121" s="1000"/>
      <c r="D121" s="1020"/>
      <c r="E121" s="1020"/>
      <c r="F121" s="1021"/>
      <c r="G121" s="1021"/>
      <c r="H121" s="310"/>
      <c r="I121" s="310"/>
      <c r="J121" s="430"/>
    </row>
    <row r="122" spans="1:10" ht="12.75" customHeight="1">
      <c r="A122" s="310"/>
      <c r="B122" s="1000"/>
      <c r="D122" s="1020"/>
      <c r="E122" s="1020"/>
      <c r="F122" s="1021"/>
      <c r="G122" s="1021"/>
      <c r="H122" s="310"/>
      <c r="I122" s="310"/>
      <c r="J122" s="1021"/>
    </row>
    <row r="123" spans="1:10" ht="12.75" customHeight="1">
      <c r="A123" s="310"/>
      <c r="B123" s="1000"/>
      <c r="D123" s="1020"/>
      <c r="E123" s="1020"/>
      <c r="F123" s="1021"/>
      <c r="G123" s="1021"/>
      <c r="H123" s="310"/>
      <c r="I123" s="310"/>
      <c r="J123" s="1021"/>
    </row>
    <row r="124" spans="1:10" ht="12.75" customHeight="1">
      <c r="A124" s="310"/>
      <c r="B124" s="1000"/>
      <c r="D124" s="1020"/>
      <c r="E124" s="1020"/>
      <c r="F124" s="1021"/>
      <c r="G124" s="1021"/>
      <c r="H124" s="310"/>
      <c r="I124" s="310"/>
      <c r="J124" s="430"/>
    </row>
    <row r="125" spans="1:10" ht="12.75" customHeight="1">
      <c r="A125" s="310"/>
      <c r="B125" s="1000"/>
      <c r="D125" s="1020"/>
      <c r="E125" s="1020"/>
      <c r="F125" s="1021"/>
      <c r="G125" s="1021"/>
      <c r="H125" s="310"/>
      <c r="I125" s="310"/>
      <c r="J125" s="1021"/>
    </row>
    <row r="126" spans="1:10" ht="12.75" customHeight="1">
      <c r="A126" s="310"/>
      <c r="B126" s="1000"/>
      <c r="D126" s="1020"/>
      <c r="E126" s="1020"/>
      <c r="F126" s="1021"/>
      <c r="G126" s="1021"/>
      <c r="H126" s="310"/>
      <c r="I126" s="310"/>
      <c r="J126" s="1021"/>
    </row>
    <row r="127" spans="1:10" ht="12.75" customHeight="1">
      <c r="A127" s="310"/>
      <c r="B127" s="1000"/>
      <c r="D127" s="1020"/>
      <c r="E127" s="1020"/>
      <c r="F127" s="1021"/>
      <c r="G127" s="1021"/>
      <c r="H127" s="310"/>
      <c r="I127" s="310"/>
      <c r="J127" s="1021"/>
    </row>
    <row r="128" spans="1:10" ht="12.75" customHeight="1">
      <c r="A128" s="310"/>
      <c r="B128" s="1000"/>
      <c r="D128" s="1020"/>
      <c r="E128" s="1020"/>
      <c r="F128" s="1021"/>
      <c r="G128" s="1021"/>
      <c r="H128" s="310"/>
      <c r="I128" s="310"/>
      <c r="J128" s="1021"/>
    </row>
    <row r="129" spans="1:10" ht="12.75" customHeight="1">
      <c r="A129" s="310"/>
      <c r="B129" s="1000"/>
      <c r="D129" s="1020"/>
      <c r="E129" s="1020"/>
      <c r="F129" s="1021"/>
      <c r="G129" s="1021"/>
      <c r="H129" s="310"/>
      <c r="I129" s="310"/>
      <c r="J129" s="1021"/>
    </row>
    <row r="130" spans="1:10" ht="12.75" customHeight="1">
      <c r="A130" s="310"/>
      <c r="B130" s="1000"/>
      <c r="D130" s="1020"/>
      <c r="E130" s="1020"/>
      <c r="F130" s="1021"/>
      <c r="G130" s="1021"/>
      <c r="H130" s="310"/>
      <c r="I130" s="310"/>
      <c r="J130" s="1021"/>
    </row>
    <row r="131" spans="1:10" ht="12.75" customHeight="1">
      <c r="A131" s="310"/>
      <c r="B131" s="1000"/>
      <c r="D131" s="1020"/>
      <c r="E131" s="1020"/>
      <c r="F131" s="1021"/>
      <c r="G131" s="1021"/>
      <c r="H131" s="310"/>
      <c r="I131" s="310"/>
      <c r="J131" s="430"/>
    </row>
    <row r="132" spans="1:10" ht="12.75" customHeight="1">
      <c r="A132" s="310"/>
      <c r="B132" s="1000"/>
      <c r="D132" s="1020"/>
      <c r="E132" s="1020"/>
      <c r="F132" s="1021"/>
      <c r="G132" s="1021"/>
      <c r="H132" s="310"/>
      <c r="I132" s="310"/>
      <c r="J132" s="1021"/>
    </row>
    <row r="133" spans="1:10" ht="12.75" customHeight="1">
      <c r="A133" s="310"/>
      <c r="B133" s="1000"/>
      <c r="D133" s="1020"/>
      <c r="E133" s="1020"/>
      <c r="F133" s="1021"/>
      <c r="G133" s="1021"/>
      <c r="H133" s="310"/>
      <c r="I133" s="310"/>
      <c r="J133" s="1021"/>
    </row>
    <row r="134" spans="1:10" ht="12.75" customHeight="1">
      <c r="A134" s="310"/>
      <c r="B134" s="1000"/>
      <c r="D134" s="1020"/>
      <c r="E134" s="1020"/>
      <c r="F134" s="1021"/>
      <c r="G134" s="1021"/>
      <c r="H134" s="310"/>
      <c r="I134" s="310"/>
      <c r="J134" s="1021"/>
    </row>
    <row r="135" spans="1:10" ht="12.75" customHeight="1">
      <c r="A135" s="310"/>
      <c r="B135" s="1000"/>
      <c r="D135" s="1020"/>
      <c r="E135" s="1020"/>
      <c r="F135" s="1021"/>
      <c r="G135" s="1021"/>
      <c r="H135" s="310"/>
      <c r="I135" s="310"/>
      <c r="J135" s="430"/>
    </row>
    <row r="136" spans="1:10" ht="12.75" customHeight="1">
      <c r="A136" s="310"/>
      <c r="B136" s="1000"/>
      <c r="D136" s="1020"/>
      <c r="E136" s="1020"/>
      <c r="F136" s="1021"/>
      <c r="G136" s="1021"/>
      <c r="H136" s="310"/>
      <c r="I136" s="310"/>
      <c r="J136" s="1021"/>
    </row>
    <row r="137" spans="1:10" ht="12.75" customHeight="1">
      <c r="A137" s="310"/>
      <c r="B137" s="308"/>
      <c r="D137" s="1020"/>
      <c r="E137" s="1020"/>
      <c r="F137" s="1021"/>
      <c r="G137" s="1021"/>
      <c r="H137" s="310"/>
      <c r="I137" s="310"/>
    </row>
    <row r="138" spans="1:10" ht="12.75" customHeight="1">
      <c r="A138" s="775"/>
      <c r="B138" s="310"/>
      <c r="D138" s="1020"/>
      <c r="E138" s="1020"/>
      <c r="H138" s="310"/>
      <c r="I138" s="310"/>
      <c r="J138" s="1015"/>
    </row>
    <row r="139" spans="1:10" ht="12.75" customHeight="1">
      <c r="A139" s="947"/>
      <c r="B139" s="308"/>
      <c r="D139" s="1019"/>
      <c r="E139" s="1019"/>
    </row>
    <row r="140" spans="1:10" ht="12.75" customHeight="1">
      <c r="D140" s="1019"/>
      <c r="E140" s="1019"/>
    </row>
    <row r="141" spans="1:10" ht="12.75" customHeight="1">
      <c r="D141" s="1019"/>
      <c r="E141" s="1019"/>
    </row>
  </sheetData>
  <mergeCells count="7">
    <mergeCell ref="A6:N6"/>
    <mergeCell ref="A93:A95"/>
    <mergeCell ref="F94:H94"/>
    <mergeCell ref="A8:A10"/>
    <mergeCell ref="F9:H9"/>
    <mergeCell ref="A91:J91"/>
    <mergeCell ref="F10:H10"/>
  </mergeCells>
  <printOptions horizontalCentered="1"/>
  <pageMargins left="0.7" right="0.7" top="0.75" bottom="0.75" header="0.3" footer="0.3"/>
  <pageSetup scale="63" firstPageNumber="6" orientation="portrait" useFirstPageNumber="1" r:id="rId1"/>
  <headerFooter>
    <oddHeader>&amp;R&amp;"Arial,Regular"&amp;10Filed: 2024-02-16
EB-2022-0200
Rate Order
Working Papers
Schedule 27
Page &amp;P of 6</oddHeader>
  </headerFooter>
  <rowBreaks count="1" manualBreakCount="1">
    <brk id="83"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DC8B-24E3-4B4C-A297-8DAB78D72F4D}">
  <dimension ref="A2:AP330"/>
  <sheetViews>
    <sheetView showGridLines="0" view="pageBreakPreview" topLeftCell="A57" zoomScale="115" zoomScaleNormal="85" zoomScaleSheetLayoutView="115" zoomScalePageLayoutView="80" workbookViewId="0">
      <selection activeCell="Q62" sqref="Q62"/>
    </sheetView>
  </sheetViews>
  <sheetFormatPr defaultRowHeight="12.6"/>
  <cols>
    <col min="1" max="1" width="1.5" style="2" customWidth="1"/>
    <col min="2" max="2" width="4.125" style="1" customWidth="1"/>
    <col min="3" max="3" width="1.5" style="2" customWidth="1"/>
    <col min="4" max="4" width="26.625" style="2" customWidth="1"/>
    <col min="5" max="5" width="1.5" style="2" customWidth="1"/>
    <col min="6" max="6" width="11.125" style="2" customWidth="1"/>
    <col min="7" max="7" width="2.125" style="2" customWidth="1"/>
    <col min="8" max="8" width="8.125" style="2" customWidth="1"/>
    <col min="9" max="9" width="2.125" style="2" customWidth="1"/>
    <col min="10" max="10" width="7.625" style="2" customWidth="1"/>
    <col min="11" max="11" width="2.125" style="2" customWidth="1"/>
    <col min="12" max="12" width="0.125" style="2" customWidth="1"/>
    <col min="13" max="13" width="2.125" style="2" hidden="1" customWidth="1"/>
    <col min="14" max="14" width="5.625" style="2" customWidth="1"/>
    <col min="15" max="15" width="2.625" style="2" customWidth="1"/>
    <col min="16" max="16" width="9.625" style="2" bestFit="1" customWidth="1"/>
    <col min="17" max="17" width="2.125" style="2" customWidth="1"/>
    <col min="18" max="18" width="9.5" style="2" bestFit="1" customWidth="1"/>
    <col min="19" max="19" width="2.125" style="2" customWidth="1"/>
    <col min="20" max="20" width="12.5" style="2" customWidth="1"/>
    <col min="21" max="21" width="2.125" style="2" customWidth="1"/>
    <col min="22" max="22" width="11.75" style="2" customWidth="1"/>
    <col min="23" max="23" width="2.125" style="2" customWidth="1"/>
    <col min="24" max="24" width="7.625" style="2" customWidth="1"/>
    <col min="25" max="25" width="1.75" style="2" customWidth="1"/>
    <col min="26" max="27" width="7.625" style="2" hidden="1" customWidth="1"/>
    <col min="28" max="28" width="7.625" style="2" customWidth="1"/>
    <col min="29" max="29" width="2.125" style="2" customWidth="1"/>
    <col min="30" max="30" width="9.625" style="2" customWidth="1"/>
    <col min="31" max="31" width="1.625" style="2" customWidth="1"/>
    <col min="32" max="32" width="11.125" style="2" customWidth="1"/>
    <col min="33" max="33" width="2.125" style="2" customWidth="1"/>
    <col min="34" max="34" width="8.125" style="2" customWidth="1"/>
    <col min="35" max="35" width="2.125" style="2" customWidth="1"/>
    <col min="36" max="36" width="11.625" style="2" customWidth="1"/>
    <col min="37" max="37" width="1.75" style="2" customWidth="1"/>
    <col min="38" max="38" width="11.125" style="1134" customWidth="1"/>
    <col min="39" max="39" width="8.625" style="2" hidden="1" customWidth="1"/>
    <col min="40" max="40" width="11.625" style="2" hidden="1" customWidth="1"/>
    <col min="41" max="41" width="8.625" style="2" hidden="1" customWidth="1"/>
    <col min="42" max="243" width="8.625" style="2"/>
    <col min="244" max="244" width="4.125" style="2" customWidth="1"/>
    <col min="245" max="245" width="0.625" style="2" customWidth="1"/>
    <col min="246" max="246" width="16.125" style="2" customWidth="1"/>
    <col min="247" max="247" width="1.5" style="2" customWidth="1"/>
    <col min="248" max="248" width="11.125" style="2" customWidth="1"/>
    <col min="249" max="249" width="1.125" style="2" customWidth="1"/>
    <col min="250" max="250" width="8.625" style="2" customWidth="1"/>
    <col min="251" max="251" width="1.5" style="2" customWidth="1"/>
    <col min="252" max="252" width="10.5" style="2" customWidth="1"/>
    <col min="253" max="253" width="1.125" style="2" customWidth="1"/>
    <col min="254" max="254" width="9.125" style="2" customWidth="1"/>
    <col min="255" max="255" width="1.625" style="2" customWidth="1"/>
    <col min="256" max="256" width="8.625" style="2" customWidth="1"/>
    <col min="257" max="499" width="8.625" style="2"/>
    <col min="500" max="500" width="4.125" style="2" customWidth="1"/>
    <col min="501" max="501" width="0.625" style="2" customWidth="1"/>
    <col min="502" max="502" width="16.125" style="2" customWidth="1"/>
    <col min="503" max="503" width="1.5" style="2" customWidth="1"/>
    <col min="504" max="504" width="11.125" style="2" customWidth="1"/>
    <col min="505" max="505" width="1.125" style="2" customWidth="1"/>
    <col min="506" max="506" width="8.625" style="2" customWidth="1"/>
    <col min="507" max="507" width="1.5" style="2" customWidth="1"/>
    <col min="508" max="508" width="10.5" style="2" customWidth="1"/>
    <col min="509" max="509" width="1.125" style="2" customWidth="1"/>
    <col min="510" max="510" width="9.125" style="2" customWidth="1"/>
    <col min="511" max="511" width="1.625" style="2" customWidth="1"/>
    <col min="512" max="512" width="8.625" style="2" customWidth="1"/>
    <col min="513" max="755" width="8.625" style="2"/>
    <col min="756" max="756" width="4.125" style="2" customWidth="1"/>
    <col min="757" max="757" width="0.625" style="2" customWidth="1"/>
    <col min="758" max="758" width="16.125" style="2" customWidth="1"/>
    <col min="759" max="759" width="1.5" style="2" customWidth="1"/>
    <col min="760" max="760" width="11.125" style="2" customWidth="1"/>
    <col min="761" max="761" width="1.125" style="2" customWidth="1"/>
    <col min="762" max="762" width="8.625" style="2" customWidth="1"/>
    <col min="763" max="763" width="1.5" style="2" customWidth="1"/>
    <col min="764" max="764" width="10.5" style="2" customWidth="1"/>
    <col min="765" max="765" width="1.125" style="2" customWidth="1"/>
    <col min="766" max="766" width="9.125" style="2" customWidth="1"/>
    <col min="767" max="767" width="1.625" style="2" customWidth="1"/>
    <col min="768" max="768" width="8.625" style="2" customWidth="1"/>
    <col min="769" max="1011" width="8.625" style="2"/>
    <col min="1012" max="1012" width="4.125" style="2" customWidth="1"/>
    <col min="1013" max="1013" width="0.625" style="2" customWidth="1"/>
    <col min="1014" max="1014" width="16.125" style="2" customWidth="1"/>
    <col min="1015" max="1015" width="1.5" style="2" customWidth="1"/>
    <col min="1016" max="1016" width="11.125" style="2" customWidth="1"/>
    <col min="1017" max="1017" width="1.125" style="2" customWidth="1"/>
    <col min="1018" max="1018" width="8.625" style="2" customWidth="1"/>
    <col min="1019" max="1019" width="1.5" style="2" customWidth="1"/>
    <col min="1020" max="1020" width="10.5" style="2" customWidth="1"/>
    <col min="1021" max="1021" width="1.125" style="2" customWidth="1"/>
    <col min="1022" max="1022" width="9.125" style="2" customWidth="1"/>
    <col min="1023" max="1023" width="1.625" style="2" customWidth="1"/>
    <col min="1024" max="1024" width="8.625" style="2" customWidth="1"/>
    <col min="1025" max="1267" width="8.625" style="2"/>
    <col min="1268" max="1268" width="4.125" style="2" customWidth="1"/>
    <col min="1269" max="1269" width="0.625" style="2" customWidth="1"/>
    <col min="1270" max="1270" width="16.125" style="2" customWidth="1"/>
    <col min="1271" max="1271" width="1.5" style="2" customWidth="1"/>
    <col min="1272" max="1272" width="11.125" style="2" customWidth="1"/>
    <col min="1273" max="1273" width="1.125" style="2" customWidth="1"/>
    <col min="1274" max="1274" width="8.625" style="2" customWidth="1"/>
    <col min="1275" max="1275" width="1.5" style="2" customWidth="1"/>
    <col min="1276" max="1276" width="10.5" style="2" customWidth="1"/>
    <col min="1277" max="1277" width="1.125" style="2" customWidth="1"/>
    <col min="1278" max="1278" width="9.125" style="2" customWidth="1"/>
    <col min="1279" max="1279" width="1.625" style="2" customWidth="1"/>
    <col min="1280" max="1280" width="8.625" style="2" customWidth="1"/>
    <col min="1281" max="1523" width="8.625" style="2"/>
    <col min="1524" max="1524" width="4.125" style="2" customWidth="1"/>
    <col min="1525" max="1525" width="0.625" style="2" customWidth="1"/>
    <col min="1526" max="1526" width="16.125" style="2" customWidth="1"/>
    <col min="1527" max="1527" width="1.5" style="2" customWidth="1"/>
    <col min="1528" max="1528" width="11.125" style="2" customWidth="1"/>
    <col min="1529" max="1529" width="1.125" style="2" customWidth="1"/>
    <col min="1530" max="1530" width="8.625" style="2" customWidth="1"/>
    <col min="1531" max="1531" width="1.5" style="2" customWidth="1"/>
    <col min="1532" max="1532" width="10.5" style="2" customWidth="1"/>
    <col min="1533" max="1533" width="1.125" style="2" customWidth="1"/>
    <col min="1534" max="1534" width="9.125" style="2" customWidth="1"/>
    <col min="1535" max="1535" width="1.625" style="2" customWidth="1"/>
    <col min="1536" max="1536" width="8.625" style="2" customWidth="1"/>
    <col min="1537" max="1779" width="8.625" style="2"/>
    <col min="1780" max="1780" width="4.125" style="2" customWidth="1"/>
    <col min="1781" max="1781" width="0.625" style="2" customWidth="1"/>
    <col min="1782" max="1782" width="16.125" style="2" customWidth="1"/>
    <col min="1783" max="1783" width="1.5" style="2" customWidth="1"/>
    <col min="1784" max="1784" width="11.125" style="2" customWidth="1"/>
    <col min="1785" max="1785" width="1.125" style="2" customWidth="1"/>
    <col min="1786" max="1786" width="8.625" style="2" customWidth="1"/>
    <col min="1787" max="1787" width="1.5" style="2" customWidth="1"/>
    <col min="1788" max="1788" width="10.5" style="2" customWidth="1"/>
    <col min="1789" max="1789" width="1.125" style="2" customWidth="1"/>
    <col min="1790" max="1790" width="9.125" style="2" customWidth="1"/>
    <col min="1791" max="1791" width="1.625" style="2" customWidth="1"/>
    <col min="1792" max="1792" width="8.625" style="2" customWidth="1"/>
    <col min="1793" max="2035" width="8.625" style="2"/>
    <col min="2036" max="2036" width="4.125" style="2" customWidth="1"/>
    <col min="2037" max="2037" width="0.625" style="2" customWidth="1"/>
    <col min="2038" max="2038" width="16.125" style="2" customWidth="1"/>
    <col min="2039" max="2039" width="1.5" style="2" customWidth="1"/>
    <col min="2040" max="2040" width="11.125" style="2" customWidth="1"/>
    <col min="2041" max="2041" width="1.125" style="2" customWidth="1"/>
    <col min="2042" max="2042" width="8.625" style="2" customWidth="1"/>
    <col min="2043" max="2043" width="1.5" style="2" customWidth="1"/>
    <col min="2044" max="2044" width="10.5" style="2" customWidth="1"/>
    <col min="2045" max="2045" width="1.125" style="2" customWidth="1"/>
    <col min="2046" max="2046" width="9.125" style="2" customWidth="1"/>
    <col min="2047" max="2047" width="1.625" style="2" customWidth="1"/>
    <col min="2048" max="2048" width="8.625" style="2" customWidth="1"/>
    <col min="2049" max="2291" width="8.625" style="2"/>
    <col min="2292" max="2292" width="4.125" style="2" customWidth="1"/>
    <col min="2293" max="2293" width="0.625" style="2" customWidth="1"/>
    <col min="2294" max="2294" width="16.125" style="2" customWidth="1"/>
    <col min="2295" max="2295" width="1.5" style="2" customWidth="1"/>
    <col min="2296" max="2296" width="11.125" style="2" customWidth="1"/>
    <col min="2297" max="2297" width="1.125" style="2" customWidth="1"/>
    <col min="2298" max="2298" width="8.625" style="2" customWidth="1"/>
    <col min="2299" max="2299" width="1.5" style="2" customWidth="1"/>
    <col min="2300" max="2300" width="10.5" style="2" customWidth="1"/>
    <col min="2301" max="2301" width="1.125" style="2" customWidth="1"/>
    <col min="2302" max="2302" width="9.125" style="2" customWidth="1"/>
    <col min="2303" max="2303" width="1.625" style="2" customWidth="1"/>
    <col min="2304" max="2304" width="8.625" style="2" customWidth="1"/>
    <col min="2305" max="2547" width="8.625" style="2"/>
    <col min="2548" max="2548" width="4.125" style="2" customWidth="1"/>
    <col min="2549" max="2549" width="0.625" style="2" customWidth="1"/>
    <col min="2550" max="2550" width="16.125" style="2" customWidth="1"/>
    <col min="2551" max="2551" width="1.5" style="2" customWidth="1"/>
    <col min="2552" max="2552" width="11.125" style="2" customWidth="1"/>
    <col min="2553" max="2553" width="1.125" style="2" customWidth="1"/>
    <col min="2554" max="2554" width="8.625" style="2" customWidth="1"/>
    <col min="2555" max="2555" width="1.5" style="2" customWidth="1"/>
    <col min="2556" max="2556" width="10.5" style="2" customWidth="1"/>
    <col min="2557" max="2557" width="1.125" style="2" customWidth="1"/>
    <col min="2558" max="2558" width="9.125" style="2" customWidth="1"/>
    <col min="2559" max="2559" width="1.625" style="2" customWidth="1"/>
    <col min="2560" max="2560" width="8.625" style="2" customWidth="1"/>
    <col min="2561" max="2803" width="8.625" style="2"/>
    <col min="2804" max="2804" width="4.125" style="2" customWidth="1"/>
    <col min="2805" max="2805" width="0.625" style="2" customWidth="1"/>
    <col min="2806" max="2806" width="16.125" style="2" customWidth="1"/>
    <col min="2807" max="2807" width="1.5" style="2" customWidth="1"/>
    <col min="2808" max="2808" width="11.125" style="2" customWidth="1"/>
    <col min="2809" max="2809" width="1.125" style="2" customWidth="1"/>
    <col min="2810" max="2810" width="8.625" style="2" customWidth="1"/>
    <col min="2811" max="2811" width="1.5" style="2" customWidth="1"/>
    <col min="2812" max="2812" width="10.5" style="2" customWidth="1"/>
    <col min="2813" max="2813" width="1.125" style="2" customWidth="1"/>
    <col min="2814" max="2814" width="9.125" style="2" customWidth="1"/>
    <col min="2815" max="2815" width="1.625" style="2" customWidth="1"/>
    <col min="2816" max="2816" width="8.625" style="2" customWidth="1"/>
    <col min="2817" max="3059" width="8.625" style="2"/>
    <col min="3060" max="3060" width="4.125" style="2" customWidth="1"/>
    <col min="3061" max="3061" width="0.625" style="2" customWidth="1"/>
    <col min="3062" max="3062" width="16.125" style="2" customWidth="1"/>
    <col min="3063" max="3063" width="1.5" style="2" customWidth="1"/>
    <col min="3064" max="3064" width="11.125" style="2" customWidth="1"/>
    <col min="3065" max="3065" width="1.125" style="2" customWidth="1"/>
    <col min="3066" max="3066" width="8.625" style="2" customWidth="1"/>
    <col min="3067" max="3067" width="1.5" style="2" customWidth="1"/>
    <col min="3068" max="3068" width="10.5" style="2" customWidth="1"/>
    <col min="3069" max="3069" width="1.125" style="2" customWidth="1"/>
    <col min="3070" max="3070" width="9.125" style="2" customWidth="1"/>
    <col min="3071" max="3071" width="1.625" style="2" customWidth="1"/>
    <col min="3072" max="3072" width="8.625" style="2" customWidth="1"/>
    <col min="3073" max="3315" width="8.625" style="2"/>
    <col min="3316" max="3316" width="4.125" style="2" customWidth="1"/>
    <col min="3317" max="3317" width="0.625" style="2" customWidth="1"/>
    <col min="3318" max="3318" width="16.125" style="2" customWidth="1"/>
    <col min="3319" max="3319" width="1.5" style="2" customWidth="1"/>
    <col min="3320" max="3320" width="11.125" style="2" customWidth="1"/>
    <col min="3321" max="3321" width="1.125" style="2" customWidth="1"/>
    <col min="3322" max="3322" width="8.625" style="2" customWidth="1"/>
    <col min="3323" max="3323" width="1.5" style="2" customWidth="1"/>
    <col min="3324" max="3324" width="10.5" style="2" customWidth="1"/>
    <col min="3325" max="3325" width="1.125" style="2" customWidth="1"/>
    <col min="3326" max="3326" width="9.125" style="2" customWidth="1"/>
    <col min="3327" max="3327" width="1.625" style="2" customWidth="1"/>
    <col min="3328" max="3328" width="8.625" style="2" customWidth="1"/>
    <col min="3329" max="3571" width="8.625" style="2"/>
    <col min="3572" max="3572" width="4.125" style="2" customWidth="1"/>
    <col min="3573" max="3573" width="0.625" style="2" customWidth="1"/>
    <col min="3574" max="3574" width="16.125" style="2" customWidth="1"/>
    <col min="3575" max="3575" width="1.5" style="2" customWidth="1"/>
    <col min="3576" max="3576" width="11.125" style="2" customWidth="1"/>
    <col min="3577" max="3577" width="1.125" style="2" customWidth="1"/>
    <col min="3578" max="3578" width="8.625" style="2" customWidth="1"/>
    <col min="3579" max="3579" width="1.5" style="2" customWidth="1"/>
    <col min="3580" max="3580" width="10.5" style="2" customWidth="1"/>
    <col min="3581" max="3581" width="1.125" style="2" customWidth="1"/>
    <col min="3582" max="3582" width="9.125" style="2" customWidth="1"/>
    <col min="3583" max="3583" width="1.625" style="2" customWidth="1"/>
    <col min="3584" max="3584" width="8.625" style="2" customWidth="1"/>
    <col min="3585" max="3827" width="8.625" style="2"/>
    <col min="3828" max="3828" width="4.125" style="2" customWidth="1"/>
    <col min="3829" max="3829" width="0.625" style="2" customWidth="1"/>
    <col min="3830" max="3830" width="16.125" style="2" customWidth="1"/>
    <col min="3831" max="3831" width="1.5" style="2" customWidth="1"/>
    <col min="3832" max="3832" width="11.125" style="2" customWidth="1"/>
    <col min="3833" max="3833" width="1.125" style="2" customWidth="1"/>
    <col min="3834" max="3834" width="8.625" style="2" customWidth="1"/>
    <col min="3835" max="3835" width="1.5" style="2" customWidth="1"/>
    <col min="3836" max="3836" width="10.5" style="2" customWidth="1"/>
    <col min="3837" max="3837" width="1.125" style="2" customWidth="1"/>
    <col min="3838" max="3838" width="9.125" style="2" customWidth="1"/>
    <col min="3839" max="3839" width="1.625" style="2" customWidth="1"/>
    <col min="3840" max="3840" width="8.625" style="2" customWidth="1"/>
    <col min="3841" max="4083" width="8.625" style="2"/>
    <col min="4084" max="4084" width="4.125" style="2" customWidth="1"/>
    <col min="4085" max="4085" width="0.625" style="2" customWidth="1"/>
    <col min="4086" max="4086" width="16.125" style="2" customWidth="1"/>
    <col min="4087" max="4087" width="1.5" style="2" customWidth="1"/>
    <col min="4088" max="4088" width="11.125" style="2" customWidth="1"/>
    <col min="4089" max="4089" width="1.125" style="2" customWidth="1"/>
    <col min="4090" max="4090" width="8.625" style="2" customWidth="1"/>
    <col min="4091" max="4091" width="1.5" style="2" customWidth="1"/>
    <col min="4092" max="4092" width="10.5" style="2" customWidth="1"/>
    <col min="4093" max="4093" width="1.125" style="2" customWidth="1"/>
    <col min="4094" max="4094" width="9.125" style="2" customWidth="1"/>
    <col min="4095" max="4095" width="1.625" style="2" customWidth="1"/>
    <col min="4096" max="4096" width="8.625" style="2" customWidth="1"/>
    <col min="4097" max="4339" width="8.625" style="2"/>
    <col min="4340" max="4340" width="4.125" style="2" customWidth="1"/>
    <col min="4341" max="4341" width="0.625" style="2" customWidth="1"/>
    <col min="4342" max="4342" width="16.125" style="2" customWidth="1"/>
    <col min="4343" max="4343" width="1.5" style="2" customWidth="1"/>
    <col min="4344" max="4344" width="11.125" style="2" customWidth="1"/>
    <col min="4345" max="4345" width="1.125" style="2" customWidth="1"/>
    <col min="4346" max="4346" width="8.625" style="2" customWidth="1"/>
    <col min="4347" max="4347" width="1.5" style="2" customWidth="1"/>
    <col min="4348" max="4348" width="10.5" style="2" customWidth="1"/>
    <col min="4349" max="4349" width="1.125" style="2" customWidth="1"/>
    <col min="4350" max="4350" width="9.125" style="2" customWidth="1"/>
    <col min="4351" max="4351" width="1.625" style="2" customWidth="1"/>
    <col min="4352" max="4352" width="8.625" style="2" customWidth="1"/>
    <col min="4353" max="4595" width="8.625" style="2"/>
    <col min="4596" max="4596" width="4.125" style="2" customWidth="1"/>
    <col min="4597" max="4597" width="0.625" style="2" customWidth="1"/>
    <col min="4598" max="4598" width="16.125" style="2" customWidth="1"/>
    <col min="4599" max="4599" width="1.5" style="2" customWidth="1"/>
    <col min="4600" max="4600" width="11.125" style="2" customWidth="1"/>
    <col min="4601" max="4601" width="1.125" style="2" customWidth="1"/>
    <col min="4602" max="4602" width="8.625" style="2" customWidth="1"/>
    <col min="4603" max="4603" width="1.5" style="2" customWidth="1"/>
    <col min="4604" max="4604" width="10.5" style="2" customWidth="1"/>
    <col min="4605" max="4605" width="1.125" style="2" customWidth="1"/>
    <col min="4606" max="4606" width="9.125" style="2" customWidth="1"/>
    <col min="4607" max="4607" width="1.625" style="2" customWidth="1"/>
    <col min="4608" max="4608" width="8.625" style="2" customWidth="1"/>
    <col min="4609" max="4851" width="8.625" style="2"/>
    <col min="4852" max="4852" width="4.125" style="2" customWidth="1"/>
    <col min="4853" max="4853" width="0.625" style="2" customWidth="1"/>
    <col min="4854" max="4854" width="16.125" style="2" customWidth="1"/>
    <col min="4855" max="4855" width="1.5" style="2" customWidth="1"/>
    <col min="4856" max="4856" width="11.125" style="2" customWidth="1"/>
    <col min="4857" max="4857" width="1.125" style="2" customWidth="1"/>
    <col min="4858" max="4858" width="8.625" style="2" customWidth="1"/>
    <col min="4859" max="4859" width="1.5" style="2" customWidth="1"/>
    <col min="4860" max="4860" width="10.5" style="2" customWidth="1"/>
    <col min="4861" max="4861" width="1.125" style="2" customWidth="1"/>
    <col min="4862" max="4862" width="9.125" style="2" customWidth="1"/>
    <col min="4863" max="4863" width="1.625" style="2" customWidth="1"/>
    <col min="4864" max="4864" width="8.625" style="2" customWidth="1"/>
    <col min="4865" max="5107" width="8.625" style="2"/>
    <col min="5108" max="5108" width="4.125" style="2" customWidth="1"/>
    <col min="5109" max="5109" width="0.625" style="2" customWidth="1"/>
    <col min="5110" max="5110" width="16.125" style="2" customWidth="1"/>
    <col min="5111" max="5111" width="1.5" style="2" customWidth="1"/>
    <col min="5112" max="5112" width="11.125" style="2" customWidth="1"/>
    <col min="5113" max="5113" width="1.125" style="2" customWidth="1"/>
    <col min="5114" max="5114" width="8.625" style="2" customWidth="1"/>
    <col min="5115" max="5115" width="1.5" style="2" customWidth="1"/>
    <col min="5116" max="5116" width="10.5" style="2" customWidth="1"/>
    <col min="5117" max="5117" width="1.125" style="2" customWidth="1"/>
    <col min="5118" max="5118" width="9.125" style="2" customWidth="1"/>
    <col min="5119" max="5119" width="1.625" style="2" customWidth="1"/>
    <col min="5120" max="5120" width="8.625" style="2" customWidth="1"/>
    <col min="5121" max="5363" width="8.625" style="2"/>
    <col min="5364" max="5364" width="4.125" style="2" customWidth="1"/>
    <col min="5365" max="5365" width="0.625" style="2" customWidth="1"/>
    <col min="5366" max="5366" width="16.125" style="2" customWidth="1"/>
    <col min="5367" max="5367" width="1.5" style="2" customWidth="1"/>
    <col min="5368" max="5368" width="11.125" style="2" customWidth="1"/>
    <col min="5369" max="5369" width="1.125" style="2" customWidth="1"/>
    <col min="5370" max="5370" width="8.625" style="2" customWidth="1"/>
    <col min="5371" max="5371" width="1.5" style="2" customWidth="1"/>
    <col min="5372" max="5372" width="10.5" style="2" customWidth="1"/>
    <col min="5373" max="5373" width="1.125" style="2" customWidth="1"/>
    <col min="5374" max="5374" width="9.125" style="2" customWidth="1"/>
    <col min="5375" max="5375" width="1.625" style="2" customWidth="1"/>
    <col min="5376" max="5376" width="8.625" style="2" customWidth="1"/>
    <col min="5377" max="5619" width="8.625" style="2"/>
    <col min="5620" max="5620" width="4.125" style="2" customWidth="1"/>
    <col min="5621" max="5621" width="0.625" style="2" customWidth="1"/>
    <col min="5622" max="5622" width="16.125" style="2" customWidth="1"/>
    <col min="5623" max="5623" width="1.5" style="2" customWidth="1"/>
    <col min="5624" max="5624" width="11.125" style="2" customWidth="1"/>
    <col min="5625" max="5625" width="1.125" style="2" customWidth="1"/>
    <col min="5626" max="5626" width="8.625" style="2" customWidth="1"/>
    <col min="5627" max="5627" width="1.5" style="2" customWidth="1"/>
    <col min="5628" max="5628" width="10.5" style="2" customWidth="1"/>
    <col min="5629" max="5629" width="1.125" style="2" customWidth="1"/>
    <col min="5630" max="5630" width="9.125" style="2" customWidth="1"/>
    <col min="5631" max="5631" width="1.625" style="2" customWidth="1"/>
    <col min="5632" max="5632" width="8.625" style="2" customWidth="1"/>
    <col min="5633" max="5875" width="8.625" style="2"/>
    <col min="5876" max="5876" width="4.125" style="2" customWidth="1"/>
    <col min="5877" max="5877" width="0.625" style="2" customWidth="1"/>
    <col min="5878" max="5878" width="16.125" style="2" customWidth="1"/>
    <col min="5879" max="5879" width="1.5" style="2" customWidth="1"/>
    <col min="5880" max="5880" width="11.125" style="2" customWidth="1"/>
    <col min="5881" max="5881" width="1.125" style="2" customWidth="1"/>
    <col min="5882" max="5882" width="8.625" style="2" customWidth="1"/>
    <col min="5883" max="5883" width="1.5" style="2" customWidth="1"/>
    <col min="5884" max="5884" width="10.5" style="2" customWidth="1"/>
    <col min="5885" max="5885" width="1.125" style="2" customWidth="1"/>
    <col min="5886" max="5886" width="9.125" style="2" customWidth="1"/>
    <col min="5887" max="5887" width="1.625" style="2" customWidth="1"/>
    <col min="5888" max="5888" width="8.625" style="2" customWidth="1"/>
    <col min="5889" max="6131" width="8.625" style="2"/>
    <col min="6132" max="6132" width="4.125" style="2" customWidth="1"/>
    <col min="6133" max="6133" width="0.625" style="2" customWidth="1"/>
    <col min="6134" max="6134" width="16.125" style="2" customWidth="1"/>
    <col min="6135" max="6135" width="1.5" style="2" customWidth="1"/>
    <col min="6136" max="6136" width="11.125" style="2" customWidth="1"/>
    <col min="6137" max="6137" width="1.125" style="2" customWidth="1"/>
    <col min="6138" max="6138" width="8.625" style="2" customWidth="1"/>
    <col min="6139" max="6139" width="1.5" style="2" customWidth="1"/>
    <col min="6140" max="6140" width="10.5" style="2" customWidth="1"/>
    <col min="6141" max="6141" width="1.125" style="2" customWidth="1"/>
    <col min="6142" max="6142" width="9.125" style="2" customWidth="1"/>
    <col min="6143" max="6143" width="1.625" style="2" customWidth="1"/>
    <col min="6144" max="6144" width="8.625" style="2" customWidth="1"/>
    <col min="6145" max="6387" width="8.625" style="2"/>
    <col min="6388" max="6388" width="4.125" style="2" customWidth="1"/>
    <col min="6389" max="6389" width="0.625" style="2" customWidth="1"/>
    <col min="6390" max="6390" width="16.125" style="2" customWidth="1"/>
    <col min="6391" max="6391" width="1.5" style="2" customWidth="1"/>
    <col min="6392" max="6392" width="11.125" style="2" customWidth="1"/>
    <col min="6393" max="6393" width="1.125" style="2" customWidth="1"/>
    <col min="6394" max="6394" width="8.625" style="2" customWidth="1"/>
    <col min="6395" max="6395" width="1.5" style="2" customWidth="1"/>
    <col min="6396" max="6396" width="10.5" style="2" customWidth="1"/>
    <col min="6397" max="6397" width="1.125" style="2" customWidth="1"/>
    <col min="6398" max="6398" width="9.125" style="2" customWidth="1"/>
    <col min="6399" max="6399" width="1.625" style="2" customWidth="1"/>
    <col min="6400" max="6400" width="8.625" style="2" customWidth="1"/>
    <col min="6401" max="6643" width="8.625" style="2"/>
    <col min="6644" max="6644" width="4.125" style="2" customWidth="1"/>
    <col min="6645" max="6645" width="0.625" style="2" customWidth="1"/>
    <col min="6646" max="6646" width="16.125" style="2" customWidth="1"/>
    <col min="6647" max="6647" width="1.5" style="2" customWidth="1"/>
    <col min="6648" max="6648" width="11.125" style="2" customWidth="1"/>
    <col min="6649" max="6649" width="1.125" style="2" customWidth="1"/>
    <col min="6650" max="6650" width="8.625" style="2" customWidth="1"/>
    <col min="6651" max="6651" width="1.5" style="2" customWidth="1"/>
    <col min="6652" max="6652" width="10.5" style="2" customWidth="1"/>
    <col min="6653" max="6653" width="1.125" style="2" customWidth="1"/>
    <col min="6654" max="6654" width="9.125" style="2" customWidth="1"/>
    <col min="6655" max="6655" width="1.625" style="2" customWidth="1"/>
    <col min="6656" max="6656" width="8.625" style="2" customWidth="1"/>
    <col min="6657" max="6899" width="8.625" style="2"/>
    <col min="6900" max="6900" width="4.125" style="2" customWidth="1"/>
    <col min="6901" max="6901" width="0.625" style="2" customWidth="1"/>
    <col min="6902" max="6902" width="16.125" style="2" customWidth="1"/>
    <col min="6903" max="6903" width="1.5" style="2" customWidth="1"/>
    <col min="6904" max="6904" width="11.125" style="2" customWidth="1"/>
    <col min="6905" max="6905" width="1.125" style="2" customWidth="1"/>
    <col min="6906" max="6906" width="8.625" style="2" customWidth="1"/>
    <col min="6907" max="6907" width="1.5" style="2" customWidth="1"/>
    <col min="6908" max="6908" width="10.5" style="2" customWidth="1"/>
    <col min="6909" max="6909" width="1.125" style="2" customWidth="1"/>
    <col min="6910" max="6910" width="9.125" style="2" customWidth="1"/>
    <col min="6911" max="6911" width="1.625" style="2" customWidth="1"/>
    <col min="6912" max="6912" width="8.625" style="2" customWidth="1"/>
    <col min="6913" max="7155" width="8.625" style="2"/>
    <col min="7156" max="7156" width="4.125" style="2" customWidth="1"/>
    <col min="7157" max="7157" width="0.625" style="2" customWidth="1"/>
    <col min="7158" max="7158" width="16.125" style="2" customWidth="1"/>
    <col min="7159" max="7159" width="1.5" style="2" customWidth="1"/>
    <col min="7160" max="7160" width="11.125" style="2" customWidth="1"/>
    <col min="7161" max="7161" width="1.125" style="2" customWidth="1"/>
    <col min="7162" max="7162" width="8.625" style="2" customWidth="1"/>
    <col min="7163" max="7163" width="1.5" style="2" customWidth="1"/>
    <col min="7164" max="7164" width="10.5" style="2" customWidth="1"/>
    <col min="7165" max="7165" width="1.125" style="2" customWidth="1"/>
    <col min="7166" max="7166" width="9.125" style="2" customWidth="1"/>
    <col min="7167" max="7167" width="1.625" style="2" customWidth="1"/>
    <col min="7168" max="7168" width="8.625" style="2" customWidth="1"/>
    <col min="7169" max="7411" width="8.625" style="2"/>
    <col min="7412" max="7412" width="4.125" style="2" customWidth="1"/>
    <col min="7413" max="7413" width="0.625" style="2" customWidth="1"/>
    <col min="7414" max="7414" width="16.125" style="2" customWidth="1"/>
    <col min="7415" max="7415" width="1.5" style="2" customWidth="1"/>
    <col min="7416" max="7416" width="11.125" style="2" customWidth="1"/>
    <col min="7417" max="7417" width="1.125" style="2" customWidth="1"/>
    <col min="7418" max="7418" width="8.625" style="2" customWidth="1"/>
    <col min="7419" max="7419" width="1.5" style="2" customWidth="1"/>
    <col min="7420" max="7420" width="10.5" style="2" customWidth="1"/>
    <col min="7421" max="7421" width="1.125" style="2" customWidth="1"/>
    <col min="7422" max="7422" width="9.125" style="2" customWidth="1"/>
    <col min="7423" max="7423" width="1.625" style="2" customWidth="1"/>
    <col min="7424" max="7424" width="8.625" style="2" customWidth="1"/>
    <col min="7425" max="7667" width="8.625" style="2"/>
    <col min="7668" max="7668" width="4.125" style="2" customWidth="1"/>
    <col min="7669" max="7669" width="0.625" style="2" customWidth="1"/>
    <col min="7670" max="7670" width="16.125" style="2" customWidth="1"/>
    <col min="7671" max="7671" width="1.5" style="2" customWidth="1"/>
    <col min="7672" max="7672" width="11.125" style="2" customWidth="1"/>
    <col min="7673" max="7673" width="1.125" style="2" customWidth="1"/>
    <col min="7674" max="7674" width="8.625" style="2" customWidth="1"/>
    <col min="7675" max="7675" width="1.5" style="2" customWidth="1"/>
    <col min="7676" max="7676" width="10.5" style="2" customWidth="1"/>
    <col min="7677" max="7677" width="1.125" style="2" customWidth="1"/>
    <col min="7678" max="7678" width="9.125" style="2" customWidth="1"/>
    <col min="7679" max="7679" width="1.625" style="2" customWidth="1"/>
    <col min="7680" max="7680" width="8.625" style="2" customWidth="1"/>
    <col min="7681" max="7923" width="8.625" style="2"/>
    <col min="7924" max="7924" width="4.125" style="2" customWidth="1"/>
    <col min="7925" max="7925" width="0.625" style="2" customWidth="1"/>
    <col min="7926" max="7926" width="16.125" style="2" customWidth="1"/>
    <col min="7927" max="7927" width="1.5" style="2" customWidth="1"/>
    <col min="7928" max="7928" width="11.125" style="2" customWidth="1"/>
    <col min="7929" max="7929" width="1.125" style="2" customWidth="1"/>
    <col min="7930" max="7930" width="8.625" style="2" customWidth="1"/>
    <col min="7931" max="7931" width="1.5" style="2" customWidth="1"/>
    <col min="7932" max="7932" width="10.5" style="2" customWidth="1"/>
    <col min="7933" max="7933" width="1.125" style="2" customWidth="1"/>
    <col min="7934" max="7934" width="9.125" style="2" customWidth="1"/>
    <col min="7935" max="7935" width="1.625" style="2" customWidth="1"/>
    <col min="7936" max="7936" width="8.625" style="2" customWidth="1"/>
    <col min="7937" max="8179" width="8.625" style="2"/>
    <col min="8180" max="8180" width="4.125" style="2" customWidth="1"/>
    <col min="8181" max="8181" width="0.625" style="2" customWidth="1"/>
    <col min="8182" max="8182" width="16.125" style="2" customWidth="1"/>
    <col min="8183" max="8183" width="1.5" style="2" customWidth="1"/>
    <col min="8184" max="8184" width="11.125" style="2" customWidth="1"/>
    <col min="8185" max="8185" width="1.125" style="2" customWidth="1"/>
    <col min="8186" max="8186" width="8.625" style="2" customWidth="1"/>
    <col min="8187" max="8187" width="1.5" style="2" customWidth="1"/>
    <col min="8188" max="8188" width="10.5" style="2" customWidth="1"/>
    <col min="8189" max="8189" width="1.125" style="2" customWidth="1"/>
    <col min="8190" max="8190" width="9.125" style="2" customWidth="1"/>
    <col min="8191" max="8191" width="1.625" style="2" customWidth="1"/>
    <col min="8192" max="8192" width="8.625" style="2" customWidth="1"/>
    <col min="8193" max="8435" width="8.625" style="2"/>
    <col min="8436" max="8436" width="4.125" style="2" customWidth="1"/>
    <col min="8437" max="8437" width="0.625" style="2" customWidth="1"/>
    <col min="8438" max="8438" width="16.125" style="2" customWidth="1"/>
    <col min="8439" max="8439" width="1.5" style="2" customWidth="1"/>
    <col min="8440" max="8440" width="11.125" style="2" customWidth="1"/>
    <col min="8441" max="8441" width="1.125" style="2" customWidth="1"/>
    <col min="8442" max="8442" width="8.625" style="2" customWidth="1"/>
    <col min="8443" max="8443" width="1.5" style="2" customWidth="1"/>
    <col min="8444" max="8444" width="10.5" style="2" customWidth="1"/>
    <col min="8445" max="8445" width="1.125" style="2" customWidth="1"/>
    <col min="8446" max="8446" width="9.125" style="2" customWidth="1"/>
    <col min="8447" max="8447" width="1.625" style="2" customWidth="1"/>
    <col min="8448" max="8448" width="8.625" style="2" customWidth="1"/>
    <col min="8449" max="8691" width="8.625" style="2"/>
    <col min="8692" max="8692" width="4.125" style="2" customWidth="1"/>
    <col min="8693" max="8693" width="0.625" style="2" customWidth="1"/>
    <col min="8694" max="8694" width="16.125" style="2" customWidth="1"/>
    <col min="8695" max="8695" width="1.5" style="2" customWidth="1"/>
    <col min="8696" max="8696" width="11.125" style="2" customWidth="1"/>
    <col min="8697" max="8697" width="1.125" style="2" customWidth="1"/>
    <col min="8698" max="8698" width="8.625" style="2" customWidth="1"/>
    <col min="8699" max="8699" width="1.5" style="2" customWidth="1"/>
    <col min="8700" max="8700" width="10.5" style="2" customWidth="1"/>
    <col min="8701" max="8701" width="1.125" style="2" customWidth="1"/>
    <col min="8702" max="8702" width="9.125" style="2" customWidth="1"/>
    <col min="8703" max="8703" width="1.625" style="2" customWidth="1"/>
    <col min="8704" max="8704" width="8.625" style="2" customWidth="1"/>
    <col min="8705" max="8947" width="8.625" style="2"/>
    <col min="8948" max="8948" width="4.125" style="2" customWidth="1"/>
    <col min="8949" max="8949" width="0.625" style="2" customWidth="1"/>
    <col min="8950" max="8950" width="16.125" style="2" customWidth="1"/>
    <col min="8951" max="8951" width="1.5" style="2" customWidth="1"/>
    <col min="8952" max="8952" width="11.125" style="2" customWidth="1"/>
    <col min="8953" max="8953" width="1.125" style="2" customWidth="1"/>
    <col min="8954" max="8954" width="8.625" style="2" customWidth="1"/>
    <col min="8955" max="8955" width="1.5" style="2" customWidth="1"/>
    <col min="8956" max="8956" width="10.5" style="2" customWidth="1"/>
    <col min="8957" max="8957" width="1.125" style="2" customWidth="1"/>
    <col min="8958" max="8958" width="9.125" style="2" customWidth="1"/>
    <col min="8959" max="8959" width="1.625" style="2" customWidth="1"/>
    <col min="8960" max="8960" width="8.625" style="2" customWidth="1"/>
    <col min="8961" max="9203" width="8.625" style="2"/>
    <col min="9204" max="9204" width="4.125" style="2" customWidth="1"/>
    <col min="9205" max="9205" width="0.625" style="2" customWidth="1"/>
    <col min="9206" max="9206" width="16.125" style="2" customWidth="1"/>
    <col min="9207" max="9207" width="1.5" style="2" customWidth="1"/>
    <col min="9208" max="9208" width="11.125" style="2" customWidth="1"/>
    <col min="9209" max="9209" width="1.125" style="2" customWidth="1"/>
    <col min="9210" max="9210" width="8.625" style="2" customWidth="1"/>
    <col min="9211" max="9211" width="1.5" style="2" customWidth="1"/>
    <col min="9212" max="9212" width="10.5" style="2" customWidth="1"/>
    <col min="9213" max="9213" width="1.125" style="2" customWidth="1"/>
    <col min="9214" max="9214" width="9.125" style="2" customWidth="1"/>
    <col min="9215" max="9215" width="1.625" style="2" customWidth="1"/>
    <col min="9216" max="9216" width="8.625" style="2" customWidth="1"/>
    <col min="9217" max="9459" width="8.625" style="2"/>
    <col min="9460" max="9460" width="4.125" style="2" customWidth="1"/>
    <col min="9461" max="9461" width="0.625" style="2" customWidth="1"/>
    <col min="9462" max="9462" width="16.125" style="2" customWidth="1"/>
    <col min="9463" max="9463" width="1.5" style="2" customWidth="1"/>
    <col min="9464" max="9464" width="11.125" style="2" customWidth="1"/>
    <col min="9465" max="9465" width="1.125" style="2" customWidth="1"/>
    <col min="9466" max="9466" width="8.625" style="2" customWidth="1"/>
    <col min="9467" max="9467" width="1.5" style="2" customWidth="1"/>
    <col min="9468" max="9468" width="10.5" style="2" customWidth="1"/>
    <col min="9469" max="9469" width="1.125" style="2" customWidth="1"/>
    <col min="9470" max="9470" width="9.125" style="2" customWidth="1"/>
    <col min="9471" max="9471" width="1.625" style="2" customWidth="1"/>
    <col min="9472" max="9472" width="8.625" style="2" customWidth="1"/>
    <col min="9473" max="9715" width="8.625" style="2"/>
    <col min="9716" max="9716" width="4.125" style="2" customWidth="1"/>
    <col min="9717" max="9717" width="0.625" style="2" customWidth="1"/>
    <col min="9718" max="9718" width="16.125" style="2" customWidth="1"/>
    <col min="9719" max="9719" width="1.5" style="2" customWidth="1"/>
    <col min="9720" max="9720" width="11.125" style="2" customWidth="1"/>
    <col min="9721" max="9721" width="1.125" style="2" customWidth="1"/>
    <col min="9722" max="9722" width="8.625" style="2" customWidth="1"/>
    <col min="9723" max="9723" width="1.5" style="2" customWidth="1"/>
    <col min="9724" max="9724" width="10.5" style="2" customWidth="1"/>
    <col min="9725" max="9725" width="1.125" style="2" customWidth="1"/>
    <col min="9726" max="9726" width="9.125" style="2" customWidth="1"/>
    <col min="9727" max="9727" width="1.625" style="2" customWidth="1"/>
    <col min="9728" max="9728" width="8.625" style="2" customWidth="1"/>
    <col min="9729" max="9971" width="8.625" style="2"/>
    <col min="9972" max="9972" width="4.125" style="2" customWidth="1"/>
    <col min="9973" max="9973" width="0.625" style="2" customWidth="1"/>
    <col min="9974" max="9974" width="16.125" style="2" customWidth="1"/>
    <col min="9975" max="9975" width="1.5" style="2" customWidth="1"/>
    <col min="9976" max="9976" width="11.125" style="2" customWidth="1"/>
    <col min="9977" max="9977" width="1.125" style="2" customWidth="1"/>
    <col min="9978" max="9978" width="8.625" style="2" customWidth="1"/>
    <col min="9979" max="9979" width="1.5" style="2" customWidth="1"/>
    <col min="9980" max="9980" width="10.5" style="2" customWidth="1"/>
    <col min="9981" max="9981" width="1.125" style="2" customWidth="1"/>
    <col min="9982" max="9982" width="9.125" style="2" customWidth="1"/>
    <col min="9983" max="9983" width="1.625" style="2" customWidth="1"/>
    <col min="9984" max="9984" width="8.625" style="2" customWidth="1"/>
    <col min="9985" max="10227" width="8.625" style="2"/>
    <col min="10228" max="10228" width="4.125" style="2" customWidth="1"/>
    <col min="10229" max="10229" width="0.625" style="2" customWidth="1"/>
    <col min="10230" max="10230" width="16.125" style="2" customWidth="1"/>
    <col min="10231" max="10231" width="1.5" style="2" customWidth="1"/>
    <col min="10232" max="10232" width="11.125" style="2" customWidth="1"/>
    <col min="10233" max="10233" width="1.125" style="2" customWidth="1"/>
    <col min="10234" max="10234" width="8.625" style="2" customWidth="1"/>
    <col min="10235" max="10235" width="1.5" style="2" customWidth="1"/>
    <col min="10236" max="10236" width="10.5" style="2" customWidth="1"/>
    <col min="10237" max="10237" width="1.125" style="2" customWidth="1"/>
    <col min="10238" max="10238" width="9.125" style="2" customWidth="1"/>
    <col min="10239" max="10239" width="1.625" style="2" customWidth="1"/>
    <col min="10240" max="10240" width="8.625" style="2" customWidth="1"/>
    <col min="10241" max="10483" width="8.625" style="2"/>
    <col min="10484" max="10484" width="4.125" style="2" customWidth="1"/>
    <col min="10485" max="10485" width="0.625" style="2" customWidth="1"/>
    <col min="10486" max="10486" width="16.125" style="2" customWidth="1"/>
    <col min="10487" max="10487" width="1.5" style="2" customWidth="1"/>
    <col min="10488" max="10488" width="11.125" style="2" customWidth="1"/>
    <col min="10489" max="10489" width="1.125" style="2" customWidth="1"/>
    <col min="10490" max="10490" width="8.625" style="2" customWidth="1"/>
    <col min="10491" max="10491" width="1.5" style="2" customWidth="1"/>
    <col min="10492" max="10492" width="10.5" style="2" customWidth="1"/>
    <col min="10493" max="10493" width="1.125" style="2" customWidth="1"/>
    <col min="10494" max="10494" width="9.125" style="2" customWidth="1"/>
    <col min="10495" max="10495" width="1.625" style="2" customWidth="1"/>
    <col min="10496" max="10496" width="8.625" style="2" customWidth="1"/>
    <col min="10497" max="10739" width="8.625" style="2"/>
    <col min="10740" max="10740" width="4.125" style="2" customWidth="1"/>
    <col min="10741" max="10741" width="0.625" style="2" customWidth="1"/>
    <col min="10742" max="10742" width="16.125" style="2" customWidth="1"/>
    <col min="10743" max="10743" width="1.5" style="2" customWidth="1"/>
    <col min="10744" max="10744" width="11.125" style="2" customWidth="1"/>
    <col min="10745" max="10745" width="1.125" style="2" customWidth="1"/>
    <col min="10746" max="10746" width="8.625" style="2" customWidth="1"/>
    <col min="10747" max="10747" width="1.5" style="2" customWidth="1"/>
    <col min="10748" max="10748" width="10.5" style="2" customWidth="1"/>
    <col min="10749" max="10749" width="1.125" style="2" customWidth="1"/>
    <col min="10750" max="10750" width="9.125" style="2" customWidth="1"/>
    <col min="10751" max="10751" width="1.625" style="2" customWidth="1"/>
    <col min="10752" max="10752" width="8.625" style="2" customWidth="1"/>
    <col min="10753" max="10995" width="8.625" style="2"/>
    <col min="10996" max="10996" width="4.125" style="2" customWidth="1"/>
    <col min="10997" max="10997" width="0.625" style="2" customWidth="1"/>
    <col min="10998" max="10998" width="16.125" style="2" customWidth="1"/>
    <col min="10999" max="10999" width="1.5" style="2" customWidth="1"/>
    <col min="11000" max="11000" width="11.125" style="2" customWidth="1"/>
    <col min="11001" max="11001" width="1.125" style="2" customWidth="1"/>
    <col min="11002" max="11002" width="8.625" style="2" customWidth="1"/>
    <col min="11003" max="11003" width="1.5" style="2" customWidth="1"/>
    <col min="11004" max="11004" width="10.5" style="2" customWidth="1"/>
    <col min="11005" max="11005" width="1.125" style="2" customWidth="1"/>
    <col min="11006" max="11006" width="9.125" style="2" customWidth="1"/>
    <col min="11007" max="11007" width="1.625" style="2" customWidth="1"/>
    <col min="11008" max="11008" width="8.625" style="2" customWidth="1"/>
    <col min="11009" max="11251" width="8.625" style="2"/>
    <col min="11252" max="11252" width="4.125" style="2" customWidth="1"/>
    <col min="11253" max="11253" width="0.625" style="2" customWidth="1"/>
    <col min="11254" max="11254" width="16.125" style="2" customWidth="1"/>
    <col min="11255" max="11255" width="1.5" style="2" customWidth="1"/>
    <col min="11256" max="11256" width="11.125" style="2" customWidth="1"/>
    <col min="11257" max="11257" width="1.125" style="2" customWidth="1"/>
    <col min="11258" max="11258" width="8.625" style="2" customWidth="1"/>
    <col min="11259" max="11259" width="1.5" style="2" customWidth="1"/>
    <col min="11260" max="11260" width="10.5" style="2" customWidth="1"/>
    <col min="11261" max="11261" width="1.125" style="2" customWidth="1"/>
    <col min="11262" max="11262" width="9.125" style="2" customWidth="1"/>
    <col min="11263" max="11263" width="1.625" style="2" customWidth="1"/>
    <col min="11264" max="11264" width="8.625" style="2" customWidth="1"/>
    <col min="11265" max="11507" width="8.625" style="2"/>
    <col min="11508" max="11508" width="4.125" style="2" customWidth="1"/>
    <col min="11509" max="11509" width="0.625" style="2" customWidth="1"/>
    <col min="11510" max="11510" width="16.125" style="2" customWidth="1"/>
    <col min="11511" max="11511" width="1.5" style="2" customWidth="1"/>
    <col min="11512" max="11512" width="11.125" style="2" customWidth="1"/>
    <col min="11513" max="11513" width="1.125" style="2" customWidth="1"/>
    <col min="11514" max="11514" width="8.625" style="2" customWidth="1"/>
    <col min="11515" max="11515" width="1.5" style="2" customWidth="1"/>
    <col min="11516" max="11516" width="10.5" style="2" customWidth="1"/>
    <col min="11517" max="11517" width="1.125" style="2" customWidth="1"/>
    <col min="11518" max="11518" width="9.125" style="2" customWidth="1"/>
    <col min="11519" max="11519" width="1.625" style="2" customWidth="1"/>
    <col min="11520" max="11520" width="8.625" style="2" customWidth="1"/>
    <col min="11521" max="11763" width="8.625" style="2"/>
    <col min="11764" max="11764" width="4.125" style="2" customWidth="1"/>
    <col min="11765" max="11765" width="0.625" style="2" customWidth="1"/>
    <col min="11766" max="11766" width="16.125" style="2" customWidth="1"/>
    <col min="11767" max="11767" width="1.5" style="2" customWidth="1"/>
    <col min="11768" max="11768" width="11.125" style="2" customWidth="1"/>
    <col min="11769" max="11769" width="1.125" style="2" customWidth="1"/>
    <col min="11770" max="11770" width="8.625" style="2" customWidth="1"/>
    <col min="11771" max="11771" width="1.5" style="2" customWidth="1"/>
    <col min="11772" max="11772" width="10.5" style="2" customWidth="1"/>
    <col min="11773" max="11773" width="1.125" style="2" customWidth="1"/>
    <col min="11774" max="11774" width="9.125" style="2" customWidth="1"/>
    <col min="11775" max="11775" width="1.625" style="2" customWidth="1"/>
    <col min="11776" max="11776" width="8.625" style="2" customWidth="1"/>
    <col min="11777" max="12019" width="8.625" style="2"/>
    <col min="12020" max="12020" width="4.125" style="2" customWidth="1"/>
    <col min="12021" max="12021" width="0.625" style="2" customWidth="1"/>
    <col min="12022" max="12022" width="16.125" style="2" customWidth="1"/>
    <col min="12023" max="12023" width="1.5" style="2" customWidth="1"/>
    <col min="12024" max="12024" width="11.125" style="2" customWidth="1"/>
    <col min="12025" max="12025" width="1.125" style="2" customWidth="1"/>
    <col min="12026" max="12026" width="8.625" style="2" customWidth="1"/>
    <col min="12027" max="12027" width="1.5" style="2" customWidth="1"/>
    <col min="12028" max="12028" width="10.5" style="2" customWidth="1"/>
    <col min="12029" max="12029" width="1.125" style="2" customWidth="1"/>
    <col min="12030" max="12030" width="9.125" style="2" customWidth="1"/>
    <col min="12031" max="12031" width="1.625" style="2" customWidth="1"/>
    <col min="12032" max="12032" width="8.625" style="2" customWidth="1"/>
    <col min="12033" max="12275" width="8.625" style="2"/>
    <col min="12276" max="12276" width="4.125" style="2" customWidth="1"/>
    <col min="12277" max="12277" width="0.625" style="2" customWidth="1"/>
    <col min="12278" max="12278" width="16.125" style="2" customWidth="1"/>
    <col min="12279" max="12279" width="1.5" style="2" customWidth="1"/>
    <col min="12280" max="12280" width="11.125" style="2" customWidth="1"/>
    <col min="12281" max="12281" width="1.125" style="2" customWidth="1"/>
    <col min="12282" max="12282" width="8.625" style="2" customWidth="1"/>
    <col min="12283" max="12283" width="1.5" style="2" customWidth="1"/>
    <col min="12284" max="12284" width="10.5" style="2" customWidth="1"/>
    <col min="12285" max="12285" width="1.125" style="2" customWidth="1"/>
    <col min="12286" max="12286" width="9.125" style="2" customWidth="1"/>
    <col min="12287" max="12287" width="1.625" style="2" customWidth="1"/>
    <col min="12288" max="12288" width="8.625" style="2" customWidth="1"/>
    <col min="12289" max="12531" width="8.625" style="2"/>
    <col min="12532" max="12532" width="4.125" style="2" customWidth="1"/>
    <col min="12533" max="12533" width="0.625" style="2" customWidth="1"/>
    <col min="12534" max="12534" width="16.125" style="2" customWidth="1"/>
    <col min="12535" max="12535" width="1.5" style="2" customWidth="1"/>
    <col min="12536" max="12536" width="11.125" style="2" customWidth="1"/>
    <col min="12537" max="12537" width="1.125" style="2" customWidth="1"/>
    <col min="12538" max="12538" width="8.625" style="2" customWidth="1"/>
    <col min="12539" max="12539" width="1.5" style="2" customWidth="1"/>
    <col min="12540" max="12540" width="10.5" style="2" customWidth="1"/>
    <col min="12541" max="12541" width="1.125" style="2" customWidth="1"/>
    <col min="12542" max="12542" width="9.125" style="2" customWidth="1"/>
    <col min="12543" max="12543" width="1.625" style="2" customWidth="1"/>
    <col min="12544" max="12544" width="8.625" style="2" customWidth="1"/>
    <col min="12545" max="12787" width="8.625" style="2"/>
    <col min="12788" max="12788" width="4.125" style="2" customWidth="1"/>
    <col min="12789" max="12789" width="0.625" style="2" customWidth="1"/>
    <col min="12790" max="12790" width="16.125" style="2" customWidth="1"/>
    <col min="12791" max="12791" width="1.5" style="2" customWidth="1"/>
    <col min="12792" max="12792" width="11.125" style="2" customWidth="1"/>
    <col min="12793" max="12793" width="1.125" style="2" customWidth="1"/>
    <col min="12794" max="12794" width="8.625" style="2" customWidth="1"/>
    <col min="12795" max="12795" width="1.5" style="2" customWidth="1"/>
    <col min="12796" max="12796" width="10.5" style="2" customWidth="1"/>
    <col min="12797" max="12797" width="1.125" style="2" customWidth="1"/>
    <col min="12798" max="12798" width="9.125" style="2" customWidth="1"/>
    <col min="12799" max="12799" width="1.625" style="2" customWidth="1"/>
    <col min="12800" max="12800" width="8.625" style="2" customWidth="1"/>
    <col min="12801" max="13043" width="8.625" style="2"/>
    <col min="13044" max="13044" width="4.125" style="2" customWidth="1"/>
    <col min="13045" max="13045" width="0.625" style="2" customWidth="1"/>
    <col min="13046" max="13046" width="16.125" style="2" customWidth="1"/>
    <col min="13047" max="13047" width="1.5" style="2" customWidth="1"/>
    <col min="13048" max="13048" width="11.125" style="2" customWidth="1"/>
    <col min="13049" max="13049" width="1.125" style="2" customWidth="1"/>
    <col min="13050" max="13050" width="8.625" style="2" customWidth="1"/>
    <col min="13051" max="13051" width="1.5" style="2" customWidth="1"/>
    <col min="13052" max="13052" width="10.5" style="2" customWidth="1"/>
    <col min="13053" max="13053" width="1.125" style="2" customWidth="1"/>
    <col min="13054" max="13054" width="9.125" style="2" customWidth="1"/>
    <col min="13055" max="13055" width="1.625" style="2" customWidth="1"/>
    <col min="13056" max="13056" width="8.625" style="2" customWidth="1"/>
    <col min="13057" max="13299" width="8.625" style="2"/>
    <col min="13300" max="13300" width="4.125" style="2" customWidth="1"/>
    <col min="13301" max="13301" width="0.625" style="2" customWidth="1"/>
    <col min="13302" max="13302" width="16.125" style="2" customWidth="1"/>
    <col min="13303" max="13303" width="1.5" style="2" customWidth="1"/>
    <col min="13304" max="13304" width="11.125" style="2" customWidth="1"/>
    <col min="13305" max="13305" width="1.125" style="2" customWidth="1"/>
    <col min="13306" max="13306" width="8.625" style="2" customWidth="1"/>
    <col min="13307" max="13307" width="1.5" style="2" customWidth="1"/>
    <col min="13308" max="13308" width="10.5" style="2" customWidth="1"/>
    <col min="13309" max="13309" width="1.125" style="2" customWidth="1"/>
    <col min="13310" max="13310" width="9.125" style="2" customWidth="1"/>
    <col min="13311" max="13311" width="1.625" style="2" customWidth="1"/>
    <col min="13312" max="13312" width="8.625" style="2" customWidth="1"/>
    <col min="13313" max="13555" width="8.625" style="2"/>
    <col min="13556" max="13556" width="4.125" style="2" customWidth="1"/>
    <col min="13557" max="13557" width="0.625" style="2" customWidth="1"/>
    <col min="13558" max="13558" width="16.125" style="2" customWidth="1"/>
    <col min="13559" max="13559" width="1.5" style="2" customWidth="1"/>
    <col min="13560" max="13560" width="11.125" style="2" customWidth="1"/>
    <col min="13561" max="13561" width="1.125" style="2" customWidth="1"/>
    <col min="13562" max="13562" width="8.625" style="2" customWidth="1"/>
    <col min="13563" max="13563" width="1.5" style="2" customWidth="1"/>
    <col min="13564" max="13564" width="10.5" style="2" customWidth="1"/>
    <col min="13565" max="13565" width="1.125" style="2" customWidth="1"/>
    <col min="13566" max="13566" width="9.125" style="2" customWidth="1"/>
    <col min="13567" max="13567" width="1.625" style="2" customWidth="1"/>
    <col min="13568" max="13568" width="8.625" style="2" customWidth="1"/>
    <col min="13569" max="13811" width="8.625" style="2"/>
    <col min="13812" max="13812" width="4.125" style="2" customWidth="1"/>
    <col min="13813" max="13813" width="0.625" style="2" customWidth="1"/>
    <col min="13814" max="13814" width="16.125" style="2" customWidth="1"/>
    <col min="13815" max="13815" width="1.5" style="2" customWidth="1"/>
    <col min="13816" max="13816" width="11.125" style="2" customWidth="1"/>
    <col min="13817" max="13817" width="1.125" style="2" customWidth="1"/>
    <col min="13818" max="13818" width="8.625" style="2" customWidth="1"/>
    <col min="13819" max="13819" width="1.5" style="2" customWidth="1"/>
    <col min="13820" max="13820" width="10.5" style="2" customWidth="1"/>
    <col min="13821" max="13821" width="1.125" style="2" customWidth="1"/>
    <col min="13822" max="13822" width="9.125" style="2" customWidth="1"/>
    <col min="13823" max="13823" width="1.625" style="2" customWidth="1"/>
    <col min="13824" max="13824" width="8.625" style="2" customWidth="1"/>
    <col min="13825" max="14067" width="8.625" style="2"/>
    <col min="14068" max="14068" width="4.125" style="2" customWidth="1"/>
    <col min="14069" max="14069" width="0.625" style="2" customWidth="1"/>
    <col min="14070" max="14070" width="16.125" style="2" customWidth="1"/>
    <col min="14071" max="14071" width="1.5" style="2" customWidth="1"/>
    <col min="14072" max="14072" width="11.125" style="2" customWidth="1"/>
    <col min="14073" max="14073" width="1.125" style="2" customWidth="1"/>
    <col min="14074" max="14074" width="8.625" style="2" customWidth="1"/>
    <col min="14075" max="14075" width="1.5" style="2" customWidth="1"/>
    <col min="14076" max="14076" width="10.5" style="2" customWidth="1"/>
    <col min="14077" max="14077" width="1.125" style="2" customWidth="1"/>
    <col min="14078" max="14078" width="9.125" style="2" customWidth="1"/>
    <col min="14079" max="14079" width="1.625" style="2" customWidth="1"/>
    <col min="14080" max="14080" width="8.625" style="2" customWidth="1"/>
    <col min="14081" max="14323" width="8.625" style="2"/>
    <col min="14324" max="14324" width="4.125" style="2" customWidth="1"/>
    <col min="14325" max="14325" width="0.625" style="2" customWidth="1"/>
    <col min="14326" max="14326" width="16.125" style="2" customWidth="1"/>
    <col min="14327" max="14327" width="1.5" style="2" customWidth="1"/>
    <col min="14328" max="14328" width="11.125" style="2" customWidth="1"/>
    <col min="14329" max="14329" width="1.125" style="2" customWidth="1"/>
    <col min="14330" max="14330" width="8.625" style="2" customWidth="1"/>
    <col min="14331" max="14331" width="1.5" style="2" customWidth="1"/>
    <col min="14332" max="14332" width="10.5" style="2" customWidth="1"/>
    <col min="14333" max="14333" width="1.125" style="2" customWidth="1"/>
    <col min="14334" max="14334" width="9.125" style="2" customWidth="1"/>
    <col min="14335" max="14335" width="1.625" style="2" customWidth="1"/>
    <col min="14336" max="14336" width="8.625" style="2" customWidth="1"/>
    <col min="14337" max="14579" width="8.625" style="2"/>
    <col min="14580" max="14580" width="4.125" style="2" customWidth="1"/>
    <col min="14581" max="14581" width="0.625" style="2" customWidth="1"/>
    <col min="14582" max="14582" width="16.125" style="2" customWidth="1"/>
    <col min="14583" max="14583" width="1.5" style="2" customWidth="1"/>
    <col min="14584" max="14584" width="11.125" style="2" customWidth="1"/>
    <col min="14585" max="14585" width="1.125" style="2" customWidth="1"/>
    <col min="14586" max="14586" width="8.625" style="2" customWidth="1"/>
    <col min="14587" max="14587" width="1.5" style="2" customWidth="1"/>
    <col min="14588" max="14588" width="10.5" style="2" customWidth="1"/>
    <col min="14589" max="14589" width="1.125" style="2" customWidth="1"/>
    <col min="14590" max="14590" width="9.125" style="2" customWidth="1"/>
    <col min="14591" max="14591" width="1.625" style="2" customWidth="1"/>
    <col min="14592" max="14592" width="8.625" style="2" customWidth="1"/>
    <col min="14593" max="14835" width="8.625" style="2"/>
    <col min="14836" max="14836" width="4.125" style="2" customWidth="1"/>
    <col min="14837" max="14837" width="0.625" style="2" customWidth="1"/>
    <col min="14838" max="14838" width="16.125" style="2" customWidth="1"/>
    <col min="14839" max="14839" width="1.5" style="2" customWidth="1"/>
    <col min="14840" max="14840" width="11.125" style="2" customWidth="1"/>
    <col min="14841" max="14841" width="1.125" style="2" customWidth="1"/>
    <col min="14842" max="14842" width="8.625" style="2" customWidth="1"/>
    <col min="14843" max="14843" width="1.5" style="2" customWidth="1"/>
    <col min="14844" max="14844" width="10.5" style="2" customWidth="1"/>
    <col min="14845" max="14845" width="1.125" style="2" customWidth="1"/>
    <col min="14846" max="14846" width="9.125" style="2" customWidth="1"/>
    <col min="14847" max="14847" width="1.625" style="2" customWidth="1"/>
    <col min="14848" max="14848" width="8.625" style="2" customWidth="1"/>
    <col min="14849" max="15091" width="8.625" style="2"/>
    <col min="15092" max="15092" width="4.125" style="2" customWidth="1"/>
    <col min="15093" max="15093" width="0.625" style="2" customWidth="1"/>
    <col min="15094" max="15094" width="16.125" style="2" customWidth="1"/>
    <col min="15095" max="15095" width="1.5" style="2" customWidth="1"/>
    <col min="15096" max="15096" width="11.125" style="2" customWidth="1"/>
    <col min="15097" max="15097" width="1.125" style="2" customWidth="1"/>
    <col min="15098" max="15098" width="8.625" style="2" customWidth="1"/>
    <col min="15099" max="15099" width="1.5" style="2" customWidth="1"/>
    <col min="15100" max="15100" width="10.5" style="2" customWidth="1"/>
    <col min="15101" max="15101" width="1.125" style="2" customWidth="1"/>
    <col min="15102" max="15102" width="9.125" style="2" customWidth="1"/>
    <col min="15103" max="15103" width="1.625" style="2" customWidth="1"/>
    <col min="15104" max="15104" width="8.625" style="2" customWidth="1"/>
    <col min="15105" max="15347" width="8.625" style="2"/>
    <col min="15348" max="15348" width="4.125" style="2" customWidth="1"/>
    <col min="15349" max="15349" width="0.625" style="2" customWidth="1"/>
    <col min="15350" max="15350" width="16.125" style="2" customWidth="1"/>
    <col min="15351" max="15351" width="1.5" style="2" customWidth="1"/>
    <col min="15352" max="15352" width="11.125" style="2" customWidth="1"/>
    <col min="15353" max="15353" width="1.125" style="2" customWidth="1"/>
    <col min="15354" max="15354" width="8.625" style="2" customWidth="1"/>
    <col min="15355" max="15355" width="1.5" style="2" customWidth="1"/>
    <col min="15356" max="15356" width="10.5" style="2" customWidth="1"/>
    <col min="15357" max="15357" width="1.125" style="2" customWidth="1"/>
    <col min="15358" max="15358" width="9.125" style="2" customWidth="1"/>
    <col min="15359" max="15359" width="1.625" style="2" customWidth="1"/>
    <col min="15360" max="15360" width="8.625" style="2" customWidth="1"/>
    <col min="15361" max="15603" width="8.625" style="2"/>
    <col min="15604" max="15604" width="4.125" style="2" customWidth="1"/>
    <col min="15605" max="15605" width="0.625" style="2" customWidth="1"/>
    <col min="15606" max="15606" width="16.125" style="2" customWidth="1"/>
    <col min="15607" max="15607" width="1.5" style="2" customWidth="1"/>
    <col min="15608" max="15608" width="11.125" style="2" customWidth="1"/>
    <col min="15609" max="15609" width="1.125" style="2" customWidth="1"/>
    <col min="15610" max="15610" width="8.625" style="2" customWidth="1"/>
    <col min="15611" max="15611" width="1.5" style="2" customWidth="1"/>
    <col min="15612" max="15612" width="10.5" style="2" customWidth="1"/>
    <col min="15613" max="15613" width="1.125" style="2" customWidth="1"/>
    <col min="15614" max="15614" width="9.125" style="2" customWidth="1"/>
    <col min="15615" max="15615" width="1.625" style="2" customWidth="1"/>
    <col min="15616" max="15616" width="8.625" style="2" customWidth="1"/>
    <col min="15617" max="15859" width="8.625" style="2"/>
    <col min="15860" max="15860" width="4.125" style="2" customWidth="1"/>
    <col min="15861" max="15861" width="0.625" style="2" customWidth="1"/>
    <col min="15862" max="15862" width="16.125" style="2" customWidth="1"/>
    <col min="15863" max="15863" width="1.5" style="2" customWidth="1"/>
    <col min="15864" max="15864" width="11.125" style="2" customWidth="1"/>
    <col min="15865" max="15865" width="1.125" style="2" customWidth="1"/>
    <col min="15866" max="15866" width="8.625" style="2" customWidth="1"/>
    <col min="15867" max="15867" width="1.5" style="2" customWidth="1"/>
    <col min="15868" max="15868" width="10.5" style="2" customWidth="1"/>
    <col min="15869" max="15869" width="1.125" style="2" customWidth="1"/>
    <col min="15870" max="15870" width="9.125" style="2" customWidth="1"/>
    <col min="15871" max="15871" width="1.625" style="2" customWidth="1"/>
    <col min="15872" max="15872" width="8.625" style="2" customWidth="1"/>
    <col min="15873" max="16115" width="8.625" style="2"/>
    <col min="16116" max="16116" width="4.125" style="2" customWidth="1"/>
    <col min="16117" max="16117" width="0.625" style="2" customWidth="1"/>
    <col min="16118" max="16118" width="16.125" style="2" customWidth="1"/>
    <col min="16119" max="16119" width="1.5" style="2" customWidth="1"/>
    <col min="16120" max="16120" width="11.125" style="2" customWidth="1"/>
    <col min="16121" max="16121" width="1.125" style="2" customWidth="1"/>
    <col min="16122" max="16122" width="8.625" style="2" customWidth="1"/>
    <col min="16123" max="16123" width="1.5" style="2" customWidth="1"/>
    <col min="16124" max="16124" width="10.5" style="2" customWidth="1"/>
    <col min="16125" max="16125" width="1.125" style="2" customWidth="1"/>
    <col min="16126" max="16126" width="9.125" style="2" customWidth="1"/>
    <col min="16127" max="16127" width="1.625" style="2" customWidth="1"/>
    <col min="16128" max="16128" width="8.625" style="2" customWidth="1"/>
    <col min="16129" max="16382" width="8.625" style="2"/>
    <col min="16383" max="16384" width="7.625" style="2" customWidth="1"/>
  </cols>
  <sheetData>
    <row r="2" spans="2:42" ht="42" customHeight="1">
      <c r="B2" s="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M2" s="64">
        <f>F19-H19-J19-N19-P19-R19</f>
        <v>527.94203257962488</v>
      </c>
    </row>
    <row r="3" spans="2:42">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row>
    <row r="4" spans="2:42">
      <c r="B4" s="1151" t="s">
        <v>91</v>
      </c>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386"/>
    </row>
    <row r="5" spans="2:42">
      <c r="B5" s="1150" t="s">
        <v>92</v>
      </c>
      <c r="C5" s="1150"/>
      <c r="D5" s="1150"/>
      <c r="E5" s="1150"/>
      <c r="F5" s="1150"/>
      <c r="G5" s="1150"/>
      <c r="H5" s="1150"/>
      <c r="I5" s="1150"/>
      <c r="J5" s="1150"/>
      <c r="K5" s="1150"/>
      <c r="L5" s="1150"/>
      <c r="M5" s="1150"/>
      <c r="N5" s="1150"/>
      <c r="O5" s="1150"/>
      <c r="P5" s="1150"/>
      <c r="Q5" s="1150"/>
      <c r="R5" s="1150"/>
      <c r="S5" s="1150"/>
      <c r="T5" s="1150"/>
      <c r="U5" s="1150"/>
      <c r="V5" s="1150"/>
      <c r="W5" s="1150"/>
      <c r="X5" s="1150"/>
      <c r="Y5" s="1150"/>
      <c r="Z5" s="1150"/>
      <c r="AA5" s="1150"/>
      <c r="AB5" s="1150"/>
      <c r="AC5" s="1150"/>
      <c r="AD5" s="1150"/>
      <c r="AE5" s="1150"/>
      <c r="AF5" s="1150"/>
      <c r="AG5" s="1150"/>
      <c r="AH5" s="1150"/>
      <c r="AI5" s="1150"/>
      <c r="AJ5" s="1150"/>
      <c r="AK5" s="1135"/>
    </row>
    <row r="6" spans="2:42">
      <c r="B6" s="3"/>
      <c r="C6" s="3"/>
      <c r="D6" s="3"/>
      <c r="E6" s="3"/>
    </row>
    <row r="7" spans="2:42" s="17" customFormat="1">
      <c r="C7" s="5"/>
      <c r="D7" s="5"/>
      <c r="E7" s="5"/>
      <c r="F7" s="6" t="s">
        <v>93</v>
      </c>
      <c r="G7" s="58"/>
      <c r="H7" s="1152" t="s">
        <v>94</v>
      </c>
      <c r="I7" s="1152"/>
      <c r="J7" s="1152"/>
      <c r="K7" s="1152"/>
      <c r="L7" s="1152"/>
      <c r="M7" s="1152"/>
      <c r="N7" s="1152"/>
      <c r="O7" s="1152"/>
      <c r="P7" s="1152"/>
      <c r="Q7" s="1152"/>
      <c r="R7" s="1152"/>
      <c r="S7" s="1152"/>
      <c r="T7" s="2"/>
      <c r="U7" s="2"/>
      <c r="V7" s="1154" t="s">
        <v>95</v>
      </c>
      <c r="W7" s="1154"/>
      <c r="X7" s="1154"/>
      <c r="Y7" s="1154"/>
      <c r="Z7" s="1154"/>
      <c r="AA7" s="1154"/>
      <c r="AB7" s="1154"/>
      <c r="AC7" s="1154"/>
      <c r="AD7" s="1154"/>
      <c r="AE7" s="1154"/>
      <c r="AF7" s="1154"/>
      <c r="AG7" s="1154"/>
      <c r="AH7" s="1154"/>
      <c r="AI7" s="2"/>
      <c r="AJ7" s="2"/>
      <c r="AK7" s="2"/>
      <c r="AL7" s="1136"/>
    </row>
    <row r="8" spans="2:42">
      <c r="B8" s="5" t="s">
        <v>56</v>
      </c>
      <c r="C8" s="58"/>
      <c r="E8" s="6"/>
      <c r="F8" s="137" t="s">
        <v>96</v>
      </c>
      <c r="G8" s="114"/>
      <c r="H8" s="137"/>
      <c r="I8" s="114"/>
      <c r="J8" s="137" t="s">
        <v>97</v>
      </c>
      <c r="K8" s="137"/>
      <c r="L8" s="114"/>
      <c r="M8" s="114"/>
      <c r="N8" s="137" t="s">
        <v>98</v>
      </c>
      <c r="O8" s="137"/>
      <c r="P8" s="137"/>
      <c r="Q8" s="137"/>
      <c r="R8" s="137" t="s">
        <v>99</v>
      </c>
      <c r="S8" s="137"/>
      <c r="T8" s="137" t="s">
        <v>100</v>
      </c>
      <c r="U8" s="114"/>
      <c r="V8" s="114" t="s">
        <v>101</v>
      </c>
      <c r="W8" s="114"/>
      <c r="X8" s="17"/>
      <c r="Y8" s="137"/>
      <c r="Z8" s="137"/>
      <c r="AA8" s="114"/>
      <c r="AB8" s="137" t="s">
        <v>97</v>
      </c>
      <c r="AC8" s="114"/>
      <c r="AD8" s="140" t="s">
        <v>98</v>
      </c>
      <c r="AE8" s="140"/>
      <c r="AF8" s="140"/>
      <c r="AG8" s="140"/>
      <c r="AH8" s="140" t="s">
        <v>99</v>
      </c>
      <c r="AI8" s="137"/>
      <c r="AJ8" s="137" t="s">
        <v>102</v>
      </c>
      <c r="AK8" s="137"/>
      <c r="AL8" s="1137" t="s">
        <v>103</v>
      </c>
    </row>
    <row r="9" spans="2:42">
      <c r="B9" s="237" t="s">
        <v>57</v>
      </c>
      <c r="C9" s="58"/>
      <c r="D9" s="59" t="s">
        <v>104</v>
      </c>
      <c r="E9" s="6"/>
      <c r="F9" s="139" t="s">
        <v>105</v>
      </c>
      <c r="G9" s="114"/>
      <c r="H9" s="139" t="s">
        <v>106</v>
      </c>
      <c r="I9" s="114"/>
      <c r="J9" s="139" t="s">
        <v>107</v>
      </c>
      <c r="K9" s="137"/>
      <c r="L9" s="433"/>
      <c r="M9" s="433"/>
      <c r="N9" s="139" t="s">
        <v>108</v>
      </c>
      <c r="O9" s="137"/>
      <c r="P9" s="139" t="s">
        <v>109</v>
      </c>
      <c r="Q9" s="137"/>
      <c r="R9" s="139" t="s">
        <v>110</v>
      </c>
      <c r="S9" s="137"/>
      <c r="T9" s="139" t="s">
        <v>101</v>
      </c>
      <c r="U9" s="114"/>
      <c r="V9" s="199" t="s">
        <v>111</v>
      </c>
      <c r="W9" s="114"/>
      <c r="X9" s="139" t="s">
        <v>112</v>
      </c>
      <c r="Y9" s="137"/>
      <c r="Z9" s="139"/>
      <c r="AA9" s="114"/>
      <c r="AB9" s="139" t="s">
        <v>107</v>
      </c>
      <c r="AC9" s="114"/>
      <c r="AD9" s="199" t="s">
        <v>108</v>
      </c>
      <c r="AE9" s="140"/>
      <c r="AF9" s="199" t="s">
        <v>109</v>
      </c>
      <c r="AG9" s="140"/>
      <c r="AH9" s="199" t="s">
        <v>110</v>
      </c>
      <c r="AI9" s="137"/>
      <c r="AJ9" s="139" t="s">
        <v>113</v>
      </c>
      <c r="AK9" s="137"/>
      <c r="AL9" s="1138" t="s">
        <v>114</v>
      </c>
    </row>
    <row r="10" spans="2:42" ht="12.95">
      <c r="B10" s="6"/>
      <c r="C10" s="58"/>
      <c r="D10" s="58"/>
      <c r="E10" s="6"/>
      <c r="F10" s="6" t="s">
        <v>9</v>
      </c>
      <c r="G10" s="128"/>
      <c r="H10" s="6" t="s">
        <v>10</v>
      </c>
      <c r="I10" s="6"/>
      <c r="J10" s="6" t="s">
        <v>58</v>
      </c>
      <c r="K10" s="6"/>
      <c r="L10" s="6"/>
      <c r="M10" s="6"/>
      <c r="N10" s="6" t="s">
        <v>12</v>
      </c>
      <c r="O10" s="6"/>
      <c r="P10" s="6" t="s">
        <v>13</v>
      </c>
      <c r="Q10" s="6"/>
      <c r="R10" s="6" t="s">
        <v>115</v>
      </c>
      <c r="S10" s="6"/>
      <c r="T10" s="6" t="s">
        <v>116</v>
      </c>
      <c r="V10" s="1" t="s">
        <v>117</v>
      </c>
      <c r="W10" s="1"/>
      <c r="X10" s="1" t="s">
        <v>118</v>
      </c>
      <c r="Y10" s="1"/>
      <c r="Z10" s="1"/>
      <c r="AA10" s="1"/>
      <c r="AB10" s="1" t="s">
        <v>119</v>
      </c>
      <c r="AC10" s="1"/>
      <c r="AD10" s="1" t="s">
        <v>120</v>
      </c>
      <c r="AE10" s="1"/>
      <c r="AF10" s="1" t="s">
        <v>121</v>
      </c>
      <c r="AG10" s="1"/>
      <c r="AH10" s="1" t="s">
        <v>122</v>
      </c>
      <c r="AJ10" s="2" t="s">
        <v>123</v>
      </c>
      <c r="AL10" s="1134" t="s">
        <v>124</v>
      </c>
    </row>
    <row r="11" spans="2:42" ht="12.95">
      <c r="B11" s="6"/>
      <c r="C11" s="58"/>
      <c r="D11" s="9" t="s">
        <v>125</v>
      </c>
      <c r="E11" s="6"/>
      <c r="F11" s="128"/>
      <c r="G11" s="60"/>
      <c r="H11" s="6"/>
      <c r="I11" s="61"/>
      <c r="J11" s="61"/>
      <c r="K11" s="61"/>
      <c r="L11" s="61"/>
      <c r="M11" s="61"/>
      <c r="N11" s="6"/>
      <c r="O11" s="6"/>
      <c r="P11" s="6"/>
      <c r="Q11" s="6"/>
      <c r="R11" s="6"/>
      <c r="S11" s="6"/>
      <c r="T11" s="6"/>
      <c r="AN11" s="2" t="s">
        <v>126</v>
      </c>
    </row>
    <row r="12" spans="2:42">
      <c r="B12" s="6">
        <v>1</v>
      </c>
      <c r="C12" s="58"/>
      <c r="D12" s="10" t="s">
        <v>127</v>
      </c>
      <c r="E12" s="6"/>
      <c r="F12" s="29">
        <v>2210008.0985691352</v>
      </c>
      <c r="G12" s="29"/>
      <c r="H12" s="29">
        <v>44808.586642691822</v>
      </c>
      <c r="I12" s="29"/>
      <c r="J12" s="29">
        <v>15787.788096522025</v>
      </c>
      <c r="K12" s="29"/>
      <c r="L12" s="29"/>
      <c r="M12" s="29"/>
      <c r="N12" s="29">
        <v>530.0902523540974</v>
      </c>
      <c r="O12" s="29"/>
      <c r="P12" s="29">
        <v>13027.395706562269</v>
      </c>
      <c r="Q12" s="29"/>
      <c r="R12" s="29">
        <v>5985.1968992662751</v>
      </c>
      <c r="S12" s="434"/>
      <c r="T12" s="64">
        <f t="shared" ref="T12:T18" si="0">F12-SUM(H12:R12)</f>
        <v>2129869.0409717388</v>
      </c>
      <c r="V12" s="29">
        <v>26633.826197170576</v>
      </c>
      <c r="W12" s="29"/>
      <c r="X12" s="64">
        <v>68940.216666327775</v>
      </c>
      <c r="Y12" s="64"/>
      <c r="Z12" s="64"/>
      <c r="AA12" s="29"/>
      <c r="AB12" s="64">
        <v>15733.138523330314</v>
      </c>
      <c r="AC12" s="129"/>
      <c r="AD12" s="64">
        <v>443.30283568334914</v>
      </c>
      <c r="AE12" s="29"/>
      <c r="AF12" s="64">
        <v>14276.994192075203</v>
      </c>
      <c r="AH12" s="64">
        <v>5345.7130368717535</v>
      </c>
      <c r="AJ12" s="64">
        <f t="shared" ref="AJ12:AJ21" si="1">SUM(T12:AH12)</f>
        <v>2261242.2324231979</v>
      </c>
      <c r="AK12" s="64"/>
      <c r="AL12" s="1139">
        <f>(AJ12-F12)/F12</f>
        <v>2.3182781043759156E-2</v>
      </c>
      <c r="AN12" s="203">
        <v>2261242.2324231975</v>
      </c>
      <c r="AO12" s="64">
        <f t="shared" ref="AO12:AO40" si="2">AJ12-AN12</f>
        <v>0</v>
      </c>
      <c r="AP12" s="388"/>
    </row>
    <row r="13" spans="2:42">
      <c r="B13" s="6">
        <f>MAX(B$12:B12)+1</f>
        <v>2</v>
      </c>
      <c r="C13" s="58"/>
      <c r="D13" s="10" t="s">
        <v>128</v>
      </c>
      <c r="E13" s="6"/>
      <c r="F13" s="29">
        <v>1191040.9980783353</v>
      </c>
      <c r="G13" s="29"/>
      <c r="H13" s="29">
        <v>23394.302391068148</v>
      </c>
      <c r="I13" s="29"/>
      <c r="J13" s="29">
        <v>14219.390273088122</v>
      </c>
      <c r="K13" s="29"/>
      <c r="L13" s="29"/>
      <c r="M13" s="29"/>
      <c r="N13" s="29">
        <v>507.62961049273036</v>
      </c>
      <c r="O13" s="29"/>
      <c r="P13" s="29">
        <v>12313.689619333923</v>
      </c>
      <c r="Q13" s="29"/>
      <c r="R13" s="29">
        <v>4882.6596804294222</v>
      </c>
      <c r="S13" s="434"/>
      <c r="T13" s="64">
        <f t="shared" si="0"/>
        <v>1135723.3265039229</v>
      </c>
      <c r="V13" s="29">
        <v>11216.577293775852</v>
      </c>
      <c r="W13" s="29"/>
      <c r="X13" s="64">
        <v>31442.796874040869</v>
      </c>
      <c r="Y13" s="64"/>
      <c r="Z13" s="64"/>
      <c r="AA13" s="29"/>
      <c r="AB13" s="64">
        <v>14170.169723336643</v>
      </c>
      <c r="AC13" s="129"/>
      <c r="AD13" s="64">
        <v>424.51949419726384</v>
      </c>
      <c r="AE13" s="29"/>
      <c r="AF13" s="64">
        <v>13494.828831344281</v>
      </c>
      <c r="AH13" s="64">
        <v>4360.9755781767817</v>
      </c>
      <c r="AJ13" s="64">
        <f t="shared" si="1"/>
        <v>1210833.1942987947</v>
      </c>
      <c r="AK13" s="64"/>
      <c r="AL13" s="1139">
        <f t="shared" ref="AL13:AL23" si="3">(AJ13-F13)/F13</f>
        <v>1.6617560816456191E-2</v>
      </c>
      <c r="AN13" s="203">
        <v>1210833.194298795</v>
      </c>
      <c r="AO13" s="64">
        <f t="shared" si="2"/>
        <v>0</v>
      </c>
      <c r="AP13" s="388"/>
    </row>
    <row r="14" spans="2:42">
      <c r="B14" s="6">
        <f>MAX(B$12:B13)+1</f>
        <v>3</v>
      </c>
      <c r="C14" s="58"/>
      <c r="D14" s="10" t="s">
        <v>129</v>
      </c>
      <c r="E14" s="6"/>
      <c r="F14" s="29">
        <v>5587.4928492138761</v>
      </c>
      <c r="G14" s="29"/>
      <c r="H14" s="29">
        <v>0</v>
      </c>
      <c r="I14" s="29"/>
      <c r="J14" s="29">
        <v>0</v>
      </c>
      <c r="K14" s="29"/>
      <c r="L14" s="29"/>
      <c r="M14" s="29"/>
      <c r="N14" s="29">
        <v>2.9012610510117431</v>
      </c>
      <c r="O14" s="29"/>
      <c r="P14" s="29">
        <v>58.27058444301003</v>
      </c>
      <c r="Q14" s="29"/>
      <c r="R14" s="29">
        <v>0</v>
      </c>
      <c r="S14" s="434"/>
      <c r="T14" s="64">
        <f t="shared" si="0"/>
        <v>5526.3210037198542</v>
      </c>
      <c r="V14" s="29">
        <v>56.300984327097453</v>
      </c>
      <c r="W14" s="29"/>
      <c r="X14" s="64">
        <v>272.41532868845394</v>
      </c>
      <c r="Y14" s="64"/>
      <c r="Z14" s="64"/>
      <c r="AA14" s="29"/>
      <c r="AB14" s="64">
        <v>0</v>
      </c>
      <c r="AC14" s="129"/>
      <c r="AD14" s="64">
        <v>2.4262608966294046</v>
      </c>
      <c r="AE14" s="29"/>
      <c r="AF14" s="64">
        <v>63.859946715414175</v>
      </c>
      <c r="AH14" s="64">
        <v>0</v>
      </c>
      <c r="AJ14" s="64">
        <f t="shared" si="1"/>
        <v>5921.3235243474492</v>
      </c>
      <c r="AK14" s="64"/>
      <c r="AL14" s="1139">
        <f t="shared" si="3"/>
        <v>5.974605858878923E-2</v>
      </c>
      <c r="AN14" s="203">
        <v>5921.3235243474492</v>
      </c>
      <c r="AO14" s="64">
        <f t="shared" si="2"/>
        <v>0</v>
      </c>
      <c r="AP14" s="388"/>
    </row>
    <row r="15" spans="2:42">
      <c r="B15" s="6">
        <f>MAX(B$12:B14)+1</f>
        <v>4</v>
      </c>
      <c r="C15" s="58"/>
      <c r="D15" s="10" t="s">
        <v>130</v>
      </c>
      <c r="E15" s="6"/>
      <c r="F15" s="29">
        <v>68051.261389183273</v>
      </c>
      <c r="G15" s="29"/>
      <c r="H15" s="29">
        <v>2516.360725763338</v>
      </c>
      <c r="I15" s="29"/>
      <c r="J15" s="29">
        <v>730.61878451440805</v>
      </c>
      <c r="K15" s="29"/>
      <c r="L15" s="29"/>
      <c r="M15" s="29"/>
      <c r="N15" s="29">
        <v>112.99521739962435</v>
      </c>
      <c r="O15" s="29"/>
      <c r="P15" s="29">
        <v>2382.67535616847</v>
      </c>
      <c r="Q15" s="29"/>
      <c r="R15" s="29">
        <v>143.22101713704333</v>
      </c>
      <c r="S15" s="434"/>
      <c r="T15" s="64">
        <f t="shared" si="0"/>
        <v>62165.390288200389</v>
      </c>
      <c r="V15" s="29">
        <v>915.27430666779787</v>
      </c>
      <c r="W15" s="29"/>
      <c r="X15" s="64">
        <v>2395.7420134112795</v>
      </c>
      <c r="Y15" s="64"/>
      <c r="Z15" s="64"/>
      <c r="AA15" s="29"/>
      <c r="AB15" s="64">
        <v>728.08974089566607</v>
      </c>
      <c r="AC15" s="129"/>
      <c r="AD15" s="64">
        <v>94.495418599867804</v>
      </c>
      <c r="AE15" s="29"/>
      <c r="AF15" s="64">
        <v>2611.2235313833621</v>
      </c>
      <c r="AH15" s="64">
        <v>127.91867524982882</v>
      </c>
      <c r="AJ15" s="64">
        <f t="shared" si="1"/>
        <v>69038.133974408192</v>
      </c>
      <c r="AK15" s="64"/>
      <c r="AL15" s="1139">
        <f t="shared" si="3"/>
        <v>1.4501899965983321E-2</v>
      </c>
      <c r="AN15" s="203">
        <v>69038.133974408192</v>
      </c>
      <c r="AO15" s="64">
        <f t="shared" si="2"/>
        <v>0</v>
      </c>
      <c r="AP15" s="388"/>
    </row>
    <row r="16" spans="2:42">
      <c r="B16" s="6">
        <f>MAX(B$12:B15)+1</f>
        <v>5</v>
      </c>
      <c r="C16" s="58"/>
      <c r="D16" s="10" t="s">
        <v>131</v>
      </c>
      <c r="E16" s="6"/>
      <c r="F16" s="29">
        <v>9493.6962365030449</v>
      </c>
      <c r="G16" s="29"/>
      <c r="H16" s="29">
        <v>1434.7567768481215</v>
      </c>
      <c r="I16" s="29"/>
      <c r="J16" s="29">
        <v>88.058747902106859</v>
      </c>
      <c r="K16" s="29"/>
      <c r="L16" s="29"/>
      <c r="M16" s="29"/>
      <c r="N16" s="29">
        <v>40.391816945015499</v>
      </c>
      <c r="O16" s="29"/>
      <c r="P16" s="29">
        <v>822.74413908553538</v>
      </c>
      <c r="Q16" s="29"/>
      <c r="R16" s="29">
        <v>20.314503846852869</v>
      </c>
      <c r="S16" s="434"/>
      <c r="T16" s="64">
        <f t="shared" si="0"/>
        <v>7087.430251875413</v>
      </c>
      <c r="V16" s="29">
        <v>148.28634155367303</v>
      </c>
      <c r="W16" s="29"/>
      <c r="X16" s="64">
        <v>1046.4385347200052</v>
      </c>
      <c r="Y16" s="64"/>
      <c r="Z16" s="64"/>
      <c r="AA16" s="29"/>
      <c r="AB16" s="64">
        <v>87.753931739182406</v>
      </c>
      <c r="AC16" s="129"/>
      <c r="AD16" s="64">
        <v>33.778789386542314</v>
      </c>
      <c r="AE16" s="29"/>
      <c r="AF16" s="64">
        <v>901.66243199100404</v>
      </c>
      <c r="AH16" s="64">
        <v>18.144015957940407</v>
      </c>
      <c r="AJ16" s="64">
        <f t="shared" si="1"/>
        <v>9323.4942972237604</v>
      </c>
      <c r="AK16" s="64"/>
      <c r="AL16" s="1139">
        <f t="shared" si="3"/>
        <v>-1.7927889732226941E-2</v>
      </c>
      <c r="AN16" s="203">
        <v>9323.4942972237604</v>
      </c>
      <c r="AO16" s="64">
        <f t="shared" si="2"/>
        <v>0</v>
      </c>
      <c r="AP16" s="388"/>
    </row>
    <row r="17" spans="2:42">
      <c r="B17" s="6">
        <f>MAX(B$12:B16)+1</f>
        <v>6</v>
      </c>
      <c r="C17" s="58"/>
      <c r="D17" s="10" t="s">
        <v>132</v>
      </c>
      <c r="E17" s="6"/>
      <c r="F17" s="29">
        <v>13074.499676417412</v>
      </c>
      <c r="G17" s="29"/>
      <c r="H17" s="29">
        <v>166.42587763804715</v>
      </c>
      <c r="I17" s="29"/>
      <c r="J17" s="29">
        <v>0</v>
      </c>
      <c r="K17" s="29"/>
      <c r="L17" s="29"/>
      <c r="M17" s="29"/>
      <c r="N17" s="29">
        <v>0</v>
      </c>
      <c r="O17" s="29"/>
      <c r="P17" s="29">
        <v>588.24265500000001</v>
      </c>
      <c r="Q17" s="29"/>
      <c r="R17" s="29">
        <v>0</v>
      </c>
      <c r="S17" s="434"/>
      <c r="T17" s="64">
        <f t="shared" si="0"/>
        <v>12319.831143779365</v>
      </c>
      <c r="V17" s="29">
        <v>336.6429161222913</v>
      </c>
      <c r="W17" s="29"/>
      <c r="X17" s="64">
        <v>174.66061005879783</v>
      </c>
      <c r="Y17" s="64"/>
      <c r="Z17" s="64"/>
      <c r="AA17" s="29"/>
      <c r="AB17" s="64">
        <v>0</v>
      </c>
      <c r="AC17" s="129"/>
      <c r="AD17" s="64">
        <v>0</v>
      </c>
      <c r="AE17" s="29"/>
      <c r="AF17" s="64">
        <v>717.82949090787918</v>
      </c>
      <c r="AH17" s="64">
        <v>0</v>
      </c>
      <c r="AJ17" s="64">
        <f t="shared" si="1"/>
        <v>13548.964160868334</v>
      </c>
      <c r="AK17" s="64"/>
      <c r="AL17" s="1139">
        <f t="shared" si="3"/>
        <v>3.6289303315117885E-2</v>
      </c>
      <c r="AN17" s="203">
        <v>13548.964160868334</v>
      </c>
      <c r="AO17" s="64">
        <f t="shared" si="2"/>
        <v>0</v>
      </c>
      <c r="AP17" s="388"/>
    </row>
    <row r="18" spans="2:42">
      <c r="B18" s="6">
        <f>MAX(B$12:B17)+1</f>
        <v>7</v>
      </c>
      <c r="C18" s="58"/>
      <c r="D18" s="10" t="s">
        <v>133</v>
      </c>
      <c r="E18" s="6"/>
      <c r="F18" s="29">
        <v>2310.4304437860669</v>
      </c>
      <c r="G18" s="29"/>
      <c r="H18" s="29">
        <v>272.10434456292859</v>
      </c>
      <c r="I18" s="29"/>
      <c r="J18" s="29">
        <v>0</v>
      </c>
      <c r="K18" s="29"/>
      <c r="L18" s="29"/>
      <c r="M18" s="29"/>
      <c r="N18" s="29">
        <v>5.5685738769876725</v>
      </c>
      <c r="O18" s="29"/>
      <c r="P18" s="29">
        <v>111.84241907945309</v>
      </c>
      <c r="Q18" s="29"/>
      <c r="R18" s="29">
        <v>0</v>
      </c>
      <c r="S18" s="434"/>
      <c r="T18" s="64">
        <f t="shared" si="0"/>
        <v>1920.9151062666974</v>
      </c>
      <c r="V18" s="29">
        <v>32.480982269796861</v>
      </c>
      <c r="W18" s="29"/>
      <c r="X18" s="64">
        <v>979.65831828089802</v>
      </c>
      <c r="Y18" s="64"/>
      <c r="Z18" s="64"/>
      <c r="AA18" s="29"/>
      <c r="AB18" s="64">
        <v>0</v>
      </c>
      <c r="AC18" s="129"/>
      <c r="AD18" s="64">
        <v>4.6568760308610049</v>
      </c>
      <c r="AE18" s="29"/>
      <c r="AF18" s="64">
        <v>122.57043568736097</v>
      </c>
      <c r="AH18" s="64">
        <v>0</v>
      </c>
      <c r="AJ18" s="64">
        <f t="shared" si="1"/>
        <v>3060.2817185356143</v>
      </c>
      <c r="AK18" s="64"/>
      <c r="AL18" s="1139">
        <f t="shared" si="3"/>
        <v>0.32455046494313744</v>
      </c>
      <c r="AN18" s="203">
        <v>3060.2817185356143</v>
      </c>
      <c r="AO18" s="64">
        <f t="shared" si="2"/>
        <v>0</v>
      </c>
      <c r="AP18" s="388"/>
    </row>
    <row r="19" spans="2:42">
      <c r="B19" s="6">
        <f>MAX(B$12:B18)+1</f>
        <v>8</v>
      </c>
      <c r="C19" s="58"/>
      <c r="D19" s="10" t="s">
        <v>134</v>
      </c>
      <c r="E19" s="6"/>
      <c r="F19" s="29">
        <v>1802.0488245146307</v>
      </c>
      <c r="G19" s="29"/>
      <c r="H19" s="29">
        <v>1207.1106419743426</v>
      </c>
      <c r="I19" s="29"/>
      <c r="J19" s="29">
        <v>23.910450696564268</v>
      </c>
      <c r="K19" s="29"/>
      <c r="L19" s="29"/>
      <c r="M19" s="29"/>
      <c r="N19" s="29">
        <v>1.662079898703499</v>
      </c>
      <c r="O19" s="29"/>
      <c r="P19" s="29">
        <v>36.932415941470516</v>
      </c>
      <c r="Q19" s="29"/>
      <c r="R19" s="29">
        <v>4.4912034239250485</v>
      </c>
      <c r="S19" s="434"/>
      <c r="T19" s="64">
        <v>849.43658465516273</v>
      </c>
      <c r="V19" s="29">
        <v>19.075297531052627</v>
      </c>
      <c r="W19" s="29"/>
      <c r="X19" s="64">
        <v>319.36496185339922</v>
      </c>
      <c r="Y19" s="64"/>
      <c r="Z19" s="64"/>
      <c r="AA19" s="29"/>
      <c r="AB19" s="64">
        <v>23.82768445233804</v>
      </c>
      <c r="AC19" s="129"/>
      <c r="AD19" s="64">
        <v>1.3899609150620136</v>
      </c>
      <c r="AE19" s="29"/>
      <c r="AF19" s="64">
        <v>40.475003582647929</v>
      </c>
      <c r="AH19" s="64">
        <v>4.0113441710601698</v>
      </c>
      <c r="AJ19" s="64">
        <f t="shared" si="1"/>
        <v>1257.5808371607229</v>
      </c>
      <c r="AK19" s="64"/>
      <c r="AL19" s="1139">
        <f t="shared" si="3"/>
        <v>-0.30213831054247736</v>
      </c>
      <c r="AN19" s="203">
        <v>1257.5808371607231</v>
      </c>
      <c r="AO19" s="64">
        <f t="shared" si="2"/>
        <v>0</v>
      </c>
      <c r="AP19" s="388"/>
    </row>
    <row r="20" spans="2:42">
      <c r="B20" s="6">
        <f>MAX(B$12:B19)+1</f>
        <v>9</v>
      </c>
      <c r="C20" s="58"/>
      <c r="D20" s="10" t="s">
        <v>135</v>
      </c>
      <c r="E20" s="6"/>
      <c r="F20" s="29">
        <v>2264.6184227117315</v>
      </c>
      <c r="G20" s="29"/>
      <c r="H20" s="29">
        <v>2367.9615555349337</v>
      </c>
      <c r="I20" s="29"/>
      <c r="J20" s="29">
        <v>215.84879949943192</v>
      </c>
      <c r="K20" s="29"/>
      <c r="L20" s="29"/>
      <c r="M20" s="29"/>
      <c r="N20" s="29">
        <v>34.191490404322586</v>
      </c>
      <c r="O20" s="29"/>
      <c r="P20" s="29">
        <v>719.46119587671501</v>
      </c>
      <c r="Q20" s="29"/>
      <c r="R20" s="29">
        <v>41.417029465537894</v>
      </c>
      <c r="S20" s="434"/>
      <c r="T20" s="64">
        <v>606.64088545762479</v>
      </c>
      <c r="V20" s="29">
        <v>64.40933208458307</v>
      </c>
      <c r="W20" s="29"/>
      <c r="X20" s="64">
        <v>367.27241531614288</v>
      </c>
      <c r="Y20" s="64"/>
      <c r="Z20" s="64"/>
      <c r="AA20" s="29"/>
      <c r="AB20" s="64">
        <v>215.10163690170319</v>
      </c>
      <c r="AC20" s="129"/>
      <c r="AD20" s="64">
        <v>28.593592478194282</v>
      </c>
      <c r="AE20" s="29"/>
      <c r="AF20" s="64">
        <v>788.47250412307449</v>
      </c>
      <c r="AH20" s="64">
        <v>36.991858094020145</v>
      </c>
      <c r="AJ20" s="64">
        <f t="shared" si="1"/>
        <v>2107.4822244553429</v>
      </c>
      <c r="AK20" s="64"/>
      <c r="AL20" s="1139">
        <f t="shared" si="3"/>
        <v>-6.9387494458438725E-2</v>
      </c>
      <c r="AN20" s="203">
        <v>2107.4822244553429</v>
      </c>
      <c r="AO20" s="64">
        <f t="shared" si="2"/>
        <v>0</v>
      </c>
      <c r="AP20" s="388"/>
    </row>
    <row r="21" spans="2:42">
      <c r="B21" s="6">
        <f>MAX(B$12:B20)+1</f>
        <v>10</v>
      </c>
      <c r="C21" s="58"/>
      <c r="D21" s="10" t="s">
        <v>136</v>
      </c>
      <c r="E21" s="6"/>
      <c r="F21" s="29">
        <v>38608.05887712157</v>
      </c>
      <c r="G21" s="29"/>
      <c r="H21" s="29">
        <v>40.750410090988815</v>
      </c>
      <c r="I21" s="29"/>
      <c r="J21" s="29">
        <v>550.32869750354416</v>
      </c>
      <c r="K21" s="29"/>
      <c r="L21" s="29"/>
      <c r="M21" s="29"/>
      <c r="N21" s="29">
        <v>19.975437885703734</v>
      </c>
      <c r="O21" s="29"/>
      <c r="P21" s="29">
        <v>484.16838165175238</v>
      </c>
      <c r="Q21" s="29"/>
      <c r="R21" s="29">
        <v>150.91966472771608</v>
      </c>
      <c r="S21" s="434"/>
      <c r="T21" s="64">
        <f>F21-SUM(H21:R21)</f>
        <v>37361.916285261861</v>
      </c>
      <c r="V21" s="29">
        <v>125.58425175365656</v>
      </c>
      <c r="W21" s="29"/>
      <c r="X21" s="64">
        <v>42.257140600837147</v>
      </c>
      <c r="Y21" s="64"/>
      <c r="Z21" s="64"/>
      <c r="AA21" s="29"/>
      <c r="AB21" s="64">
        <v>548.42372967335484</v>
      </c>
      <c r="AC21" s="129"/>
      <c r="AD21" s="64">
        <v>16.705019983717541</v>
      </c>
      <c r="AE21" s="29"/>
      <c r="AF21" s="64">
        <v>530.61021009337355</v>
      </c>
      <c r="AH21" s="64">
        <v>134.79476662733822</v>
      </c>
      <c r="AJ21" s="64">
        <f t="shared" si="1"/>
        <v>38760.291403994139</v>
      </c>
      <c r="AK21" s="64"/>
      <c r="AL21" s="1139">
        <f t="shared" si="3"/>
        <v>3.9430246249126813E-3</v>
      </c>
      <c r="AN21" s="203">
        <v>38760.291403994146</v>
      </c>
      <c r="AO21" s="64">
        <f t="shared" si="2"/>
        <v>0</v>
      </c>
      <c r="AP21" s="388"/>
    </row>
    <row r="22" spans="2:42">
      <c r="B22" s="6">
        <f>MAX(B$12:B21)+1</f>
        <v>11</v>
      </c>
      <c r="C22" s="58"/>
      <c r="D22" s="10" t="s">
        <v>137</v>
      </c>
      <c r="E22" s="6"/>
      <c r="F22" s="29">
        <v>0</v>
      </c>
      <c r="G22" s="29"/>
      <c r="H22" s="29">
        <v>0</v>
      </c>
      <c r="I22" s="29"/>
      <c r="J22" s="29">
        <v>0</v>
      </c>
      <c r="K22" s="29"/>
      <c r="L22" s="29"/>
      <c r="M22" s="29"/>
      <c r="N22" s="29">
        <v>0</v>
      </c>
      <c r="O22" s="29"/>
      <c r="P22" s="29">
        <v>0</v>
      </c>
      <c r="Q22" s="29"/>
      <c r="R22" s="29">
        <v>0</v>
      </c>
      <c r="S22" s="434"/>
      <c r="T22" s="64">
        <v>0</v>
      </c>
      <c r="V22" s="29">
        <v>0</v>
      </c>
      <c r="W22" s="29"/>
      <c r="X22" s="64">
        <v>0</v>
      </c>
      <c r="Y22" s="64"/>
      <c r="Z22" s="64"/>
      <c r="AA22" s="29"/>
      <c r="AB22" s="64">
        <v>0</v>
      </c>
      <c r="AC22" s="129"/>
      <c r="AD22" s="64">
        <v>0</v>
      </c>
      <c r="AE22" s="29"/>
      <c r="AF22" s="64">
        <v>0</v>
      </c>
      <c r="AH22" s="64">
        <v>0</v>
      </c>
      <c r="AJ22" s="64">
        <v>0</v>
      </c>
      <c r="AK22" s="64"/>
      <c r="AL22" s="1139">
        <v>0</v>
      </c>
      <c r="AO22" s="64">
        <f t="shared" si="2"/>
        <v>0</v>
      </c>
      <c r="AP22" s="388"/>
    </row>
    <row r="23" spans="2:42">
      <c r="B23" s="6">
        <f>MAX(B$12:B22)+1</f>
        <v>12</v>
      </c>
      <c r="C23" s="58"/>
      <c r="D23" s="2" t="s">
        <v>138</v>
      </c>
      <c r="E23" s="6"/>
      <c r="F23" s="131">
        <f>SUM(F12:F22)</f>
        <v>3542241.2033669222</v>
      </c>
      <c r="G23" s="132"/>
      <c r="H23" s="131">
        <f>SUM(H12:H22)</f>
        <v>76208.359366172677</v>
      </c>
      <c r="I23" s="132"/>
      <c r="J23" s="131">
        <f>SUM(J12:J22)</f>
        <v>31615.943849726202</v>
      </c>
      <c r="K23" s="132"/>
      <c r="L23" s="131"/>
      <c r="M23" s="132"/>
      <c r="N23" s="131">
        <f>SUM(N12:N22)</f>
        <v>1255.405740308197</v>
      </c>
      <c r="O23" s="132"/>
      <c r="P23" s="131">
        <f>SUM(P12:P22)</f>
        <v>30545.422473142604</v>
      </c>
      <c r="Q23" s="132"/>
      <c r="R23" s="131">
        <f>SUM(R12:R22)</f>
        <v>11228.219998296772</v>
      </c>
      <c r="S23" s="63"/>
      <c r="T23" s="131">
        <f>SUM(T12:T22)</f>
        <v>3393430.2490248773</v>
      </c>
      <c r="V23" s="131">
        <f>SUM(V12:V22)</f>
        <v>39548.457903256378</v>
      </c>
      <c r="W23" s="129"/>
      <c r="X23" s="131">
        <f>SUM(X12:X22)</f>
        <v>105980.82286329844</v>
      </c>
      <c r="Y23" s="129"/>
      <c r="Z23" s="129"/>
      <c r="AA23" s="129"/>
      <c r="AB23" s="131">
        <f>SUM(AB12:AB22)</f>
        <v>31506.504970329202</v>
      </c>
      <c r="AC23" s="129"/>
      <c r="AD23" s="131">
        <f>SUM(AD12:AD22)</f>
        <v>1049.8682481714873</v>
      </c>
      <c r="AE23" s="129"/>
      <c r="AF23" s="131">
        <f>SUM(AF12:AF22)</f>
        <v>33548.526577903598</v>
      </c>
      <c r="AH23" s="131">
        <f>SUM(AH12:AH22)</f>
        <v>10028.54927514872</v>
      </c>
      <c r="AJ23" s="131">
        <f>SUM(AJ12:AJ22)</f>
        <v>3615092.9788629869</v>
      </c>
      <c r="AK23" s="132"/>
      <c r="AL23" s="1140">
        <f t="shared" si="3"/>
        <v>2.0566576727417268E-2</v>
      </c>
      <c r="AN23" s="203">
        <v>3615092.9788629864</v>
      </c>
      <c r="AO23" s="64">
        <f t="shared" si="2"/>
        <v>0</v>
      </c>
      <c r="AP23" s="388"/>
    </row>
    <row r="24" spans="2:42" ht="12.95">
      <c r="B24" s="6"/>
      <c r="C24" s="58"/>
      <c r="D24" s="58"/>
      <c r="E24" s="6"/>
      <c r="F24" s="133"/>
      <c r="G24" s="133"/>
      <c r="H24" s="132"/>
      <c r="I24" s="133"/>
      <c r="J24" s="133"/>
      <c r="K24" s="133"/>
      <c r="L24" s="133"/>
      <c r="M24" s="133"/>
      <c r="N24" s="132"/>
      <c r="O24" s="133"/>
      <c r="P24" s="133"/>
      <c r="Q24" s="133"/>
      <c r="R24" s="435"/>
      <c r="S24" s="63"/>
      <c r="T24" s="6"/>
      <c r="V24" s="129"/>
      <c r="W24" s="129"/>
      <c r="X24" s="129"/>
      <c r="Y24" s="129"/>
      <c r="Z24" s="129"/>
      <c r="AA24" s="129"/>
      <c r="AB24" s="129"/>
      <c r="AC24" s="129"/>
      <c r="AD24" s="129"/>
      <c r="AE24" s="129"/>
      <c r="AL24" s="1141"/>
      <c r="AO24" s="64">
        <f t="shared" si="2"/>
        <v>0</v>
      </c>
      <c r="AP24" s="388"/>
    </row>
    <row r="25" spans="2:42" ht="12.95">
      <c r="B25" s="6"/>
      <c r="C25" s="58"/>
      <c r="D25" s="9" t="s">
        <v>139</v>
      </c>
      <c r="E25" s="6"/>
      <c r="F25" s="133"/>
      <c r="G25" s="133"/>
      <c r="H25" s="132"/>
      <c r="I25" s="133"/>
      <c r="J25" s="133"/>
      <c r="K25" s="133"/>
      <c r="L25" s="133"/>
      <c r="M25" s="133"/>
      <c r="N25" s="132"/>
      <c r="O25" s="133"/>
      <c r="P25" s="133"/>
      <c r="Q25" s="133"/>
      <c r="R25" s="62"/>
      <c r="S25" s="63"/>
      <c r="T25" s="6"/>
      <c r="V25" s="129"/>
      <c r="W25" s="129"/>
      <c r="X25" s="129"/>
      <c r="Y25" s="129"/>
      <c r="Z25" s="129"/>
      <c r="AA25" s="129"/>
      <c r="AB25" s="129"/>
      <c r="AC25" s="129"/>
      <c r="AD25" s="129"/>
      <c r="AE25" s="129"/>
      <c r="AL25" s="1141"/>
      <c r="AO25" s="64">
        <f t="shared" si="2"/>
        <v>0</v>
      </c>
      <c r="AP25" s="388"/>
    </row>
    <row r="26" spans="2:42">
      <c r="B26" s="6">
        <f>MAX(B$12:B25)+1</f>
        <v>13</v>
      </c>
      <c r="C26" s="58"/>
      <c r="D26" s="10" t="s">
        <v>140</v>
      </c>
      <c r="E26" s="6"/>
      <c r="F26" s="29">
        <v>469533.79413068452</v>
      </c>
      <c r="G26" s="29"/>
      <c r="H26" s="29">
        <v>5811.0881205523092</v>
      </c>
      <c r="I26" s="29"/>
      <c r="J26" s="29">
        <v>2800.9558375251618</v>
      </c>
      <c r="K26" s="29"/>
      <c r="L26" s="29"/>
      <c r="M26" s="29"/>
      <c r="N26" s="29">
        <v>633.99502918357121</v>
      </c>
      <c r="O26" s="29"/>
      <c r="P26" s="29">
        <v>419.94052423709411</v>
      </c>
      <c r="Q26" s="29"/>
      <c r="R26" s="29">
        <v>1855.1570796763663</v>
      </c>
      <c r="S26" s="434"/>
      <c r="T26" s="64">
        <f>F26-SUM(H26:R26)</f>
        <v>458012.65753950999</v>
      </c>
      <c r="V26" s="29">
        <v>5911.3926920209406</v>
      </c>
      <c r="W26" s="29"/>
      <c r="X26" s="29">
        <v>12031.445193721327</v>
      </c>
      <c r="Y26" s="129"/>
      <c r="Z26" s="129"/>
      <c r="AA26" s="29"/>
      <c r="AB26" s="29">
        <v>2723.3095686261609</v>
      </c>
      <c r="AC26" s="129"/>
      <c r="AD26" s="29">
        <v>594.2901811550862</v>
      </c>
      <c r="AE26" s="29"/>
      <c r="AF26" s="29">
        <v>515.85658031353819</v>
      </c>
      <c r="AH26" s="29">
        <v>1857.2479959658408</v>
      </c>
      <c r="AJ26" s="64">
        <f>SUM(T26:AH26)</f>
        <v>481646.19975131284</v>
      </c>
      <c r="AK26" s="64"/>
      <c r="AL26" s="1139">
        <f t="shared" ref="AL26:AL31" si="4">(AJ26-F26)/F26</f>
        <v>2.5796664206148925E-2</v>
      </c>
      <c r="AN26" s="22">
        <v>481646.19975131284</v>
      </c>
      <c r="AO26" s="64">
        <f t="shared" si="2"/>
        <v>0</v>
      </c>
      <c r="AP26" s="388"/>
    </row>
    <row r="27" spans="2:42">
      <c r="B27" s="6">
        <f>MAX(B$12:B26)+1</f>
        <v>14</v>
      </c>
      <c r="C27" s="58"/>
      <c r="D27" s="10" t="s">
        <v>141</v>
      </c>
      <c r="E27" s="6"/>
      <c r="F27" s="29">
        <v>85101.25513030446</v>
      </c>
      <c r="G27" s="29"/>
      <c r="H27" s="29">
        <v>3115.369769787249</v>
      </c>
      <c r="I27" s="29"/>
      <c r="J27" s="29">
        <v>734.4360465019023</v>
      </c>
      <c r="K27" s="29"/>
      <c r="L27" s="29"/>
      <c r="M27" s="29"/>
      <c r="N27" s="29">
        <v>54.6662150220398</v>
      </c>
      <c r="O27" s="29"/>
      <c r="P27" s="29">
        <v>128.39221721433157</v>
      </c>
      <c r="Q27" s="29"/>
      <c r="R27" s="29">
        <v>578.56725669838522</v>
      </c>
      <c r="S27" s="434"/>
      <c r="T27" s="64">
        <f>F27-SUM(H27:R27)</f>
        <v>80489.823625080549</v>
      </c>
      <c r="V27" s="29">
        <v>761.42110909944176</v>
      </c>
      <c r="W27" s="29"/>
      <c r="X27" s="29">
        <v>1653.5839539086912</v>
      </c>
      <c r="Y27" s="129"/>
      <c r="Z27" s="129"/>
      <c r="AA27" s="29"/>
      <c r="AB27" s="29">
        <v>714.07648995630973</v>
      </c>
      <c r="AC27" s="129"/>
      <c r="AD27" s="29">
        <v>51.24266489967107</v>
      </c>
      <c r="AE27" s="29"/>
      <c r="AF27" s="29">
        <v>157.71750114229079</v>
      </c>
      <c r="AH27" s="29">
        <v>579.21935010591403</v>
      </c>
      <c r="AJ27" s="64">
        <f>SUM(T27:AH27)</f>
        <v>84407.084694192861</v>
      </c>
      <c r="AK27" s="64"/>
      <c r="AL27" s="1139">
        <f t="shared" si="4"/>
        <v>-8.1569941013056296E-3</v>
      </c>
      <c r="AN27" s="22">
        <v>84407.08469419289</v>
      </c>
      <c r="AO27" s="64">
        <f t="shared" si="2"/>
        <v>0</v>
      </c>
      <c r="AP27" s="388"/>
    </row>
    <row r="28" spans="2:42">
      <c r="B28" s="6">
        <f>MAX(B$12:B27)+1</f>
        <v>15</v>
      </c>
      <c r="C28" s="58"/>
      <c r="D28" s="10" t="s">
        <v>142</v>
      </c>
      <c r="E28" s="6"/>
      <c r="F28" s="29">
        <v>40514.07925320814</v>
      </c>
      <c r="G28" s="29"/>
      <c r="H28" s="29">
        <v>1925.7154706035999</v>
      </c>
      <c r="I28" s="29"/>
      <c r="J28" s="29">
        <v>196.90344974972743</v>
      </c>
      <c r="K28" s="29"/>
      <c r="L28" s="29"/>
      <c r="M28" s="29"/>
      <c r="N28" s="29">
        <v>67.252376714950017</v>
      </c>
      <c r="O28" s="29"/>
      <c r="P28" s="29">
        <v>40.689596186354336</v>
      </c>
      <c r="Q28" s="29"/>
      <c r="R28" s="29">
        <v>166.77869668835763</v>
      </c>
      <c r="S28" s="434"/>
      <c r="T28" s="64">
        <f>F28-SUM(H28:R28)</f>
        <v>38116.739663265151</v>
      </c>
      <c r="V28" s="29">
        <v>784.45758025658404</v>
      </c>
      <c r="W28" s="29"/>
      <c r="X28" s="29">
        <v>1314.4475566860162</v>
      </c>
      <c r="Y28" s="129"/>
      <c r="Z28" s="129"/>
      <c r="AA28" s="29"/>
      <c r="AB28" s="29">
        <v>191.4450208799899</v>
      </c>
      <c r="AC28" s="129"/>
      <c r="AD28" s="29">
        <v>63.040600164493227</v>
      </c>
      <c r="AE28" s="29"/>
      <c r="AF28" s="29">
        <v>49.983258894016153</v>
      </c>
      <c r="AH28" s="29">
        <v>166.96667014756673</v>
      </c>
      <c r="AJ28" s="64">
        <f>SUM(T28:AH28)</f>
        <v>40687.080350293814</v>
      </c>
      <c r="AK28" s="64"/>
      <c r="AL28" s="1139">
        <f t="shared" si="4"/>
        <v>4.2701475702912701E-3</v>
      </c>
      <c r="AN28" s="22">
        <v>40687.080350293822</v>
      </c>
      <c r="AO28" s="64">
        <f t="shared" si="2"/>
        <v>0</v>
      </c>
      <c r="AP28" s="388"/>
    </row>
    <row r="29" spans="2:42">
      <c r="B29" s="6">
        <f>MAX(B$12:B28)+1</f>
        <v>16</v>
      </c>
      <c r="C29" s="58"/>
      <c r="D29" s="10" t="s">
        <v>143</v>
      </c>
      <c r="E29" s="6"/>
      <c r="F29" s="29">
        <v>6183.5873631430495</v>
      </c>
      <c r="G29" s="29"/>
      <c r="H29" s="29">
        <v>40.181023528609991</v>
      </c>
      <c r="I29" s="29"/>
      <c r="J29" s="29">
        <v>0</v>
      </c>
      <c r="K29" s="29"/>
      <c r="L29" s="29"/>
      <c r="M29" s="29"/>
      <c r="N29" s="29">
        <v>14.737676449939997</v>
      </c>
      <c r="O29" s="29"/>
      <c r="P29" s="29">
        <v>0</v>
      </c>
      <c r="Q29" s="29"/>
      <c r="R29" s="29">
        <v>0</v>
      </c>
      <c r="S29" s="434"/>
      <c r="T29" s="64">
        <f>F29-SUM(H29:R29)</f>
        <v>6128.6686631644998</v>
      </c>
      <c r="V29" s="29">
        <v>131.83600304221787</v>
      </c>
      <c r="W29" s="29"/>
      <c r="X29" s="29">
        <v>78.99750173563443</v>
      </c>
      <c r="Y29" s="129"/>
      <c r="Z29" s="129"/>
      <c r="AA29" s="29"/>
      <c r="AB29" s="29">
        <v>0</v>
      </c>
      <c r="AC29" s="129"/>
      <c r="AD29" s="29">
        <v>13.814708324320168</v>
      </c>
      <c r="AE29" s="29"/>
      <c r="AF29" s="29">
        <v>0</v>
      </c>
      <c r="AH29" s="29">
        <v>0</v>
      </c>
      <c r="AJ29" s="64">
        <f>SUM(T29:AH29)</f>
        <v>6353.3168762666728</v>
      </c>
      <c r="AK29" s="64"/>
      <c r="AL29" s="1139">
        <f t="shared" si="4"/>
        <v>2.7448389285366488E-2</v>
      </c>
      <c r="AN29" s="22">
        <v>6353.3168762666728</v>
      </c>
      <c r="AO29" s="64">
        <f t="shared" si="2"/>
        <v>0</v>
      </c>
      <c r="AP29" s="388"/>
    </row>
    <row r="30" spans="2:42">
      <c r="B30" s="6">
        <f>MAX(B$12:B29)+1</f>
        <v>17</v>
      </c>
      <c r="C30" s="58"/>
      <c r="D30" s="10" t="s">
        <v>129</v>
      </c>
      <c r="E30" s="6"/>
      <c r="F30" s="29">
        <v>11827.382435304869</v>
      </c>
      <c r="G30" s="29"/>
      <c r="H30" s="29">
        <v>1224.9183929174201</v>
      </c>
      <c r="I30" s="29"/>
      <c r="J30" s="29">
        <v>13.760700020675317</v>
      </c>
      <c r="K30" s="29"/>
      <c r="L30" s="29"/>
      <c r="M30" s="29"/>
      <c r="N30" s="29">
        <v>23.194032140369998</v>
      </c>
      <c r="O30" s="29"/>
      <c r="P30" s="29">
        <v>0</v>
      </c>
      <c r="Q30" s="29"/>
      <c r="R30" s="29">
        <v>0</v>
      </c>
      <c r="S30" s="434"/>
      <c r="T30" s="64">
        <f>F30-SUM(H30:R30)</f>
        <v>10565.509310226404</v>
      </c>
      <c r="V30" s="29">
        <v>288.70556933791829</v>
      </c>
      <c r="W30" s="29"/>
      <c r="X30" s="29">
        <v>905.45719952283821</v>
      </c>
      <c r="Y30" s="129"/>
      <c r="Z30" s="129"/>
      <c r="AA30" s="29"/>
      <c r="AB30" s="29">
        <v>13.37923487947986</v>
      </c>
      <c r="AC30" s="129"/>
      <c r="AD30" s="29">
        <v>21.741472610862168</v>
      </c>
      <c r="AE30" s="29"/>
      <c r="AF30" s="29">
        <v>0</v>
      </c>
      <c r="AH30" s="29">
        <v>0</v>
      </c>
      <c r="AJ30" s="64">
        <f>SUM(T30:AH30)</f>
        <v>11794.792786577502</v>
      </c>
      <c r="AK30" s="64"/>
      <c r="AL30" s="1139">
        <f t="shared" si="4"/>
        <v>-2.7554405132015633E-3</v>
      </c>
      <c r="AN30" s="22">
        <v>11794.792786577502</v>
      </c>
      <c r="AO30" s="64">
        <f t="shared" si="2"/>
        <v>0</v>
      </c>
      <c r="AP30" s="388"/>
    </row>
    <row r="31" spans="2:42">
      <c r="B31" s="6">
        <f>MAX(B$12:B30)+1</f>
        <v>18</v>
      </c>
      <c r="C31" s="58"/>
      <c r="D31" s="2" t="s">
        <v>144</v>
      </c>
      <c r="E31" s="6"/>
      <c r="F31" s="131">
        <f>SUM(F26:F30)</f>
        <v>613160.09831264499</v>
      </c>
      <c r="G31" s="132"/>
      <c r="H31" s="131">
        <f>SUM(H26:H30)</f>
        <v>12117.272777389187</v>
      </c>
      <c r="I31" s="132"/>
      <c r="J31" s="131">
        <f>SUM(J26:J30)</f>
        <v>3746.0560337974666</v>
      </c>
      <c r="K31" s="132"/>
      <c r="L31" s="131"/>
      <c r="M31" s="132"/>
      <c r="N31" s="131">
        <f>SUM(N26:N30)</f>
        <v>793.84532951087101</v>
      </c>
      <c r="O31" s="132"/>
      <c r="P31" s="131">
        <f>SUM(P26:P30)</f>
        <v>589.02233763778008</v>
      </c>
      <c r="Q31" s="132"/>
      <c r="R31" s="131">
        <f>SUM(R26:R30)</f>
        <v>2600.5030330631093</v>
      </c>
      <c r="S31" s="63"/>
      <c r="T31" s="131">
        <f>SUM(T26:T30)</f>
        <v>593313.39880124666</v>
      </c>
      <c r="V31" s="131">
        <f>SUM(V26:V30)</f>
        <v>7877.8129537571031</v>
      </c>
      <c r="W31" s="129"/>
      <c r="X31" s="131">
        <f>SUM(X26:X30)</f>
        <v>15983.931405574507</v>
      </c>
      <c r="Y31" s="129"/>
      <c r="Z31" s="129"/>
      <c r="AA31" s="129"/>
      <c r="AB31" s="131">
        <f>SUM(AB26:AB30)</f>
        <v>3642.2103143419404</v>
      </c>
      <c r="AC31" s="129"/>
      <c r="AD31" s="131">
        <f>SUM(AD26:AD30)</f>
        <v>744.1296271544328</v>
      </c>
      <c r="AE31" s="129"/>
      <c r="AF31" s="131">
        <f>SUM(AF26:AF30)</f>
        <v>723.55734034984505</v>
      </c>
      <c r="AH31" s="131">
        <f>SUM(AH26:AH30)</f>
        <v>2603.4340162193216</v>
      </c>
      <c r="AJ31" s="131">
        <f>SUM(AJ26:AJ30)</f>
        <v>624888.47445864358</v>
      </c>
      <c r="AK31" s="132"/>
      <c r="AL31" s="1140">
        <f t="shared" si="4"/>
        <v>1.9127755015817094E-2</v>
      </c>
      <c r="AN31" s="131">
        <f>SUM(AN26:AN30)</f>
        <v>624888.47445864358</v>
      </c>
      <c r="AO31" s="64">
        <f t="shared" si="2"/>
        <v>0</v>
      </c>
      <c r="AP31" s="388"/>
    </row>
    <row r="32" spans="2:42" ht="12.95">
      <c r="B32" s="6"/>
      <c r="C32" s="58"/>
      <c r="D32" s="58"/>
      <c r="E32" s="6"/>
      <c r="F32" s="133"/>
      <c r="G32" s="133"/>
      <c r="H32" s="132"/>
      <c r="I32" s="133"/>
      <c r="J32" s="133"/>
      <c r="K32" s="133"/>
      <c r="L32" s="133"/>
      <c r="M32" s="133"/>
      <c r="N32" s="132"/>
      <c r="O32" s="133"/>
      <c r="P32" s="133"/>
      <c r="Q32" s="133"/>
      <c r="R32" s="435"/>
      <c r="S32" s="141"/>
      <c r="T32" s="6"/>
      <c r="V32" s="129"/>
      <c r="W32" s="129"/>
      <c r="X32" s="129"/>
      <c r="Y32" s="129"/>
      <c r="Z32" s="129"/>
      <c r="AA32" s="129"/>
      <c r="AB32" s="129"/>
      <c r="AC32" s="129"/>
      <c r="AD32" s="129"/>
      <c r="AE32" s="129"/>
      <c r="AL32" s="1141"/>
      <c r="AO32" s="64">
        <f t="shared" si="2"/>
        <v>0</v>
      </c>
      <c r="AP32" s="388"/>
    </row>
    <row r="33" spans="2:42" ht="12.95">
      <c r="B33" s="6"/>
      <c r="C33" s="58"/>
      <c r="D33" s="14" t="s">
        <v>145</v>
      </c>
      <c r="E33" s="6"/>
      <c r="F33" s="133"/>
      <c r="G33" s="133"/>
      <c r="H33" s="132"/>
      <c r="I33" s="133"/>
      <c r="J33" s="133"/>
      <c r="K33" s="133"/>
      <c r="L33" s="133"/>
      <c r="M33" s="133"/>
      <c r="N33" s="132"/>
      <c r="O33" s="133"/>
      <c r="P33" s="133"/>
      <c r="Q33" s="133"/>
      <c r="R33" s="435"/>
      <c r="S33" s="63"/>
      <c r="T33" s="6"/>
      <c r="V33" s="129"/>
      <c r="W33" s="129"/>
      <c r="X33" s="129"/>
      <c r="Y33" s="129"/>
      <c r="Z33" s="129"/>
      <c r="AA33" s="129"/>
      <c r="AB33" s="129"/>
      <c r="AC33" s="129"/>
      <c r="AD33" s="129"/>
      <c r="AE33" s="129"/>
      <c r="AL33" s="1141"/>
      <c r="AO33" s="64">
        <f t="shared" si="2"/>
        <v>0</v>
      </c>
      <c r="AP33" s="388"/>
    </row>
    <row r="34" spans="2:42">
      <c r="B34" s="6">
        <f>MAX(B$12:B33)+1</f>
        <v>19</v>
      </c>
      <c r="C34" s="58"/>
      <c r="D34" s="436" t="s">
        <v>146</v>
      </c>
      <c r="E34" s="6"/>
      <c r="F34" s="29">
        <v>1183713.1308576674</v>
      </c>
      <c r="G34" s="29"/>
      <c r="H34" s="29">
        <v>28884.146068647893</v>
      </c>
      <c r="I34" s="29"/>
      <c r="J34" s="29">
        <v>7786.8639725367757</v>
      </c>
      <c r="K34" s="29"/>
      <c r="L34" s="29"/>
      <c r="M34" s="29"/>
      <c r="N34" s="29">
        <v>1662.2711717529742</v>
      </c>
      <c r="O34" s="29"/>
      <c r="P34" s="29">
        <v>2033.0541288685467</v>
      </c>
      <c r="Q34" s="29"/>
      <c r="R34" s="29">
        <v>2183.0645940097743</v>
      </c>
      <c r="S34" s="434"/>
      <c r="T34" s="64">
        <f t="shared" ref="T34:T42" si="5">F34-SUM(H34:R34)</f>
        <v>1141163.7309218515</v>
      </c>
      <c r="V34" s="29">
        <v>13956.672282196536</v>
      </c>
      <c r="W34" s="29"/>
      <c r="X34" s="29">
        <v>39316.961995591795</v>
      </c>
      <c r="Y34" s="129"/>
      <c r="Z34" s="129"/>
      <c r="AA34" s="29"/>
      <c r="AB34" s="29">
        <v>7570.9035169613735</v>
      </c>
      <c r="AC34" s="129"/>
      <c r="AD34" s="29">
        <v>1558.1690554610284</v>
      </c>
      <c r="AE34" s="29"/>
      <c r="AF34" s="29">
        <v>2497.4116332681588</v>
      </c>
      <c r="AH34" s="29">
        <v>2185.5250893341854</v>
      </c>
      <c r="AJ34" s="64">
        <f t="shared" ref="AJ34:AJ42" si="6">SUM(T34:AH34)</f>
        <v>1208249.3744946646</v>
      </c>
      <c r="AK34" s="64"/>
      <c r="AL34" s="1139">
        <f t="shared" ref="AL34:AL60" si="7">(AJ34-F34)/F34</f>
        <v>2.0728200944446128E-2</v>
      </c>
      <c r="AN34" s="22">
        <v>1208249.3744946646</v>
      </c>
      <c r="AO34" s="64">
        <f t="shared" si="2"/>
        <v>0</v>
      </c>
      <c r="AP34" s="388"/>
    </row>
    <row r="35" spans="2:42">
      <c r="B35" s="6">
        <f>MAX(B$12:B34)+1</f>
        <v>20</v>
      </c>
      <c r="C35" s="58"/>
      <c r="D35" s="436" t="s">
        <v>147</v>
      </c>
      <c r="E35" s="6"/>
      <c r="F35" s="29">
        <v>242478.99694227398</v>
      </c>
      <c r="G35" s="29"/>
      <c r="H35" s="29">
        <v>12067.962053130181</v>
      </c>
      <c r="I35" s="29"/>
      <c r="J35" s="29">
        <v>2655.5326168623533</v>
      </c>
      <c r="K35" s="29"/>
      <c r="L35" s="29"/>
      <c r="M35" s="29"/>
      <c r="N35" s="29">
        <v>179.18666996406699</v>
      </c>
      <c r="O35" s="29"/>
      <c r="P35" s="29">
        <v>775.9686179721092</v>
      </c>
      <c r="Q35" s="29"/>
      <c r="R35" s="29">
        <v>884.99160096949186</v>
      </c>
      <c r="S35" s="434"/>
      <c r="T35" s="64">
        <f t="shared" si="5"/>
        <v>225915.35538337578</v>
      </c>
      <c r="V35" s="29">
        <v>2158.2262994511102</v>
      </c>
      <c r="W35" s="29"/>
      <c r="X35" s="29">
        <v>7054.8124410259497</v>
      </c>
      <c r="Y35" s="129"/>
      <c r="Z35" s="129"/>
      <c r="AA35" s="29"/>
      <c r="AB35" s="29">
        <v>2581.3361329181394</v>
      </c>
      <c r="AC35" s="129"/>
      <c r="AD35" s="29">
        <v>167.96484775385909</v>
      </c>
      <c r="AE35" s="29"/>
      <c r="AF35" s="29">
        <v>953.2028813483023</v>
      </c>
      <c r="AH35" s="29">
        <v>885.98906009292</v>
      </c>
      <c r="AJ35" s="64">
        <f t="shared" si="6"/>
        <v>239716.88704596605</v>
      </c>
      <c r="AK35" s="64"/>
      <c r="AL35" s="1139">
        <f t="shared" si="7"/>
        <v>-1.1391130494347484E-2</v>
      </c>
      <c r="AN35" s="22">
        <v>239716.88704596605</v>
      </c>
      <c r="AO35" s="64">
        <f t="shared" si="2"/>
        <v>0</v>
      </c>
      <c r="AP35" s="388"/>
    </row>
    <row r="36" spans="2:42">
      <c r="B36" s="6">
        <f>MAX(B$12:B35)+1</f>
        <v>21</v>
      </c>
      <c r="C36" s="58"/>
      <c r="D36" s="436" t="s">
        <v>148</v>
      </c>
      <c r="E36" s="6"/>
      <c r="F36" s="29">
        <v>48579.546556543355</v>
      </c>
      <c r="G36" s="29"/>
      <c r="H36" s="29">
        <v>5157.8186822260795</v>
      </c>
      <c r="I36" s="29"/>
      <c r="J36" s="29">
        <v>407.9442644714328</v>
      </c>
      <c r="K36" s="29"/>
      <c r="L36" s="29"/>
      <c r="M36" s="29"/>
      <c r="N36" s="29">
        <v>118.18766861766194</v>
      </c>
      <c r="O36" s="29"/>
      <c r="P36" s="29">
        <v>563.35125717319295</v>
      </c>
      <c r="Q36" s="29"/>
      <c r="R36" s="29">
        <v>650.01899891327685</v>
      </c>
      <c r="S36" s="434"/>
      <c r="T36" s="64">
        <f t="shared" si="5"/>
        <v>41682.225685141711</v>
      </c>
      <c r="V36" s="29">
        <v>802.22239997928659</v>
      </c>
      <c r="W36" s="29"/>
      <c r="X36" s="29">
        <v>5535.3551001856013</v>
      </c>
      <c r="Y36" s="129"/>
      <c r="Z36" s="129"/>
      <c r="AA36" s="29"/>
      <c r="AB36" s="29">
        <v>396.63549993091812</v>
      </c>
      <c r="AC36" s="129"/>
      <c r="AD36" s="29">
        <v>110.78599635636968</v>
      </c>
      <c r="AE36" s="29"/>
      <c r="AF36" s="29">
        <v>692.02288483266614</v>
      </c>
      <c r="AH36" s="29">
        <v>650.75162437566246</v>
      </c>
      <c r="AJ36" s="64">
        <f t="shared" si="6"/>
        <v>49869.999190802213</v>
      </c>
      <c r="AK36" s="64"/>
      <c r="AL36" s="1139">
        <f t="shared" si="7"/>
        <v>2.6563702745904739E-2</v>
      </c>
      <c r="AN36" s="22">
        <v>49869.99919080222</v>
      </c>
      <c r="AO36" s="64">
        <f t="shared" si="2"/>
        <v>0</v>
      </c>
      <c r="AP36" s="388"/>
    </row>
    <row r="37" spans="2:42">
      <c r="B37" s="6">
        <f>MAX(B$12:B36)+1</f>
        <v>22</v>
      </c>
      <c r="C37" s="58"/>
      <c r="D37" s="436" t="s">
        <v>149</v>
      </c>
      <c r="E37" s="6"/>
      <c r="F37" s="29">
        <v>3213.8734753506542</v>
      </c>
      <c r="G37" s="29"/>
      <c r="H37" s="29">
        <v>513.786125051</v>
      </c>
      <c r="I37" s="29"/>
      <c r="J37" s="29">
        <v>504.22309514895608</v>
      </c>
      <c r="K37" s="29"/>
      <c r="L37" s="29"/>
      <c r="M37" s="29"/>
      <c r="N37" s="29">
        <v>9.0967746290458837</v>
      </c>
      <c r="O37" s="29"/>
      <c r="P37" s="29">
        <v>47.995515664411222</v>
      </c>
      <c r="Q37" s="29"/>
      <c r="R37" s="29">
        <v>36.626981708674684</v>
      </c>
      <c r="S37" s="434"/>
      <c r="T37" s="64">
        <f t="shared" si="5"/>
        <v>2102.1449831485661</v>
      </c>
      <c r="V37" s="29">
        <v>45.240634465234891</v>
      </c>
      <c r="W37" s="29"/>
      <c r="X37" s="29">
        <v>388.73937828172734</v>
      </c>
      <c r="Y37" s="129"/>
      <c r="Z37" s="129"/>
      <c r="AA37" s="29"/>
      <c r="AB37" s="29">
        <v>490.24535172776291</v>
      </c>
      <c r="AC37" s="129"/>
      <c r="AD37" s="29">
        <v>8.5270760705875244</v>
      </c>
      <c r="AE37" s="29"/>
      <c r="AF37" s="29">
        <v>58.95787891870485</v>
      </c>
      <c r="AH37" s="29">
        <v>36.668263362680136</v>
      </c>
      <c r="AJ37" s="64">
        <f t="shared" si="6"/>
        <v>3130.5235659752639</v>
      </c>
      <c r="AK37" s="64"/>
      <c r="AL37" s="1139">
        <f t="shared" si="7"/>
        <v>-2.5934409059552761E-2</v>
      </c>
      <c r="AN37" s="22">
        <v>3130.5235659752639</v>
      </c>
      <c r="AO37" s="64">
        <f t="shared" si="2"/>
        <v>0</v>
      </c>
      <c r="AP37" s="388"/>
    </row>
    <row r="38" spans="2:42">
      <c r="B38" s="6">
        <f>MAX(B$12:B37)+1</f>
        <v>23</v>
      </c>
      <c r="C38" s="58"/>
      <c r="D38" s="436" t="s">
        <v>150</v>
      </c>
      <c r="E38" s="6"/>
      <c r="F38" s="29">
        <v>37165.148965774591</v>
      </c>
      <c r="G38" s="29"/>
      <c r="H38" s="29">
        <v>2364.1091183112503</v>
      </c>
      <c r="I38" s="29"/>
      <c r="J38" s="29">
        <v>143.02737771982905</v>
      </c>
      <c r="K38" s="29"/>
      <c r="L38" s="29"/>
      <c r="M38" s="29"/>
      <c r="N38" s="29">
        <v>106.71630746656433</v>
      </c>
      <c r="O38" s="29"/>
      <c r="P38" s="29">
        <v>665.37093368938702</v>
      </c>
      <c r="Q38" s="29"/>
      <c r="R38" s="29">
        <v>966.64360229889542</v>
      </c>
      <c r="S38" s="434"/>
      <c r="T38" s="64">
        <f t="shared" si="5"/>
        <v>32919.281626288663</v>
      </c>
      <c r="V38" s="29">
        <v>697.44569589991909</v>
      </c>
      <c r="W38" s="29"/>
      <c r="X38" s="29">
        <v>4188.4720524989989</v>
      </c>
      <c r="Y38" s="129"/>
      <c r="Z38" s="129"/>
      <c r="AA38" s="29"/>
      <c r="AB38" s="29">
        <v>139.06246614158559</v>
      </c>
      <c r="AC38" s="129"/>
      <c r="AD38" s="29">
        <v>100.03304565049389</v>
      </c>
      <c r="AE38" s="29"/>
      <c r="AF38" s="29">
        <v>817.34425396689221</v>
      </c>
      <c r="AH38" s="29">
        <v>967.733090017378</v>
      </c>
      <c r="AJ38" s="64">
        <f t="shared" si="6"/>
        <v>39829.37223046393</v>
      </c>
      <c r="AK38" s="64"/>
      <c r="AL38" s="1139">
        <f t="shared" si="7"/>
        <v>7.1686064467085114E-2</v>
      </c>
      <c r="AN38" s="22">
        <v>39829.37223046393</v>
      </c>
      <c r="AO38" s="64">
        <f t="shared" si="2"/>
        <v>0</v>
      </c>
      <c r="AP38" s="388"/>
    </row>
    <row r="39" spans="2:42">
      <c r="B39" s="6">
        <f>MAX(B$12:B38)+1</f>
        <v>24</v>
      </c>
      <c r="C39" s="58"/>
      <c r="D39" s="436" t="s">
        <v>151</v>
      </c>
      <c r="E39" s="6"/>
      <c r="F39" s="29">
        <v>5162.6512662408004</v>
      </c>
      <c r="G39" s="29"/>
      <c r="H39" s="29">
        <v>16.88309688</v>
      </c>
      <c r="I39" s="29"/>
      <c r="J39" s="29">
        <v>65.613483750987882</v>
      </c>
      <c r="K39" s="29"/>
      <c r="L39" s="29"/>
      <c r="M39" s="29"/>
      <c r="N39" s="29">
        <v>2.8522366222343125</v>
      </c>
      <c r="O39" s="29"/>
      <c r="P39" s="29">
        <v>53.547075007156863</v>
      </c>
      <c r="Q39" s="29"/>
      <c r="R39" s="29">
        <v>75.954499308342562</v>
      </c>
      <c r="S39" s="434"/>
      <c r="T39" s="64">
        <f t="shared" si="5"/>
        <v>4947.8008746720789</v>
      </c>
      <c r="V39" s="29">
        <v>46.23350098614678</v>
      </c>
      <c r="W39" s="29"/>
      <c r="X39" s="29">
        <v>17.720613264513492</v>
      </c>
      <c r="Y39" s="129"/>
      <c r="Z39" s="129"/>
      <c r="AA39" s="29"/>
      <c r="AB39" s="29">
        <v>63.794589595473241</v>
      </c>
      <c r="AC39" s="129"/>
      <c r="AD39" s="29">
        <v>2.6736112128633147</v>
      </c>
      <c r="AE39" s="29"/>
      <c r="AF39" s="29">
        <v>65.777436100425092</v>
      </c>
      <c r="AH39" s="29">
        <v>76.040106344858529</v>
      </c>
      <c r="AJ39" s="64">
        <f t="shared" si="6"/>
        <v>5220.0407321763605</v>
      </c>
      <c r="AK39" s="64"/>
      <c r="AL39" s="1139">
        <f t="shared" si="7"/>
        <v>1.1116277853365142E-2</v>
      </c>
      <c r="AN39" s="22">
        <v>5220.0407321763596</v>
      </c>
      <c r="AO39" s="64">
        <f t="shared" si="2"/>
        <v>0</v>
      </c>
      <c r="AP39" s="388"/>
    </row>
    <row r="40" spans="2:42">
      <c r="B40" s="6">
        <f>MAX(B$12:B39)+1</f>
        <v>25</v>
      </c>
      <c r="D40" s="436" t="s">
        <v>152</v>
      </c>
      <c r="E40" s="6"/>
      <c r="F40" s="29">
        <v>14792.815020216502</v>
      </c>
      <c r="G40" s="29"/>
      <c r="H40" s="29">
        <v>1634.7029693331499</v>
      </c>
      <c r="I40" s="29"/>
      <c r="J40" s="29">
        <v>0</v>
      </c>
      <c r="K40" s="29"/>
      <c r="L40" s="29"/>
      <c r="M40" s="29"/>
      <c r="N40" s="29">
        <v>31.389357744205046</v>
      </c>
      <c r="O40" s="29"/>
      <c r="P40" s="29">
        <v>154.05655875252384</v>
      </c>
      <c r="Q40" s="29"/>
      <c r="R40" s="29">
        <v>244.41388709747616</v>
      </c>
      <c r="S40" s="434"/>
      <c r="T40" s="64">
        <f t="shared" si="5"/>
        <v>12728.252247289147</v>
      </c>
      <c r="V40" s="29">
        <v>346.38888636458614</v>
      </c>
      <c r="W40" s="29"/>
      <c r="X40" s="29">
        <v>965.15650932865947</v>
      </c>
      <c r="Y40" s="129"/>
      <c r="Z40" s="129"/>
      <c r="AA40" s="29"/>
      <c r="AB40" s="29">
        <v>0</v>
      </c>
      <c r="AC40" s="129"/>
      <c r="AD40" s="29">
        <v>29.423554194372251</v>
      </c>
      <c r="AE40" s="29"/>
      <c r="AF40" s="29">
        <v>187.99442747031659</v>
      </c>
      <c r="AH40" s="29">
        <v>243.07409816296237</v>
      </c>
      <c r="AJ40" s="64">
        <f t="shared" si="6"/>
        <v>14500.289722810043</v>
      </c>
      <c r="AK40" s="64"/>
      <c r="AL40" s="1139">
        <f t="shared" si="7"/>
        <v>-1.9774822912791177E-2</v>
      </c>
      <c r="AN40" s="22">
        <v>14500.289722810045</v>
      </c>
      <c r="AO40" s="64">
        <f t="shared" si="2"/>
        <v>0</v>
      </c>
      <c r="AP40" s="388"/>
    </row>
    <row r="41" spans="2:42">
      <c r="B41" s="6">
        <f>MAX(B$12:B40)+1</f>
        <v>26</v>
      </c>
      <c r="D41" s="436" t="s">
        <v>153</v>
      </c>
      <c r="E41" s="6"/>
      <c r="F41" s="29">
        <v>83779.159081868158</v>
      </c>
      <c r="G41" s="29"/>
      <c r="H41" s="29">
        <v>4800.1659263247493</v>
      </c>
      <c r="I41" s="29"/>
      <c r="J41" s="29">
        <v>0</v>
      </c>
      <c r="K41" s="29"/>
      <c r="L41" s="29"/>
      <c r="M41" s="29"/>
      <c r="N41" s="29">
        <v>109.9260462507728</v>
      </c>
      <c r="O41" s="29"/>
      <c r="P41" s="29">
        <v>2565.4189413444342</v>
      </c>
      <c r="Q41" s="29"/>
      <c r="R41" s="29">
        <v>1387.0988552155645</v>
      </c>
      <c r="S41" s="434"/>
      <c r="T41" s="64">
        <f t="shared" si="5"/>
        <v>74916.549312732634</v>
      </c>
      <c r="V41" s="29">
        <v>2032.8007615893503</v>
      </c>
      <c r="W41" s="29"/>
      <c r="X41" s="29">
        <v>3537.6584435522946</v>
      </c>
      <c r="Y41" s="129"/>
      <c r="Z41" s="129"/>
      <c r="AA41" s="29"/>
      <c r="AB41" s="29">
        <v>0</v>
      </c>
      <c r="AC41" s="129"/>
      <c r="AD41" s="29">
        <v>103.04176993967982</v>
      </c>
      <c r="AE41" s="29"/>
      <c r="AF41" s="29">
        <v>3130.5675591150493</v>
      </c>
      <c r="AH41" s="29">
        <v>1379.4952786783876</v>
      </c>
      <c r="AJ41" s="64">
        <f t="shared" si="6"/>
        <v>85100.113125607386</v>
      </c>
      <c r="AK41" s="64"/>
      <c r="AL41" s="1139">
        <f t="shared" si="7"/>
        <v>1.5767095996373093E-2</v>
      </c>
      <c r="AN41" s="22">
        <v>85100.1131256074</v>
      </c>
      <c r="AP41" s="388"/>
    </row>
    <row r="42" spans="2:42">
      <c r="B42" s="6">
        <f>MAX(B$12:B41)+1</f>
        <v>27</v>
      </c>
      <c r="D42" s="436" t="s">
        <v>154</v>
      </c>
      <c r="E42" s="6"/>
      <c r="F42" s="29">
        <v>8182.6378750708709</v>
      </c>
      <c r="G42" s="29"/>
      <c r="H42" s="29">
        <v>106.2576</v>
      </c>
      <c r="I42" s="29"/>
      <c r="J42" s="29">
        <v>0</v>
      </c>
      <c r="K42" s="29"/>
      <c r="L42" s="29"/>
      <c r="M42" s="29"/>
      <c r="N42" s="29">
        <v>10.217205964270001</v>
      </c>
      <c r="O42" s="29"/>
      <c r="P42" s="29">
        <v>163.59611982924099</v>
      </c>
      <c r="Q42" s="29"/>
      <c r="R42" s="29">
        <v>205.02580077075902</v>
      </c>
      <c r="S42" s="434"/>
      <c r="T42" s="64">
        <f t="shared" si="5"/>
        <v>7697.5411485066006</v>
      </c>
      <c r="V42" s="29">
        <v>210.33751753270036</v>
      </c>
      <c r="W42" s="29"/>
      <c r="X42" s="29">
        <v>111.50384979625936</v>
      </c>
      <c r="Y42" s="129"/>
      <c r="Z42" s="129"/>
      <c r="AA42" s="29"/>
      <c r="AB42" s="29">
        <v>0</v>
      </c>
      <c r="AC42" s="129"/>
      <c r="AD42" s="29">
        <v>9.5773387864319055</v>
      </c>
      <c r="AE42" s="29"/>
      <c r="AF42" s="29">
        <v>199.63550486070835</v>
      </c>
      <c r="AH42" s="29">
        <v>203.90192314488201</v>
      </c>
      <c r="AJ42" s="64">
        <f t="shared" si="6"/>
        <v>8432.4972826275825</v>
      </c>
      <c r="AK42" s="64"/>
      <c r="AL42" s="1139">
        <f t="shared" si="7"/>
        <v>3.0535312862607595E-2</v>
      </c>
      <c r="AN42" s="22">
        <v>8432.4972826275844</v>
      </c>
      <c r="AP42" s="388"/>
    </row>
    <row r="43" spans="2:42">
      <c r="B43" s="6">
        <f>MAX(B$12:B42)+1</f>
        <v>28</v>
      </c>
      <c r="C43" s="58"/>
      <c r="D43" s="58" t="s">
        <v>155</v>
      </c>
      <c r="F43" s="131">
        <f>SUM(F34:F42)</f>
        <v>1627067.9600410061</v>
      </c>
      <c r="G43" s="132"/>
      <c r="H43" s="131">
        <f>SUM(H34:H42)</f>
        <v>55545.831639904303</v>
      </c>
      <c r="I43" s="132"/>
      <c r="J43" s="131">
        <f>SUM(J34:J42)</f>
        <v>11563.204810490335</v>
      </c>
      <c r="K43" s="132"/>
      <c r="L43" s="132"/>
      <c r="M43" s="132"/>
      <c r="N43" s="131">
        <f>SUM(N34:N42)</f>
        <v>2229.8434390117955</v>
      </c>
      <c r="O43" s="132"/>
      <c r="P43" s="131">
        <f>SUM(P34:P42)</f>
        <v>7022.3591483010023</v>
      </c>
      <c r="Q43" s="132"/>
      <c r="R43" s="131">
        <f>SUM(R34:R42)</f>
        <v>6633.8388202922551</v>
      </c>
      <c r="S43" s="63"/>
      <c r="T43" s="131">
        <f>SUM(T34:T42)</f>
        <v>1544072.8821830065</v>
      </c>
      <c r="V43" s="131">
        <f>SUM(V34:V42)</f>
        <v>20295.567978464867</v>
      </c>
      <c r="X43" s="131">
        <f>SUM(X34:X42)</f>
        <v>61116.380383525808</v>
      </c>
      <c r="AB43" s="131">
        <f>SUM(AB34:AB42)</f>
        <v>11241.977557275253</v>
      </c>
      <c r="AD43" s="131">
        <f>SUM(AD34:AD42)</f>
        <v>2090.196295425686</v>
      </c>
      <c r="AF43" s="131">
        <f>SUM(AF34:AF42)</f>
        <v>8602.9144598812236</v>
      </c>
      <c r="AH43" s="131">
        <f>SUM(AH34:AH42)</f>
        <v>6629.1785335139175</v>
      </c>
      <c r="AJ43" s="131">
        <f>SUM(AJ34:AJ42)</f>
        <v>1654049.0973910931</v>
      </c>
      <c r="AK43" s="132"/>
      <c r="AL43" s="1140">
        <f t="shared" si="7"/>
        <v>1.6582673872704779E-2</v>
      </c>
      <c r="AN43" s="131">
        <f>SUM(AN34:AN42)</f>
        <v>1654049.0973910931</v>
      </c>
      <c r="AP43" s="388"/>
    </row>
    <row r="44" spans="2:42" ht="12.95">
      <c r="B44" s="16"/>
      <c r="C44" s="58"/>
      <c r="D44" s="6"/>
      <c r="F44" s="133"/>
      <c r="G44" s="133"/>
      <c r="H44" s="133"/>
      <c r="I44" s="133"/>
      <c r="J44" s="133"/>
      <c r="K44" s="133"/>
      <c r="L44" s="133"/>
      <c r="M44" s="133"/>
      <c r="N44" s="133"/>
      <c r="O44" s="29"/>
      <c r="P44" s="29"/>
      <c r="Q44" s="133"/>
      <c r="R44" s="133"/>
      <c r="S44" s="141"/>
      <c r="T44" s="133"/>
      <c r="V44" s="133"/>
      <c r="X44" s="133"/>
      <c r="AB44" s="133"/>
      <c r="AD44" s="133"/>
      <c r="AF44" s="133"/>
      <c r="AH44" s="133"/>
      <c r="AJ44" s="133"/>
      <c r="AK44" s="133"/>
      <c r="AL44" s="1139"/>
      <c r="AN44" s="133"/>
      <c r="AP44" s="388"/>
    </row>
    <row r="45" spans="2:42">
      <c r="B45" s="6">
        <f>MAX(B$12:B44)+1</f>
        <v>29</v>
      </c>
      <c r="C45" s="58"/>
      <c r="D45" s="3" t="s">
        <v>156</v>
      </c>
      <c r="F45" s="131">
        <f>F23+F31+F43</f>
        <v>5782469.2617205735</v>
      </c>
      <c r="G45" s="132"/>
      <c r="H45" s="131">
        <f>H23+H31+H43</f>
        <v>143871.46378346617</v>
      </c>
      <c r="I45" s="132"/>
      <c r="J45" s="131">
        <f>J23+J31+J43</f>
        <v>46925.204694014006</v>
      </c>
      <c r="K45" s="132"/>
      <c r="L45" s="132"/>
      <c r="M45" s="132"/>
      <c r="N45" s="131">
        <f>N23+N31+N43</f>
        <v>4279.0945088308636</v>
      </c>
      <c r="O45" s="132"/>
      <c r="P45" s="131">
        <f>P23+P31+P43</f>
        <v>38156.803959081386</v>
      </c>
      <c r="Q45" s="132"/>
      <c r="R45" s="131">
        <f>R23+R31+R43</f>
        <v>20462.561851652135</v>
      </c>
      <c r="S45" s="63"/>
      <c r="T45" s="131">
        <f>T23+T31+T43</f>
        <v>5530816.53000913</v>
      </c>
      <c r="U45" s="64"/>
      <c r="V45" s="131">
        <f>V23+V31+V43</f>
        <v>67721.838835478353</v>
      </c>
      <c r="X45" s="131">
        <f>X23+X31+X43</f>
        <v>183081.13465239876</v>
      </c>
      <c r="AB45" s="131">
        <f>AB23+AB31+AB43</f>
        <v>46390.692841946395</v>
      </c>
      <c r="AD45" s="131">
        <f>AD23+AD31+AD43</f>
        <v>3884.1941707516062</v>
      </c>
      <c r="AF45" s="131">
        <f>AF23+AF31+AF43</f>
        <v>42874.998378134667</v>
      </c>
      <c r="AH45" s="131">
        <f>AH23+AH31+AH43</f>
        <v>19261.161824881958</v>
      </c>
      <c r="AJ45" s="131">
        <f>AJ23+AJ31+AJ43</f>
        <v>5894030.5507127233</v>
      </c>
      <c r="AK45" s="132"/>
      <c r="AL45" s="1140">
        <f t="shared" si="7"/>
        <v>1.9293018941004228E-2</v>
      </c>
      <c r="AN45" s="131">
        <f>AN23+AN31+AN43</f>
        <v>5894030.5507127233</v>
      </c>
      <c r="AP45" s="388"/>
    </row>
    <row r="46" spans="2:42" ht="12.95">
      <c r="B46" s="6"/>
      <c r="C46" s="58"/>
      <c r="D46" s="58"/>
      <c r="E46" s="6"/>
      <c r="F46" s="133"/>
      <c r="G46" s="133"/>
      <c r="H46" s="132"/>
      <c r="I46" s="133"/>
      <c r="J46" s="133"/>
      <c r="K46" s="133"/>
      <c r="L46" s="133"/>
      <c r="M46" s="133"/>
      <c r="N46" s="132"/>
      <c r="O46" s="132"/>
      <c r="P46" s="132"/>
      <c r="Q46" s="133"/>
      <c r="R46" s="435"/>
      <c r="S46" s="393"/>
      <c r="T46" s="6"/>
      <c r="AL46" s="1139"/>
      <c r="AP46" s="388"/>
    </row>
    <row r="47" spans="2:42" ht="12.95">
      <c r="B47" s="6"/>
      <c r="C47" s="58"/>
      <c r="D47" s="14" t="s">
        <v>157</v>
      </c>
      <c r="E47" s="6"/>
      <c r="F47" s="133"/>
      <c r="G47" s="133"/>
      <c r="H47" s="132"/>
      <c r="I47" s="133"/>
      <c r="J47" s="133"/>
      <c r="K47" s="133"/>
      <c r="L47" s="133"/>
      <c r="M47" s="133"/>
      <c r="N47" s="132"/>
      <c r="O47" s="132"/>
      <c r="P47" s="132"/>
      <c r="Q47" s="133"/>
      <c r="R47" s="435"/>
      <c r="S47" s="437"/>
      <c r="T47" s="6"/>
      <c r="AL47" s="1139"/>
      <c r="AP47" s="388"/>
    </row>
    <row r="48" spans="2:42">
      <c r="B48" s="6">
        <f>MAX(B$12:B47)+1</f>
        <v>30</v>
      </c>
      <c r="C48" s="58"/>
      <c r="D48" s="10" t="s">
        <v>158</v>
      </c>
      <c r="F48" s="29">
        <v>169.00033449599997</v>
      </c>
      <c r="G48" s="29"/>
      <c r="H48" s="29">
        <v>0</v>
      </c>
      <c r="I48" s="29"/>
      <c r="J48" s="29">
        <v>0</v>
      </c>
      <c r="K48" s="29"/>
      <c r="L48" s="29"/>
      <c r="M48" s="29"/>
      <c r="N48" s="29">
        <v>0</v>
      </c>
      <c r="O48" s="29"/>
      <c r="P48" s="29">
        <v>0</v>
      </c>
      <c r="Q48" s="29"/>
      <c r="R48" s="29">
        <v>0</v>
      </c>
      <c r="S48" s="434"/>
      <c r="T48" s="64">
        <f t="shared" ref="T48:T55" si="8">F48-SUM(H48:R48)</f>
        <v>169.00033449599997</v>
      </c>
      <c r="V48" s="29">
        <v>4.8098413440000343</v>
      </c>
      <c r="X48" s="29">
        <v>0</v>
      </c>
      <c r="AA48" s="64"/>
      <c r="AB48" s="29">
        <v>0</v>
      </c>
      <c r="AD48" s="29">
        <v>0</v>
      </c>
      <c r="AF48" s="29">
        <v>0</v>
      </c>
      <c r="AH48" s="29">
        <v>0</v>
      </c>
      <c r="AJ48" s="64">
        <f t="shared" ref="AJ48:AJ55" si="9">SUM(T48:AH48)</f>
        <v>173.81017584</v>
      </c>
      <c r="AK48" s="64"/>
      <c r="AL48" s="1139">
        <f t="shared" si="7"/>
        <v>2.8460543337645746E-2</v>
      </c>
      <c r="AN48" s="22">
        <v>173.81017584</v>
      </c>
      <c r="AO48" s="64">
        <f t="shared" ref="AO48:AO55" si="10">AJ48-AN48</f>
        <v>0</v>
      </c>
      <c r="AP48" s="388"/>
    </row>
    <row r="49" spans="2:42" ht="12.95">
      <c r="B49" s="6">
        <f>MAX(B$12:B48)+1</f>
        <v>31</v>
      </c>
      <c r="C49" s="58"/>
      <c r="D49" s="10" t="s">
        <v>159</v>
      </c>
      <c r="E49" s="6"/>
      <c r="F49" s="29">
        <v>19179.468000000001</v>
      </c>
      <c r="G49" s="29"/>
      <c r="H49" s="29">
        <v>0</v>
      </c>
      <c r="I49" s="29"/>
      <c r="J49" s="29">
        <v>0</v>
      </c>
      <c r="K49" s="133"/>
      <c r="L49" s="29"/>
      <c r="M49" s="29"/>
      <c r="N49" s="29">
        <v>0</v>
      </c>
      <c r="O49" s="29"/>
      <c r="P49" s="29">
        <v>0</v>
      </c>
      <c r="Q49" s="29"/>
      <c r="R49" s="29">
        <v>0</v>
      </c>
      <c r="S49" s="434"/>
      <c r="T49" s="64">
        <f t="shared" si="8"/>
        <v>19179.468000000001</v>
      </c>
      <c r="V49" s="29">
        <v>524.08445877558188</v>
      </c>
      <c r="X49" s="29">
        <v>0</v>
      </c>
      <c r="AA49" s="64"/>
      <c r="AB49" s="29">
        <v>0</v>
      </c>
      <c r="AD49" s="29">
        <v>0</v>
      </c>
      <c r="AF49" s="29">
        <v>0</v>
      </c>
      <c r="AH49" s="29">
        <v>0</v>
      </c>
      <c r="AJ49" s="64">
        <f t="shared" si="9"/>
        <v>19703.552458775583</v>
      </c>
      <c r="AK49" s="64"/>
      <c r="AL49" s="1139">
        <f t="shared" si="7"/>
        <v>2.7325286539521421E-2</v>
      </c>
      <c r="AN49" s="22">
        <v>19703.552458775583</v>
      </c>
      <c r="AO49" s="64">
        <f t="shared" si="10"/>
        <v>0</v>
      </c>
      <c r="AP49" s="388"/>
    </row>
    <row r="50" spans="2:42">
      <c r="B50" s="6">
        <f>MAX(B$12:B49)+1</f>
        <v>32</v>
      </c>
      <c r="C50" s="58"/>
      <c r="D50" s="10" t="s">
        <v>160</v>
      </c>
      <c r="F50" s="29">
        <v>3560.977942268019</v>
      </c>
      <c r="G50" s="29"/>
      <c r="H50" s="29">
        <v>0</v>
      </c>
      <c r="I50" s="29"/>
      <c r="J50" s="29">
        <v>0</v>
      </c>
      <c r="L50" s="29"/>
      <c r="M50" s="29"/>
      <c r="N50" s="29">
        <v>0</v>
      </c>
      <c r="O50" s="29"/>
      <c r="P50" s="29">
        <v>0</v>
      </c>
      <c r="Q50" s="29"/>
      <c r="R50" s="29">
        <v>0</v>
      </c>
      <c r="S50" s="434"/>
      <c r="T50" s="64">
        <f t="shared" si="8"/>
        <v>3560.977942268019</v>
      </c>
      <c r="V50" s="29">
        <v>0</v>
      </c>
      <c r="X50" s="29">
        <v>0</v>
      </c>
      <c r="AA50" s="64"/>
      <c r="AB50" s="29">
        <v>0</v>
      </c>
      <c r="AD50" s="29">
        <v>0</v>
      </c>
      <c r="AF50" s="29">
        <v>0</v>
      </c>
      <c r="AH50" s="29">
        <v>0</v>
      </c>
      <c r="AJ50" s="64">
        <f t="shared" si="9"/>
        <v>3560.977942268019</v>
      </c>
      <c r="AK50" s="64"/>
      <c r="AL50" s="1139">
        <f t="shared" si="7"/>
        <v>0</v>
      </c>
      <c r="AN50" s="22">
        <v>3560.977942268019</v>
      </c>
      <c r="AO50" s="64">
        <f t="shared" si="10"/>
        <v>0</v>
      </c>
      <c r="AP50" s="388"/>
    </row>
    <row r="51" spans="2:42">
      <c r="B51" s="6">
        <f>MAX(B$12:B50)+1</f>
        <v>33</v>
      </c>
      <c r="C51" s="58"/>
      <c r="D51" s="436" t="s">
        <v>161</v>
      </c>
      <c r="E51" s="6"/>
      <c r="F51" s="29">
        <v>123641.88959884401</v>
      </c>
      <c r="G51" s="29"/>
      <c r="H51" s="29">
        <v>0</v>
      </c>
      <c r="I51" s="29"/>
      <c r="J51" s="29">
        <v>0</v>
      </c>
      <c r="K51" s="29"/>
      <c r="L51" s="29"/>
      <c r="M51" s="29"/>
      <c r="N51" s="29">
        <v>0</v>
      </c>
      <c r="O51" s="29"/>
      <c r="P51" s="29">
        <v>5279.6927770919001</v>
      </c>
      <c r="Q51" s="29"/>
      <c r="R51" s="29">
        <v>13711.593585752131</v>
      </c>
      <c r="S51" s="434"/>
      <c r="T51" s="64">
        <f t="shared" si="8"/>
        <v>104650.60323599997</v>
      </c>
      <c r="V51" s="29">
        <v>2859.6077199574647</v>
      </c>
      <c r="X51" s="29">
        <v>0</v>
      </c>
      <c r="AA51" s="64"/>
      <c r="AB51" s="29">
        <v>0</v>
      </c>
      <c r="AD51" s="29">
        <v>0</v>
      </c>
      <c r="AF51" s="29">
        <v>6442.7819814084814</v>
      </c>
      <c r="AH51" s="29">
        <v>13636.931566200377</v>
      </c>
      <c r="AJ51" s="64">
        <f t="shared" si="9"/>
        <v>127589.92450356629</v>
      </c>
      <c r="AK51" s="64"/>
      <c r="AL51" s="1139">
        <f t="shared" si="7"/>
        <v>3.1931208084344874E-2</v>
      </c>
      <c r="AN51" s="22">
        <v>127589.42450356632</v>
      </c>
      <c r="AO51" s="64">
        <f t="shared" si="10"/>
        <v>0.49999999997089617</v>
      </c>
      <c r="AP51" s="388"/>
    </row>
    <row r="52" spans="2:42">
      <c r="B52" s="6">
        <f>MAX(B$12:B51)+1</f>
        <v>34</v>
      </c>
      <c r="C52" s="58"/>
      <c r="D52" s="436" t="s">
        <v>162</v>
      </c>
      <c r="E52" s="30"/>
      <c r="F52" s="29">
        <v>17410.917282836475</v>
      </c>
      <c r="G52" s="29"/>
      <c r="H52" s="29">
        <v>0</v>
      </c>
      <c r="I52" s="29"/>
      <c r="J52" s="29">
        <v>0</v>
      </c>
      <c r="K52" s="29"/>
      <c r="L52" s="29"/>
      <c r="M52" s="29"/>
      <c r="N52" s="29">
        <v>0</v>
      </c>
      <c r="O52" s="29"/>
      <c r="P52" s="29">
        <v>855.84692561625934</v>
      </c>
      <c r="Q52" s="29"/>
      <c r="R52" s="29">
        <v>2293.1176027203392</v>
      </c>
      <c r="S52" s="434"/>
      <c r="T52" s="64">
        <f t="shared" si="8"/>
        <v>14261.952754499876</v>
      </c>
      <c r="V52" s="29">
        <v>55.384889252956597</v>
      </c>
      <c r="X52" s="29">
        <v>0</v>
      </c>
      <c r="AA52" s="64"/>
      <c r="AB52" s="29">
        <v>0</v>
      </c>
      <c r="AD52" s="29">
        <v>0</v>
      </c>
      <c r="AF52" s="29">
        <v>1054.2860905620514</v>
      </c>
      <c r="AH52" s="29">
        <v>2283.1252504359059</v>
      </c>
      <c r="AJ52" s="64">
        <f t="shared" si="9"/>
        <v>17654.74898475079</v>
      </c>
      <c r="AK52" s="64"/>
      <c r="AL52" s="1139">
        <f t="shared" si="7"/>
        <v>1.400452933945538E-2</v>
      </c>
      <c r="AN52" s="22">
        <v>17654.74898475079</v>
      </c>
      <c r="AO52" s="64">
        <f t="shared" si="10"/>
        <v>0</v>
      </c>
      <c r="AP52" s="388"/>
    </row>
    <row r="53" spans="2:42">
      <c r="B53" s="6">
        <f>MAX(B$12:B52)+1</f>
        <v>35</v>
      </c>
      <c r="C53" s="58"/>
      <c r="D53" s="436" t="s">
        <v>163</v>
      </c>
      <c r="E53" s="6"/>
      <c r="F53" s="29">
        <v>424.03364183333326</v>
      </c>
      <c r="G53" s="29"/>
      <c r="H53" s="29">
        <v>0</v>
      </c>
      <c r="I53" s="29"/>
      <c r="J53" s="29">
        <v>0</v>
      </c>
      <c r="K53" s="29"/>
      <c r="L53" s="29"/>
      <c r="M53" s="29"/>
      <c r="N53" s="29">
        <v>0</v>
      </c>
      <c r="O53" s="29"/>
      <c r="P53" s="29">
        <v>43.120009500000002</v>
      </c>
      <c r="Q53" s="29"/>
      <c r="R53" s="29">
        <v>0</v>
      </c>
      <c r="S53" s="434"/>
      <c r="T53" s="64">
        <f t="shared" si="8"/>
        <v>380.91363233333328</v>
      </c>
      <c r="V53" s="29">
        <v>4.9749034862918506</v>
      </c>
      <c r="X53" s="29">
        <v>0</v>
      </c>
      <c r="AA53" s="64"/>
      <c r="AB53" s="29">
        <v>0</v>
      </c>
      <c r="AD53" s="29">
        <v>0</v>
      </c>
      <c r="AF53" s="29">
        <v>53.702699847298454</v>
      </c>
      <c r="AH53" s="29">
        <v>0</v>
      </c>
      <c r="AJ53" s="64">
        <f t="shared" si="9"/>
        <v>439.59123566692358</v>
      </c>
      <c r="AK53" s="64"/>
      <c r="AL53" s="1139">
        <f t="shared" si="7"/>
        <v>3.668952719488526E-2</v>
      </c>
      <c r="AN53" s="22">
        <v>439.59123566692358</v>
      </c>
      <c r="AO53" s="64">
        <f t="shared" si="10"/>
        <v>0</v>
      </c>
      <c r="AP53" s="388"/>
    </row>
    <row r="54" spans="2:42">
      <c r="B54" s="6">
        <f>MAX(B$12:B53)+1</f>
        <v>36</v>
      </c>
      <c r="C54" s="58"/>
      <c r="D54" s="436" t="s">
        <v>164</v>
      </c>
      <c r="E54" s="6"/>
      <c r="F54" s="29">
        <v>638.42606352170299</v>
      </c>
      <c r="G54" s="29"/>
      <c r="H54" s="29">
        <v>0</v>
      </c>
      <c r="I54" s="29"/>
      <c r="J54" s="29">
        <v>0</v>
      </c>
      <c r="K54" s="29"/>
      <c r="L54" s="29"/>
      <c r="M54" s="29"/>
      <c r="N54" s="29">
        <v>0</v>
      </c>
      <c r="O54" s="29"/>
      <c r="P54" s="29">
        <v>99.780409569172775</v>
      </c>
      <c r="Q54" s="29"/>
      <c r="R54" s="29">
        <v>96.428791883564699</v>
      </c>
      <c r="S54" s="434"/>
      <c r="T54" s="64">
        <f t="shared" si="8"/>
        <v>442.2168620689655</v>
      </c>
      <c r="V54" s="29">
        <v>12.083702468642535</v>
      </c>
      <c r="X54" s="29">
        <v>0</v>
      </c>
      <c r="AA54" s="64"/>
      <c r="AB54" s="29">
        <v>0</v>
      </c>
      <c r="AD54" s="29">
        <v>0</v>
      </c>
      <c r="AF54" s="29">
        <v>121.84208305606758</v>
      </c>
      <c r="AH54" s="29">
        <v>95.674275797480021</v>
      </c>
      <c r="AJ54" s="64">
        <f t="shared" si="9"/>
        <v>671.81692339115568</v>
      </c>
      <c r="AK54" s="64"/>
      <c r="AL54" s="1139">
        <f t="shared" si="7"/>
        <v>5.2301843200544068E-2</v>
      </c>
      <c r="AN54" s="22">
        <v>671.81692339115568</v>
      </c>
      <c r="AO54" s="64">
        <f t="shared" si="10"/>
        <v>0</v>
      </c>
      <c r="AP54" s="388"/>
    </row>
    <row r="55" spans="2:42">
      <c r="B55" s="6">
        <f>MAX(B$12:B54)+1</f>
        <v>37</v>
      </c>
      <c r="D55" s="436" t="s">
        <v>165</v>
      </c>
      <c r="E55" s="30"/>
      <c r="F55" s="29">
        <v>570.28478551477679</v>
      </c>
      <c r="G55" s="29"/>
      <c r="H55" s="29">
        <v>0</v>
      </c>
      <c r="I55" s="29"/>
      <c r="J55" s="29">
        <v>0</v>
      </c>
      <c r="K55" s="29"/>
      <c r="L55" s="29"/>
      <c r="M55" s="29"/>
      <c r="N55" s="29">
        <v>0</v>
      </c>
      <c r="O55" s="29"/>
      <c r="P55" s="29">
        <v>11.973151205783873</v>
      </c>
      <c r="Q55" s="29"/>
      <c r="R55" s="29">
        <v>29.198154308992827</v>
      </c>
      <c r="S55" s="434"/>
      <c r="T55" s="64">
        <f t="shared" si="8"/>
        <v>529.1134800000001</v>
      </c>
      <c r="V55" s="29">
        <v>14.45817745292333</v>
      </c>
      <c r="X55" s="29">
        <v>0</v>
      </c>
      <c r="AA55" s="64"/>
      <c r="AB55" s="29">
        <v>0</v>
      </c>
      <c r="AD55" s="29">
        <v>0</v>
      </c>
      <c r="AF55" s="29">
        <v>14.61077492690648</v>
      </c>
      <c r="AH55" s="29">
        <v>29.038100539070125</v>
      </c>
      <c r="AJ55" s="64">
        <f t="shared" si="9"/>
        <v>587.22053291890006</v>
      </c>
      <c r="AK55" s="64"/>
      <c r="AL55" s="1139">
        <f t="shared" si="7"/>
        <v>2.9697000225660852E-2</v>
      </c>
      <c r="AN55" s="22">
        <v>587.22053291889995</v>
      </c>
      <c r="AO55" s="64">
        <f t="shared" si="10"/>
        <v>0</v>
      </c>
      <c r="AP55" s="388"/>
    </row>
    <row r="56" spans="2:42" ht="14.1">
      <c r="B56" s="6">
        <f>MAX(B$12:B55)+1</f>
        <v>38</v>
      </c>
      <c r="D56" s="58" t="s">
        <v>166</v>
      </c>
      <c r="F56" s="131">
        <f>SUM(F48:F55)</f>
        <v>165594.99764931435</v>
      </c>
      <c r="G56" s="438"/>
      <c r="H56" s="131">
        <f>SUM(H48:H55)</f>
        <v>0</v>
      </c>
      <c r="I56" s="438"/>
      <c r="J56" s="131">
        <f>SUM(J48:J55)</f>
        <v>0</v>
      </c>
      <c r="K56" s="438"/>
      <c r="L56" s="131"/>
      <c r="M56" s="132"/>
      <c r="N56" s="131">
        <f>SUM(N48:N55)</f>
        <v>0</v>
      </c>
      <c r="O56" s="438"/>
      <c r="P56" s="131">
        <f>SUM(P48:P55)</f>
        <v>6290.4132729831172</v>
      </c>
      <c r="Q56" s="438"/>
      <c r="R56" s="131">
        <f>SUM(R48:R55)</f>
        <v>16130.338134665028</v>
      </c>
      <c r="S56" s="438"/>
      <c r="T56" s="131">
        <f>SUM(T48:T55)</f>
        <v>143174.24624166617</v>
      </c>
      <c r="U56" s="438"/>
      <c r="V56" s="131">
        <f>SUM(V48:V55)</f>
        <v>3475.4036927378611</v>
      </c>
      <c r="X56" s="131">
        <f>SUM(X48:X55)</f>
        <v>0</v>
      </c>
      <c r="AB56" s="131">
        <f>SUM(AB48:AB55)</f>
        <v>0</v>
      </c>
      <c r="AD56" s="131">
        <f>SUM(AD48:AD55)</f>
        <v>0</v>
      </c>
      <c r="AF56" s="131">
        <f>SUM(AF48:AF55)</f>
        <v>7687.2236298008047</v>
      </c>
      <c r="AH56" s="131">
        <f>SUM(AH48:AH55)</f>
        <v>16044.769192972833</v>
      </c>
      <c r="AJ56" s="131">
        <f>SUM(AJ48:AJ55)</f>
        <v>170381.64275717767</v>
      </c>
      <c r="AK56" s="132"/>
      <c r="AL56" s="1140">
        <f t="shared" si="7"/>
        <v>2.890573493047267E-2</v>
      </c>
      <c r="AN56" s="131">
        <f>SUM(AN48:AN55)</f>
        <v>170381.1427571777</v>
      </c>
      <c r="AP56" s="388"/>
    </row>
    <row r="57" spans="2:42">
      <c r="B57" s="6"/>
      <c r="C57" s="58"/>
      <c r="G57" s="64"/>
      <c r="O57" s="64"/>
      <c r="S57" s="394"/>
      <c r="T57" s="6"/>
      <c r="U57" s="64"/>
      <c r="AL57" s="1139"/>
      <c r="AP57" s="388"/>
    </row>
    <row r="58" spans="2:42">
      <c r="B58" s="6">
        <f>MAX(B$12:B57)+1</f>
        <v>39</v>
      </c>
      <c r="C58" s="58"/>
      <c r="D58" s="127" t="s">
        <v>167</v>
      </c>
      <c r="F58" s="29">
        <v>1196.9395495536583</v>
      </c>
      <c r="G58" s="29"/>
      <c r="H58" s="29">
        <v>0</v>
      </c>
      <c r="I58" s="29"/>
      <c r="J58" s="29">
        <v>0</v>
      </c>
      <c r="K58" s="29"/>
      <c r="L58" s="29"/>
      <c r="M58" s="29"/>
      <c r="N58" s="29">
        <v>0</v>
      </c>
      <c r="O58" s="29"/>
      <c r="P58" s="29">
        <v>0</v>
      </c>
      <c r="Q58" s="29"/>
      <c r="R58" s="29">
        <v>0</v>
      </c>
      <c r="S58" s="63"/>
      <c r="T58" s="64">
        <f>F58-SUM(H58:R58)</f>
        <v>1196.9395495536583</v>
      </c>
      <c r="U58" s="64"/>
      <c r="V58" s="64">
        <f>AJ58-T58</f>
        <v>13.234035539499473</v>
      </c>
      <c r="X58" s="29">
        <v>0</v>
      </c>
      <c r="AB58" s="29">
        <v>0</v>
      </c>
      <c r="AD58" s="29">
        <v>0</v>
      </c>
      <c r="AF58" s="29">
        <v>0</v>
      </c>
      <c r="AH58" s="29">
        <v>0</v>
      </c>
      <c r="AJ58" s="64">
        <f>'Sch. 25'!I47</f>
        <v>1210.1735850931577</v>
      </c>
      <c r="AK58" s="64"/>
      <c r="AL58" s="1139">
        <f t="shared" si="7"/>
        <v>1.1056561331300714E-2</v>
      </c>
      <c r="AN58" s="22">
        <f>AJ58</f>
        <v>1210.1735850931577</v>
      </c>
      <c r="AO58" s="64">
        <f>AJ58-AN58</f>
        <v>0</v>
      </c>
      <c r="AP58" s="388"/>
    </row>
    <row r="59" spans="2:42">
      <c r="S59" s="394"/>
      <c r="T59" s="6"/>
      <c r="AJ59" s="64">
        <f>SUM(T59:AH59)</f>
        <v>0</v>
      </c>
      <c r="AK59" s="64"/>
      <c r="AL59" s="1139"/>
      <c r="AP59" s="388"/>
    </row>
    <row r="60" spans="2:42" ht="14.45" thickBot="1">
      <c r="B60" s="6">
        <f>MAX(B$12:B58)+1</f>
        <v>40</v>
      </c>
      <c r="C60" s="58"/>
      <c r="D60" s="3" t="s">
        <v>8</v>
      </c>
      <c r="F60" s="439">
        <f>ROUND(F45+F56+F58,0)</f>
        <v>5949261</v>
      </c>
      <c r="G60" s="438"/>
      <c r="H60" s="439">
        <f>ROUND(H45+H56+H58,0)</f>
        <v>143871</v>
      </c>
      <c r="I60" s="438"/>
      <c r="J60" s="439">
        <f>ROUND(J45+J56+J58,0)</f>
        <v>46925</v>
      </c>
      <c r="K60" s="438"/>
      <c r="L60" s="438"/>
      <c r="M60" s="132"/>
      <c r="N60" s="439">
        <f>ROUND(N45+N56+N58,0)</f>
        <v>4279</v>
      </c>
      <c r="O60" s="438"/>
      <c r="P60" s="439">
        <f>ROUND(P45+P56+P58,0)</f>
        <v>44447</v>
      </c>
      <c r="Q60" s="438"/>
      <c r="R60" s="439">
        <f>ROUND(R45+R56+R58,0)</f>
        <v>36593</v>
      </c>
      <c r="S60" s="438"/>
      <c r="T60" s="439">
        <f>ROUND(T45+T56+T58,0)</f>
        <v>5675188</v>
      </c>
      <c r="V60" s="439">
        <f>ROUND(V45+V56+V58,0)</f>
        <v>71210</v>
      </c>
      <c r="W60" s="30"/>
      <c r="X60" s="439">
        <f>ROUND(X45+X56+X58,0)</f>
        <v>183081</v>
      </c>
      <c r="AB60" s="439">
        <f>ROUND(AB45+AB56+AB58,0)</f>
        <v>46391</v>
      </c>
      <c r="AD60" s="439">
        <f>ROUND(AD45+AD56+AD58,0)</f>
        <v>3884</v>
      </c>
      <c r="AF60" s="439">
        <f>ROUND(AF45+AF56+AF58,0)</f>
        <v>50562</v>
      </c>
      <c r="AH60" s="439">
        <f>ROUND(AH45+AH56+AH58,4)</f>
        <v>35305.930999999997</v>
      </c>
      <c r="AJ60" s="439">
        <f>ROUND(AJ45+AJ56+AJ58,0)</f>
        <v>6065622</v>
      </c>
      <c r="AK60" s="132"/>
      <c r="AL60" s="1142">
        <f t="shared" si="7"/>
        <v>1.9558899836467084E-2</v>
      </c>
      <c r="AN60" s="64">
        <f>AJ130+AJ204</f>
        <v>6065621</v>
      </c>
      <c r="AP60" s="388"/>
    </row>
    <row r="61" spans="2:42" ht="11.85" customHeight="1" thickTop="1">
      <c r="E61" s="58"/>
      <c r="F61" s="58"/>
      <c r="G61" s="16"/>
      <c r="H61" s="16"/>
      <c r="I61" s="16"/>
      <c r="J61" s="16"/>
      <c r="K61" s="16"/>
      <c r="L61" s="16"/>
      <c r="M61" s="16"/>
      <c r="N61" s="16"/>
      <c r="O61" s="134"/>
      <c r="P61" s="16"/>
      <c r="Q61" s="16"/>
      <c r="R61" s="16"/>
      <c r="S61" s="16"/>
      <c r="T61" s="16"/>
      <c r="V61" s="64"/>
      <c r="AL61" s="1141"/>
    </row>
    <row r="62" spans="2:42">
      <c r="B62" s="47" t="s">
        <v>80</v>
      </c>
      <c r="C62" s="58"/>
      <c r="D62" s="58"/>
      <c r="E62" s="16"/>
      <c r="F62" s="134"/>
      <c r="G62" s="16"/>
      <c r="S62" s="16"/>
      <c r="T62" s="16"/>
      <c r="V62" s="2" t="s">
        <v>168</v>
      </c>
      <c r="AJ62" s="64"/>
    </row>
    <row r="63" spans="2:42">
      <c r="B63" s="65" t="s">
        <v>169</v>
      </c>
      <c r="C63" s="58"/>
      <c r="D63" s="58" t="s">
        <v>170</v>
      </c>
      <c r="E63" s="16"/>
      <c r="F63" s="134"/>
      <c r="G63" s="16"/>
      <c r="S63" s="16"/>
      <c r="T63" s="16"/>
    </row>
    <row r="64" spans="2:42" ht="14.1">
      <c r="B64" s="65" t="s">
        <v>171</v>
      </c>
      <c r="D64" s="16" t="s">
        <v>172</v>
      </c>
      <c r="E64" s="16"/>
      <c r="F64" s="16"/>
      <c r="V64" s="438"/>
      <c r="W64" s="438"/>
      <c r="X64" s="438"/>
      <c r="Y64" s="438"/>
      <c r="Z64" s="438"/>
      <c r="AA64" s="438"/>
      <c r="AB64" s="438"/>
      <c r="AC64" s="438"/>
      <c r="AD64" s="438"/>
      <c r="AE64" s="438"/>
      <c r="AF64" s="438"/>
    </row>
    <row r="65" spans="2:42" ht="14.1">
      <c r="B65" s="65" t="s">
        <v>173</v>
      </c>
      <c r="D65" s="2" t="s">
        <v>174</v>
      </c>
      <c r="V65" s="438" t="s">
        <v>168</v>
      </c>
      <c r="W65" s="438"/>
      <c r="X65" s="438"/>
      <c r="Y65" s="438"/>
      <c r="Z65" s="438"/>
      <c r="AA65" s="438"/>
      <c r="AB65" s="438"/>
      <c r="AC65" s="438"/>
      <c r="AD65" s="438"/>
      <c r="AE65" s="438"/>
      <c r="AF65" s="438"/>
      <c r="AL65" s="1143"/>
      <c r="AM65" s="64"/>
      <c r="AN65" s="64"/>
      <c r="AO65" s="64"/>
      <c r="AP65" s="64"/>
    </row>
    <row r="66" spans="2:42" ht="14.1">
      <c r="B66" s="65" t="s">
        <v>175</v>
      </c>
      <c r="D66" s="16" t="s">
        <v>176</v>
      </c>
      <c r="V66" s="438"/>
      <c r="W66" s="438"/>
      <c r="X66" s="438"/>
      <c r="Y66" s="438"/>
      <c r="Z66" s="438"/>
      <c r="AA66" s="438"/>
      <c r="AB66" s="438"/>
      <c r="AC66" s="438"/>
      <c r="AD66" s="438"/>
      <c r="AE66" s="438"/>
      <c r="AF66" s="438"/>
    </row>
    <row r="67" spans="2:42" ht="14.1">
      <c r="B67" s="65" t="s">
        <v>177</v>
      </c>
      <c r="C67" s="16"/>
      <c r="D67" s="16" t="s">
        <v>178</v>
      </c>
      <c r="V67" s="438"/>
      <c r="W67" s="438"/>
      <c r="X67" s="438"/>
      <c r="Y67" s="438"/>
      <c r="Z67" s="438"/>
      <c r="AA67" s="438"/>
      <c r="AB67" s="438"/>
      <c r="AC67" s="438"/>
      <c r="AD67" s="438"/>
      <c r="AE67" s="438"/>
      <c r="AF67" s="438"/>
    </row>
    <row r="68" spans="2:42">
      <c r="B68" s="65" t="s">
        <v>179</v>
      </c>
      <c r="C68" s="16"/>
      <c r="D68" s="16" t="s">
        <v>180</v>
      </c>
    </row>
    <row r="69" spans="2:42">
      <c r="B69" s="65"/>
      <c r="D69" s="16"/>
    </row>
    <row r="72" spans="2:42">
      <c r="B72" s="1151" t="s">
        <v>181</v>
      </c>
      <c r="C72" s="1151"/>
      <c r="D72" s="1151"/>
      <c r="E72" s="1151"/>
      <c r="F72" s="1151"/>
      <c r="G72" s="1151"/>
      <c r="H72" s="1151"/>
      <c r="I72" s="1151"/>
      <c r="J72" s="1151"/>
      <c r="K72" s="1151"/>
      <c r="L72" s="1151"/>
      <c r="M72" s="1151"/>
      <c r="N72" s="1151"/>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c r="AK72" s="386"/>
    </row>
    <row r="73" spans="2:42" s="17" customFormat="1">
      <c r="B73" s="1151"/>
      <c r="C73" s="1151"/>
      <c r="D73" s="1151"/>
      <c r="E73" s="1151"/>
      <c r="F73" s="1151"/>
      <c r="G73" s="1151"/>
      <c r="H73" s="1151"/>
      <c r="I73" s="1151"/>
      <c r="J73" s="1151"/>
      <c r="K73" s="1151"/>
      <c r="L73" s="1151"/>
      <c r="M73" s="1151"/>
      <c r="N73" s="1151"/>
      <c r="O73" s="1151"/>
      <c r="P73" s="1151"/>
      <c r="Q73" s="1151"/>
      <c r="R73" s="1151"/>
      <c r="S73" s="1151"/>
      <c r="T73" s="1151"/>
      <c r="U73" s="1151"/>
      <c r="V73" s="1151"/>
      <c r="W73" s="1151"/>
      <c r="X73" s="1151"/>
      <c r="Y73" s="1151"/>
      <c r="Z73" s="1151"/>
      <c r="AA73" s="1151"/>
      <c r="AB73" s="1151"/>
      <c r="AC73" s="1151"/>
      <c r="AD73" s="1151"/>
      <c r="AE73" s="1151"/>
      <c r="AF73" s="1151"/>
      <c r="AG73" s="1151"/>
      <c r="AH73" s="1151"/>
      <c r="AI73" s="1151"/>
      <c r="AJ73" s="1151"/>
      <c r="AK73" s="386"/>
      <c r="AL73" s="1136"/>
    </row>
    <row r="74" spans="2:42">
      <c r="B74" s="1150" t="s">
        <v>182</v>
      </c>
      <c r="C74" s="1150"/>
      <c r="D74" s="1150"/>
      <c r="E74" s="1150"/>
      <c r="F74" s="1150"/>
      <c r="G74" s="1150"/>
      <c r="H74" s="1150"/>
      <c r="I74" s="1150"/>
      <c r="J74" s="1150"/>
      <c r="K74" s="1150"/>
      <c r="L74" s="1150"/>
      <c r="M74" s="1150"/>
      <c r="N74" s="1150"/>
      <c r="O74" s="1150"/>
      <c r="P74" s="1150"/>
      <c r="Q74" s="1150"/>
      <c r="R74" s="1150"/>
      <c r="S74" s="1150"/>
      <c r="T74" s="1150"/>
      <c r="U74" s="1150"/>
      <c r="V74" s="1150"/>
      <c r="W74" s="1150"/>
      <c r="X74" s="1150"/>
      <c r="Y74" s="1150"/>
      <c r="Z74" s="1150"/>
      <c r="AA74" s="1150"/>
      <c r="AB74" s="1150"/>
      <c r="AC74" s="1150"/>
      <c r="AD74" s="1150"/>
      <c r="AE74" s="1150"/>
      <c r="AF74" s="1150"/>
      <c r="AG74" s="1150"/>
      <c r="AH74" s="1150"/>
      <c r="AI74" s="1150"/>
      <c r="AJ74" s="1150"/>
      <c r="AK74" s="1135"/>
    </row>
    <row r="75" spans="2:42">
      <c r="B75" s="57"/>
      <c r="C75" s="57"/>
      <c r="D75" s="57"/>
      <c r="E75" s="57"/>
      <c r="F75" s="3"/>
      <c r="G75" s="3"/>
      <c r="H75" s="57"/>
      <c r="I75" s="57"/>
      <c r="J75" s="57"/>
      <c r="K75" s="57"/>
      <c r="L75" s="57"/>
      <c r="M75" s="57"/>
      <c r="N75" s="57"/>
      <c r="O75" s="57"/>
      <c r="P75" s="57"/>
      <c r="Q75" s="57"/>
      <c r="R75" s="4"/>
      <c r="S75" s="4"/>
    </row>
    <row r="76" spans="2:42">
      <c r="B76" s="3"/>
      <c r="C76" s="3"/>
      <c r="D76" s="3"/>
      <c r="E76" s="3"/>
      <c r="F76" s="1153"/>
      <c r="G76" s="1153"/>
    </row>
    <row r="77" spans="2:42">
      <c r="B77" s="5"/>
      <c r="C77" s="5"/>
      <c r="D77" s="5"/>
      <c r="E77" s="5"/>
      <c r="F77" s="6" t="s">
        <v>93</v>
      </c>
      <c r="G77" s="58"/>
      <c r="H77" s="1152" t="s">
        <v>94</v>
      </c>
      <c r="I77" s="1152"/>
      <c r="J77" s="1152"/>
      <c r="K77" s="1152"/>
      <c r="L77" s="1152"/>
      <c r="M77" s="1152"/>
      <c r="N77" s="1152"/>
      <c r="O77" s="1152"/>
      <c r="P77" s="1152"/>
      <c r="Q77" s="1152"/>
      <c r="R77" s="1152"/>
      <c r="S77" s="1152"/>
      <c r="V77" s="1154" t="s">
        <v>95</v>
      </c>
      <c r="W77" s="1154"/>
      <c r="X77" s="1154"/>
      <c r="Y77" s="1154"/>
      <c r="Z77" s="1154"/>
      <c r="AA77" s="1154"/>
      <c r="AB77" s="1154"/>
      <c r="AC77" s="1154"/>
      <c r="AD77" s="1154"/>
      <c r="AE77" s="1154"/>
      <c r="AF77" s="1154"/>
      <c r="AG77" s="1154"/>
      <c r="AH77" s="1154"/>
    </row>
    <row r="78" spans="2:42">
      <c r="B78" s="5" t="s">
        <v>56</v>
      </c>
      <c r="C78" s="58"/>
      <c r="E78" s="6"/>
      <c r="F78" s="137" t="s">
        <v>96</v>
      </c>
      <c r="G78" s="114"/>
      <c r="H78" s="137"/>
      <c r="I78" s="114"/>
      <c r="J78" s="137" t="s">
        <v>97</v>
      </c>
      <c r="K78" s="137"/>
      <c r="L78" s="114"/>
      <c r="M78" s="114"/>
      <c r="N78" s="137" t="s">
        <v>98</v>
      </c>
      <c r="O78" s="137"/>
      <c r="P78" s="137"/>
      <c r="Q78" s="137"/>
      <c r="R78" s="137" t="s">
        <v>99</v>
      </c>
      <c r="S78" s="137"/>
      <c r="T78" s="137" t="s">
        <v>100</v>
      </c>
      <c r="U78" s="114"/>
      <c r="V78" s="114" t="s">
        <v>101</v>
      </c>
      <c r="W78" s="114"/>
      <c r="X78" s="17"/>
      <c r="Y78" s="137"/>
      <c r="Z78" s="137"/>
      <c r="AA78" s="114"/>
      <c r="AB78" s="137" t="s">
        <v>97</v>
      </c>
      <c r="AC78" s="114"/>
      <c r="AD78" s="140" t="s">
        <v>98</v>
      </c>
      <c r="AE78" s="140"/>
      <c r="AF78" s="140"/>
      <c r="AG78" s="140"/>
      <c r="AH78" s="140" t="s">
        <v>99</v>
      </c>
      <c r="AI78" s="137"/>
      <c r="AJ78" s="137" t="s">
        <v>102</v>
      </c>
      <c r="AK78" s="137"/>
      <c r="AL78" s="1137" t="s">
        <v>103</v>
      </c>
    </row>
    <row r="79" spans="2:42">
      <c r="B79" s="237" t="s">
        <v>57</v>
      </c>
      <c r="C79" s="58"/>
      <c r="D79" s="59" t="s">
        <v>104</v>
      </c>
      <c r="E79" s="6"/>
      <c r="F79" s="139" t="s">
        <v>105</v>
      </c>
      <c r="G79" s="114"/>
      <c r="H79" s="139" t="s">
        <v>106</v>
      </c>
      <c r="I79" s="114"/>
      <c r="J79" s="139" t="s">
        <v>183</v>
      </c>
      <c r="K79" s="137"/>
      <c r="L79" s="433"/>
      <c r="M79" s="433"/>
      <c r="N79" s="139" t="s">
        <v>108</v>
      </c>
      <c r="O79" s="137"/>
      <c r="P79" s="139" t="s">
        <v>109</v>
      </c>
      <c r="Q79" s="137"/>
      <c r="R79" s="139" t="s">
        <v>110</v>
      </c>
      <c r="S79" s="137"/>
      <c r="T79" s="139" t="s">
        <v>101</v>
      </c>
      <c r="U79" s="114"/>
      <c r="V79" s="199" t="s">
        <v>111</v>
      </c>
      <c r="W79" s="114"/>
      <c r="X79" s="139" t="s">
        <v>112</v>
      </c>
      <c r="Y79" s="137"/>
      <c r="Z79" s="139"/>
      <c r="AA79" s="114"/>
      <c r="AB79" s="139" t="s">
        <v>107</v>
      </c>
      <c r="AC79" s="114"/>
      <c r="AD79" s="199" t="s">
        <v>108</v>
      </c>
      <c r="AE79" s="140"/>
      <c r="AF79" s="199" t="s">
        <v>109</v>
      </c>
      <c r="AG79" s="140"/>
      <c r="AH79" s="199" t="s">
        <v>110</v>
      </c>
      <c r="AI79" s="137"/>
      <c r="AJ79" s="139" t="s">
        <v>113</v>
      </c>
      <c r="AK79" s="137"/>
      <c r="AL79" s="1138" t="s">
        <v>114</v>
      </c>
    </row>
    <row r="80" spans="2:42" ht="12.95">
      <c r="B80" s="6"/>
      <c r="C80" s="58"/>
      <c r="D80" s="58"/>
      <c r="E80" s="6"/>
      <c r="F80" s="6" t="s">
        <v>9</v>
      </c>
      <c r="G80" s="128"/>
      <c r="H80" s="6" t="s">
        <v>10</v>
      </c>
      <c r="I80" s="6"/>
      <c r="J80" s="6" t="s">
        <v>58</v>
      </c>
      <c r="K80" s="6"/>
      <c r="L80" s="6"/>
      <c r="M80" s="6"/>
      <c r="N80" s="6" t="s">
        <v>12</v>
      </c>
      <c r="O80" s="6"/>
      <c r="P80" s="6" t="s">
        <v>13</v>
      </c>
      <c r="Q80" s="6"/>
      <c r="R80" s="6" t="s">
        <v>115</v>
      </c>
      <c r="S80" s="6"/>
      <c r="T80" s="6" t="s">
        <v>184</v>
      </c>
      <c r="V80" s="1" t="s">
        <v>117</v>
      </c>
      <c r="W80" s="1"/>
      <c r="X80" s="1" t="s">
        <v>118</v>
      </c>
      <c r="Y80" s="1"/>
      <c r="Z80" s="1"/>
      <c r="AA80" s="1"/>
      <c r="AB80" s="1" t="s">
        <v>119</v>
      </c>
      <c r="AC80" s="1"/>
      <c r="AD80" s="1" t="s">
        <v>120</v>
      </c>
      <c r="AE80" s="1"/>
      <c r="AF80" s="1" t="s">
        <v>121</v>
      </c>
      <c r="AG80" s="1"/>
      <c r="AH80" s="1" t="s">
        <v>122</v>
      </c>
      <c r="AJ80" s="2" t="s">
        <v>123</v>
      </c>
      <c r="AL80" s="1134" t="s">
        <v>124</v>
      </c>
    </row>
    <row r="81" spans="2:42" ht="12.95">
      <c r="B81" s="6"/>
      <c r="C81" s="58"/>
      <c r="D81" s="9" t="s">
        <v>125</v>
      </c>
      <c r="E81" s="6"/>
      <c r="F81" s="128"/>
      <c r="G81" s="60"/>
      <c r="H81" s="6"/>
      <c r="I81" s="61"/>
      <c r="J81" s="61"/>
      <c r="K81" s="61"/>
      <c r="L81" s="61"/>
      <c r="M81" s="61"/>
      <c r="N81" s="6"/>
      <c r="O81" s="6"/>
      <c r="P81" s="6"/>
      <c r="Q81" s="6"/>
      <c r="R81" s="6"/>
      <c r="S81" s="6"/>
      <c r="T81" s="6"/>
    </row>
    <row r="82" spans="2:42">
      <c r="B82" s="6">
        <v>1</v>
      </c>
      <c r="C82" s="58"/>
      <c r="D82" s="10" t="s">
        <v>127</v>
      </c>
      <c r="E82" s="6"/>
      <c r="F82" s="29">
        <v>1035291.5955431826</v>
      </c>
      <c r="G82" s="29"/>
      <c r="H82" s="29">
        <v>44808.586642691822</v>
      </c>
      <c r="I82" s="29"/>
      <c r="J82" s="29">
        <v>15787.788096522025</v>
      </c>
      <c r="K82" s="29"/>
      <c r="L82" s="29"/>
      <c r="M82" s="29"/>
      <c r="N82" s="29">
        <v>0</v>
      </c>
      <c r="O82" s="29"/>
      <c r="P82" s="29">
        <v>0</v>
      </c>
      <c r="Q82" s="29"/>
      <c r="R82" s="29">
        <v>0</v>
      </c>
      <c r="S82" s="434"/>
      <c r="T82" s="64">
        <f t="shared" ref="T82:T88" si="11">F82-SUM(H82:R82)</f>
        <v>974695.22080396872</v>
      </c>
      <c r="V82" s="29">
        <v>26633.826197170576</v>
      </c>
      <c r="W82" s="29"/>
      <c r="X82" s="29">
        <v>68940.216666327775</v>
      </c>
      <c r="Y82" s="64"/>
      <c r="Z82" s="64"/>
      <c r="AA82" s="29"/>
      <c r="AB82" s="29">
        <v>15733.138523330314</v>
      </c>
      <c r="AC82" s="129"/>
      <c r="AD82" s="29">
        <v>0</v>
      </c>
      <c r="AE82" s="29"/>
      <c r="AF82" s="29">
        <v>0</v>
      </c>
      <c r="AH82" s="29">
        <v>0</v>
      </c>
      <c r="AJ82" s="64">
        <f t="shared" ref="AJ82:AJ91" si="12">SUM(T82:AH82)</f>
        <v>1086002.4021907973</v>
      </c>
      <c r="AK82" s="64"/>
      <c r="AL82" s="1139">
        <f>(AJ82-F82)/F82</f>
        <v>4.8982148474805733E-2</v>
      </c>
      <c r="AP82" s="388"/>
    </row>
    <row r="83" spans="2:42">
      <c r="B83" s="6">
        <v>2</v>
      </c>
      <c r="C83" s="58"/>
      <c r="D83" s="10" t="s">
        <v>128</v>
      </c>
      <c r="E83" s="6"/>
      <c r="F83" s="29">
        <v>448097.12080874079</v>
      </c>
      <c r="G83" s="29"/>
      <c r="H83" s="29">
        <v>23394.302391068148</v>
      </c>
      <c r="I83" s="29"/>
      <c r="J83" s="29">
        <v>14219.390273088122</v>
      </c>
      <c r="K83" s="29"/>
      <c r="L83" s="29"/>
      <c r="M83" s="29"/>
      <c r="N83" s="29">
        <v>0</v>
      </c>
      <c r="O83" s="29"/>
      <c r="P83" s="29">
        <v>0</v>
      </c>
      <c r="Q83" s="29"/>
      <c r="R83" s="29">
        <v>0</v>
      </c>
      <c r="S83" s="434"/>
      <c r="T83" s="64">
        <f t="shared" si="11"/>
        <v>410483.42814458453</v>
      </c>
      <c r="V83" s="29">
        <v>11216.577293775852</v>
      </c>
      <c r="W83" s="29"/>
      <c r="X83" s="29">
        <v>31442.796874040869</v>
      </c>
      <c r="Y83" s="64"/>
      <c r="Z83" s="64"/>
      <c r="AA83" s="29"/>
      <c r="AB83" s="29">
        <v>14170.169723336643</v>
      </c>
      <c r="AC83" s="129"/>
      <c r="AD83" s="29">
        <v>0</v>
      </c>
      <c r="AE83" s="29"/>
      <c r="AF83" s="29">
        <v>0</v>
      </c>
      <c r="AH83" s="29">
        <v>0</v>
      </c>
      <c r="AJ83" s="64">
        <f t="shared" si="12"/>
        <v>467312.97203573788</v>
      </c>
      <c r="AK83" s="64"/>
      <c r="AL83" s="1139">
        <f t="shared" ref="AL83:AL93" si="13">(AJ83-F83)/F83</f>
        <v>4.2883228511523749E-2</v>
      </c>
      <c r="AP83" s="388"/>
    </row>
    <row r="84" spans="2:42">
      <c r="B84" s="6">
        <v>3</v>
      </c>
      <c r="C84" s="58"/>
      <c r="D84" s="10" t="s">
        <v>129</v>
      </c>
      <c r="E84" s="6"/>
      <c r="F84" s="29">
        <v>2060.3986803822677</v>
      </c>
      <c r="G84" s="29"/>
      <c r="H84" s="29">
        <v>0</v>
      </c>
      <c r="I84" s="29"/>
      <c r="J84" s="29">
        <v>0</v>
      </c>
      <c r="K84" s="29"/>
      <c r="L84" s="29"/>
      <c r="M84" s="29"/>
      <c r="N84" s="29">
        <v>0</v>
      </c>
      <c r="O84" s="29"/>
      <c r="P84" s="29">
        <v>0</v>
      </c>
      <c r="Q84" s="29"/>
      <c r="R84" s="29">
        <v>0</v>
      </c>
      <c r="S84" s="434"/>
      <c r="T84" s="64">
        <f t="shared" si="11"/>
        <v>2060.3986803822677</v>
      </c>
      <c r="V84" s="29">
        <v>56.300984327097453</v>
      </c>
      <c r="W84" s="29"/>
      <c r="X84" s="29">
        <v>272.41532868845394</v>
      </c>
      <c r="Y84" s="64"/>
      <c r="Z84" s="64"/>
      <c r="AA84" s="29"/>
      <c r="AB84" s="29">
        <v>0</v>
      </c>
      <c r="AC84" s="129"/>
      <c r="AD84" s="29">
        <v>0</v>
      </c>
      <c r="AE84" s="29"/>
      <c r="AF84" s="29">
        <v>0</v>
      </c>
      <c r="AH84" s="29">
        <v>0</v>
      </c>
      <c r="AJ84" s="64">
        <f t="shared" si="12"/>
        <v>2389.114993397819</v>
      </c>
      <c r="AK84" s="64"/>
      <c r="AL84" s="1139">
        <f t="shared" si="13"/>
        <v>0.15954014926594901</v>
      </c>
      <c r="AP84" s="388"/>
    </row>
    <row r="85" spans="2:42">
      <c r="B85" s="6">
        <v>4</v>
      </c>
      <c r="C85" s="58"/>
      <c r="D85" s="10" t="s">
        <v>130</v>
      </c>
      <c r="E85" s="6"/>
      <c r="F85" s="29">
        <v>36742.485782243326</v>
      </c>
      <c r="G85" s="29"/>
      <c r="H85" s="29">
        <v>2516.360725763338</v>
      </c>
      <c r="I85" s="29"/>
      <c r="J85" s="29">
        <v>730.61878451440805</v>
      </c>
      <c r="K85" s="29"/>
      <c r="L85" s="29"/>
      <c r="M85" s="29"/>
      <c r="N85" s="29">
        <v>0</v>
      </c>
      <c r="O85" s="29"/>
      <c r="P85" s="29">
        <v>0</v>
      </c>
      <c r="Q85" s="29"/>
      <c r="R85" s="29">
        <v>0</v>
      </c>
      <c r="S85" s="434"/>
      <c r="T85" s="64">
        <f t="shared" si="11"/>
        <v>33495.506271965583</v>
      </c>
      <c r="V85" s="29">
        <v>915.27430666779787</v>
      </c>
      <c r="W85" s="29"/>
      <c r="X85" s="29">
        <v>2395.7420134112795</v>
      </c>
      <c r="Y85" s="64"/>
      <c r="Z85" s="64"/>
      <c r="AA85" s="29"/>
      <c r="AB85" s="29">
        <v>728.08974089566607</v>
      </c>
      <c r="AC85" s="129"/>
      <c r="AD85" s="29">
        <v>0</v>
      </c>
      <c r="AE85" s="29"/>
      <c r="AF85" s="29">
        <v>0</v>
      </c>
      <c r="AH85" s="29">
        <v>0</v>
      </c>
      <c r="AJ85" s="64">
        <f t="shared" si="12"/>
        <v>37534.612332940327</v>
      </c>
      <c r="AK85" s="64"/>
      <c r="AL85" s="1139">
        <f t="shared" si="13"/>
        <v>2.1558872075003021E-2</v>
      </c>
      <c r="AP85" s="388"/>
    </row>
    <row r="86" spans="2:42">
      <c r="B86" s="6">
        <v>5</v>
      </c>
      <c r="C86" s="58"/>
      <c r="D86" s="10" t="s">
        <v>131</v>
      </c>
      <c r="E86" s="6"/>
      <c r="F86" s="29">
        <v>6949.5231766242996</v>
      </c>
      <c r="G86" s="29"/>
      <c r="H86" s="29">
        <v>1434.7567768481215</v>
      </c>
      <c r="I86" s="29"/>
      <c r="J86" s="29">
        <v>88.058747902106859</v>
      </c>
      <c r="K86" s="29"/>
      <c r="L86" s="29"/>
      <c r="M86" s="29"/>
      <c r="N86" s="29">
        <v>0</v>
      </c>
      <c r="O86" s="29"/>
      <c r="P86" s="29">
        <v>0</v>
      </c>
      <c r="Q86" s="29"/>
      <c r="R86" s="29">
        <v>0</v>
      </c>
      <c r="S86" s="434"/>
      <c r="T86" s="64">
        <f t="shared" si="11"/>
        <v>5426.7076518740714</v>
      </c>
      <c r="V86" s="29">
        <v>148.28634155367303</v>
      </c>
      <c r="W86" s="29"/>
      <c r="X86" s="29">
        <v>1046.4385347200052</v>
      </c>
      <c r="Y86" s="64"/>
      <c r="Z86" s="64"/>
      <c r="AA86" s="29"/>
      <c r="AB86" s="29">
        <v>87.753931739182406</v>
      </c>
      <c r="AC86" s="129"/>
      <c r="AD86" s="29">
        <v>0</v>
      </c>
      <c r="AE86" s="29"/>
      <c r="AF86" s="29">
        <v>0</v>
      </c>
      <c r="AH86" s="29">
        <v>0</v>
      </c>
      <c r="AJ86" s="64">
        <f t="shared" si="12"/>
        <v>6709.1864598869315</v>
      </c>
      <c r="AK86" s="64"/>
      <c r="AL86" s="1139">
        <f t="shared" si="13"/>
        <v>-3.458319522492917E-2</v>
      </c>
      <c r="AP86" s="388"/>
    </row>
    <row r="87" spans="2:42">
      <c r="B87" s="6">
        <v>6</v>
      </c>
      <c r="C87" s="58"/>
      <c r="D87" s="10" t="s">
        <v>132</v>
      </c>
      <c r="E87" s="6"/>
      <c r="F87" s="29">
        <v>12486.257021417412</v>
      </c>
      <c r="G87" s="29"/>
      <c r="H87" s="29">
        <v>166.42587763804715</v>
      </c>
      <c r="I87" s="29"/>
      <c r="J87" s="29">
        <v>0</v>
      </c>
      <c r="K87" s="29"/>
      <c r="L87" s="29"/>
      <c r="M87" s="29"/>
      <c r="N87" s="29">
        <v>0</v>
      </c>
      <c r="O87" s="29"/>
      <c r="P87" s="29">
        <v>0</v>
      </c>
      <c r="Q87" s="29"/>
      <c r="R87" s="29">
        <v>0</v>
      </c>
      <c r="S87" s="434"/>
      <c r="T87" s="64">
        <f t="shared" si="11"/>
        <v>12319.831143779365</v>
      </c>
      <c r="V87" s="29">
        <v>336.6429161222913</v>
      </c>
      <c r="W87" s="29"/>
      <c r="X87" s="29">
        <v>174.66061005879783</v>
      </c>
      <c r="Y87" s="64"/>
      <c r="Z87" s="64"/>
      <c r="AA87" s="29"/>
      <c r="AB87" s="29">
        <v>0</v>
      </c>
      <c r="AC87" s="129"/>
      <c r="AD87" s="29">
        <v>0</v>
      </c>
      <c r="AE87" s="29"/>
      <c r="AF87" s="29">
        <v>0</v>
      </c>
      <c r="AH87" s="29">
        <v>0</v>
      </c>
      <c r="AJ87" s="64">
        <f t="shared" si="12"/>
        <v>12831.134669960455</v>
      </c>
      <c r="AK87" s="64"/>
      <c r="AL87" s="1139">
        <f t="shared" si="13"/>
        <v>2.7620579005500308E-2</v>
      </c>
      <c r="AP87" s="388"/>
    </row>
    <row r="88" spans="2:42">
      <c r="B88" s="6">
        <v>7</v>
      </c>
      <c r="C88" s="58"/>
      <c r="D88" s="10" t="s">
        <v>133</v>
      </c>
      <c r="E88" s="6"/>
      <c r="F88" s="29">
        <v>1460.7829050903183</v>
      </c>
      <c r="G88" s="29"/>
      <c r="H88" s="29">
        <v>272.10434456292859</v>
      </c>
      <c r="I88" s="29"/>
      <c r="J88" s="29">
        <v>0</v>
      </c>
      <c r="K88" s="29"/>
      <c r="L88" s="29"/>
      <c r="M88" s="29"/>
      <c r="N88" s="29">
        <v>0</v>
      </c>
      <c r="O88" s="29"/>
      <c r="P88" s="29">
        <v>0</v>
      </c>
      <c r="Q88" s="29"/>
      <c r="R88" s="29">
        <v>0</v>
      </c>
      <c r="S88" s="434"/>
      <c r="T88" s="64">
        <f t="shared" si="11"/>
        <v>1188.6785605273897</v>
      </c>
      <c r="V88" s="29">
        <v>32.480982269796861</v>
      </c>
      <c r="W88" s="29"/>
      <c r="X88" s="29">
        <v>979.65831828089802</v>
      </c>
      <c r="Y88" s="64"/>
      <c r="Z88" s="64"/>
      <c r="AA88" s="29"/>
      <c r="AB88" s="29">
        <v>0</v>
      </c>
      <c r="AC88" s="129"/>
      <c r="AD88" s="29">
        <v>0</v>
      </c>
      <c r="AE88" s="29"/>
      <c r="AF88" s="29">
        <v>0</v>
      </c>
      <c r="AH88" s="29">
        <v>0</v>
      </c>
      <c r="AJ88" s="64">
        <f t="shared" si="12"/>
        <v>2200.8178610780847</v>
      </c>
      <c r="AK88" s="64"/>
      <c r="AL88" s="1139">
        <f t="shared" si="13"/>
        <v>0.50660159932663706</v>
      </c>
      <c r="AP88" s="388"/>
    </row>
    <row r="89" spans="2:42">
      <c r="B89" s="6">
        <v>8</v>
      </c>
      <c r="C89" s="58"/>
      <c r="D89" s="10" t="s">
        <v>134</v>
      </c>
      <c r="E89" s="6"/>
      <c r="F89" s="29">
        <v>1607.6087913876304</v>
      </c>
      <c r="G89" s="29"/>
      <c r="H89" s="29">
        <v>1207.1106419743426</v>
      </c>
      <c r="I89" s="29"/>
      <c r="J89" s="29">
        <v>23.910450696564268</v>
      </c>
      <c r="K89" s="29"/>
      <c r="L89" s="29"/>
      <c r="M89" s="29"/>
      <c r="N89" s="29">
        <v>0</v>
      </c>
      <c r="O89" s="29"/>
      <c r="P89" s="29">
        <v>0</v>
      </c>
      <c r="Q89" s="29"/>
      <c r="R89" s="29">
        <v>0</v>
      </c>
      <c r="S89" s="434"/>
      <c r="T89" s="64">
        <v>698.08225079226156</v>
      </c>
      <c r="V89" s="29">
        <v>19.075297531052627</v>
      </c>
      <c r="W89" s="29"/>
      <c r="X89" s="29">
        <v>319.36496185339922</v>
      </c>
      <c r="Y89" s="64"/>
      <c r="Z89" s="64"/>
      <c r="AA89" s="29"/>
      <c r="AB89" s="29">
        <v>23.82768445233804</v>
      </c>
      <c r="AC89" s="129"/>
      <c r="AD89" s="29">
        <v>0</v>
      </c>
      <c r="AE89" s="29"/>
      <c r="AF89" s="29">
        <v>0</v>
      </c>
      <c r="AH89" s="29">
        <v>0</v>
      </c>
      <c r="AJ89" s="64">
        <f t="shared" si="12"/>
        <v>1060.3501946290512</v>
      </c>
      <c r="AK89" s="64"/>
      <c r="AL89" s="1139">
        <f t="shared" si="13"/>
        <v>-0.34041776811024099</v>
      </c>
      <c r="AP89" s="388"/>
    </row>
    <row r="90" spans="2:42">
      <c r="B90" s="6">
        <v>9</v>
      </c>
      <c r="C90" s="58"/>
      <c r="D90" s="10" t="s">
        <v>135</v>
      </c>
      <c r="E90" s="6"/>
      <c r="F90" s="29">
        <v>3220.0407281076373</v>
      </c>
      <c r="G90" s="29"/>
      <c r="H90" s="29">
        <v>2367.9615555349337</v>
      </c>
      <c r="I90" s="29"/>
      <c r="J90" s="29">
        <v>215.84879949943192</v>
      </c>
      <c r="K90" s="29"/>
      <c r="L90" s="29"/>
      <c r="M90" s="29"/>
      <c r="N90" s="29">
        <v>0</v>
      </c>
      <c r="O90" s="29"/>
      <c r="P90" s="29">
        <v>0</v>
      </c>
      <c r="Q90" s="29"/>
      <c r="R90" s="29">
        <v>0</v>
      </c>
      <c r="S90" s="434"/>
      <c r="T90" s="64">
        <v>2357.1329066001058</v>
      </c>
      <c r="V90" s="29">
        <v>64.40933208458307</v>
      </c>
      <c r="W90" s="29"/>
      <c r="X90" s="29">
        <v>367.27241531614288</v>
      </c>
      <c r="Y90" s="64"/>
      <c r="Z90" s="64"/>
      <c r="AA90" s="29"/>
      <c r="AB90" s="29">
        <v>215.10163690170319</v>
      </c>
      <c r="AC90" s="129"/>
      <c r="AD90" s="29">
        <v>0</v>
      </c>
      <c r="AE90" s="29"/>
      <c r="AF90" s="29">
        <v>0</v>
      </c>
      <c r="AH90" s="29">
        <v>0</v>
      </c>
      <c r="AJ90" s="64">
        <f t="shared" si="12"/>
        <v>3003.9162909025354</v>
      </c>
      <c r="AK90" s="64"/>
      <c r="AL90" s="1139">
        <f t="shared" si="13"/>
        <v>-6.7118541488794939E-2</v>
      </c>
      <c r="AP90" s="388"/>
    </row>
    <row r="91" spans="2:42">
      <c r="B91" s="6">
        <v>10</v>
      </c>
      <c r="C91" s="58"/>
      <c r="D91" s="10" t="s">
        <v>136</v>
      </c>
      <c r="E91" s="6"/>
      <c r="F91" s="29">
        <v>5186.9779126087069</v>
      </c>
      <c r="G91" s="29"/>
      <c r="H91" s="29">
        <v>40.750410090988815</v>
      </c>
      <c r="I91" s="29"/>
      <c r="J91" s="29">
        <v>550.32869750354416</v>
      </c>
      <c r="K91" s="29"/>
      <c r="L91" s="29"/>
      <c r="M91" s="29"/>
      <c r="N91" s="29">
        <v>0</v>
      </c>
      <c r="O91" s="29"/>
      <c r="P91" s="29">
        <v>0</v>
      </c>
      <c r="Q91" s="29"/>
      <c r="R91" s="29">
        <v>0</v>
      </c>
      <c r="S91" s="434"/>
      <c r="T91" s="64">
        <f>F91-SUM(H91:R91)</f>
        <v>4595.8988050141743</v>
      </c>
      <c r="V91" s="29">
        <v>125.58425175365656</v>
      </c>
      <c r="W91" s="29"/>
      <c r="X91" s="29">
        <v>42.257140600837147</v>
      </c>
      <c r="Y91" s="64"/>
      <c r="Z91" s="64"/>
      <c r="AA91" s="29"/>
      <c r="AB91" s="29">
        <v>548.42372967335484</v>
      </c>
      <c r="AC91" s="129"/>
      <c r="AD91" s="29">
        <v>0</v>
      </c>
      <c r="AE91" s="29"/>
      <c r="AF91" s="29">
        <v>0</v>
      </c>
      <c r="AH91" s="29">
        <v>0</v>
      </c>
      <c r="AJ91" s="64">
        <f t="shared" si="12"/>
        <v>5312.1639270420228</v>
      </c>
      <c r="AK91" s="64"/>
      <c r="AL91" s="1139">
        <f t="shared" si="13"/>
        <v>2.4134672740558406E-2</v>
      </c>
      <c r="AP91" s="388"/>
    </row>
    <row r="92" spans="2:42" ht="12.95">
      <c r="B92" s="6">
        <v>11</v>
      </c>
      <c r="C92" s="58"/>
      <c r="D92" s="10" t="s">
        <v>137</v>
      </c>
      <c r="E92" s="6"/>
      <c r="F92" s="29">
        <v>0</v>
      </c>
      <c r="G92" s="29"/>
      <c r="H92" s="29">
        <v>0</v>
      </c>
      <c r="I92" s="29"/>
      <c r="J92" s="29">
        <v>0</v>
      </c>
      <c r="K92" s="29"/>
      <c r="L92" s="29"/>
      <c r="M92" s="29"/>
      <c r="N92" s="29">
        <v>0</v>
      </c>
      <c r="O92" s="29"/>
      <c r="P92" s="29">
        <v>0</v>
      </c>
      <c r="Q92" s="29"/>
      <c r="R92" s="29">
        <v>0</v>
      </c>
      <c r="S92" s="141"/>
      <c r="V92" s="29">
        <v>0</v>
      </c>
      <c r="W92" s="29"/>
      <c r="X92" s="29">
        <v>0</v>
      </c>
      <c r="Y92" s="129"/>
      <c r="Z92" s="129"/>
      <c r="AA92" s="29"/>
      <c r="AB92" s="29">
        <v>0</v>
      </c>
      <c r="AC92" s="129"/>
      <c r="AD92" s="29">
        <v>0</v>
      </c>
      <c r="AE92" s="29"/>
      <c r="AF92" s="29">
        <v>0</v>
      </c>
      <c r="AH92" s="29">
        <v>0</v>
      </c>
      <c r="AL92" s="1139"/>
      <c r="AP92" s="388"/>
    </row>
    <row r="93" spans="2:42">
      <c r="B93" s="6">
        <v>12</v>
      </c>
      <c r="C93" s="58"/>
      <c r="D93" s="2" t="s">
        <v>138</v>
      </c>
      <c r="E93" s="6"/>
      <c r="F93" s="131">
        <f>SUM(F82:F92)</f>
        <v>1553102.7913497847</v>
      </c>
      <c r="G93" s="132"/>
      <c r="H93" s="131">
        <f>SUM(H82:H92)</f>
        <v>76208.359366172677</v>
      </c>
      <c r="I93" s="132"/>
      <c r="J93" s="131">
        <f>SUM(J82:J92)</f>
        <v>31615.943849726202</v>
      </c>
      <c r="K93" s="132"/>
      <c r="L93" s="131"/>
      <c r="M93" s="132"/>
      <c r="N93" s="131">
        <f>SUM(N82:N92)</f>
        <v>0</v>
      </c>
      <c r="O93" s="132"/>
      <c r="P93" s="131">
        <f>SUM(P82:P92)</f>
        <v>0</v>
      </c>
      <c r="Q93" s="132"/>
      <c r="R93" s="131">
        <f>SUM(R82:R92)</f>
        <v>0</v>
      </c>
      <c r="S93" s="63"/>
      <c r="T93" s="131">
        <f>SUM(T82:T92)</f>
        <v>1447320.8852194883</v>
      </c>
      <c r="V93" s="131">
        <f>SUM(V82:V92)</f>
        <v>39548.457903256378</v>
      </c>
      <c r="W93" s="129"/>
      <c r="X93" s="131">
        <f>SUM(X82:X92)</f>
        <v>105980.82286329844</v>
      </c>
      <c r="Y93" s="129"/>
      <c r="Z93" s="129"/>
      <c r="AA93" s="129"/>
      <c r="AB93" s="131">
        <f>SUM(AB82:AB92)</f>
        <v>31506.504970329202</v>
      </c>
      <c r="AC93" s="129"/>
      <c r="AD93" s="131">
        <f>SUM(AD82:AD92)</f>
        <v>0</v>
      </c>
      <c r="AE93" s="129"/>
      <c r="AF93" s="131">
        <f>SUM(AF82:AF92)</f>
        <v>0</v>
      </c>
      <c r="AH93" s="131">
        <f>SUM(AH82:AH92)</f>
        <v>0</v>
      </c>
      <c r="AJ93" s="131">
        <f>SUM(AJ82:AJ92)</f>
        <v>1624356.6709563723</v>
      </c>
      <c r="AK93" s="132"/>
      <c r="AL93" s="1140">
        <f t="shared" si="13"/>
        <v>4.5878405475442877E-2</v>
      </c>
      <c r="AP93" s="388"/>
    </row>
    <row r="94" spans="2:42" ht="12.95">
      <c r="B94" s="6"/>
      <c r="C94" s="58"/>
      <c r="D94" s="58"/>
      <c r="E94" s="6"/>
      <c r="F94" s="133"/>
      <c r="G94" s="133"/>
      <c r="H94" s="132"/>
      <c r="I94" s="133"/>
      <c r="J94" s="133"/>
      <c r="K94" s="133"/>
      <c r="L94" s="133"/>
      <c r="M94" s="133"/>
      <c r="N94" s="132"/>
      <c r="O94" s="133"/>
      <c r="P94" s="133"/>
      <c r="Q94" s="133"/>
      <c r="R94" s="435"/>
      <c r="S94" s="63"/>
      <c r="T94" s="6"/>
      <c r="V94" s="129"/>
      <c r="W94" s="129"/>
      <c r="X94" s="129"/>
      <c r="Y94" s="129"/>
      <c r="Z94" s="129"/>
      <c r="AA94" s="129"/>
      <c r="AB94" s="129"/>
      <c r="AC94" s="129"/>
      <c r="AD94" s="129"/>
      <c r="AE94" s="129"/>
      <c r="AL94" s="1141"/>
      <c r="AP94" s="388"/>
    </row>
    <row r="95" spans="2:42" ht="12.95">
      <c r="B95" s="6"/>
      <c r="C95" s="58"/>
      <c r="D95" s="9" t="s">
        <v>139</v>
      </c>
      <c r="E95" s="6"/>
      <c r="F95" s="133"/>
      <c r="G95" s="133"/>
      <c r="H95" s="132"/>
      <c r="I95" s="133"/>
      <c r="J95" s="133"/>
      <c r="K95" s="133"/>
      <c r="L95" s="133"/>
      <c r="M95" s="133"/>
      <c r="N95" s="132"/>
      <c r="O95" s="133"/>
      <c r="P95" s="133"/>
      <c r="Q95" s="133"/>
      <c r="R95" s="62"/>
      <c r="S95" s="63"/>
      <c r="T95" s="6"/>
      <c r="V95" s="129"/>
      <c r="W95" s="129"/>
      <c r="X95" s="129"/>
      <c r="Y95" s="129"/>
      <c r="Z95" s="129"/>
      <c r="AA95" s="129"/>
      <c r="AB95" s="129"/>
      <c r="AC95" s="129"/>
      <c r="AD95" s="129"/>
      <c r="AE95" s="129"/>
      <c r="AL95" s="1141"/>
      <c r="AP95" s="388"/>
    </row>
    <row r="96" spans="2:42">
      <c r="B96" s="6">
        <v>13</v>
      </c>
      <c r="C96" s="58"/>
      <c r="D96" s="10" t="s">
        <v>140</v>
      </c>
      <c r="E96" s="6"/>
      <c r="F96" s="29">
        <v>224946.19597039357</v>
      </c>
      <c r="G96" s="29"/>
      <c r="H96" s="29">
        <v>5811.0881205523092</v>
      </c>
      <c r="I96" s="29"/>
      <c r="J96" s="29">
        <v>2800.9558375251618</v>
      </c>
      <c r="K96" s="29"/>
      <c r="L96" s="29"/>
      <c r="M96" s="29"/>
      <c r="N96" s="29">
        <v>0</v>
      </c>
      <c r="O96" s="29"/>
      <c r="P96" s="29">
        <v>0</v>
      </c>
      <c r="Q96" s="29"/>
      <c r="R96" s="29">
        <v>0</v>
      </c>
      <c r="S96" s="434"/>
      <c r="T96" s="64">
        <f>F96-SUM(H96:R96)</f>
        <v>216334.1520123161</v>
      </c>
      <c r="V96" s="29">
        <v>5911.3926920209406</v>
      </c>
      <c r="W96" s="29"/>
      <c r="X96" s="29">
        <v>12031.445193721327</v>
      </c>
      <c r="Y96" s="129"/>
      <c r="Z96" s="129"/>
      <c r="AA96" s="29"/>
      <c r="AB96" s="29">
        <v>2723.3095686261609</v>
      </c>
      <c r="AC96" s="129"/>
      <c r="AD96" s="29">
        <v>0</v>
      </c>
      <c r="AE96" s="29"/>
      <c r="AF96" s="29">
        <v>0</v>
      </c>
      <c r="AG96" s="29"/>
      <c r="AH96" s="29">
        <v>0</v>
      </c>
      <c r="AJ96" s="64">
        <f>SUM(T96:AH96)</f>
        <v>237000.29946668455</v>
      </c>
      <c r="AK96" s="64"/>
      <c r="AL96" s="1139">
        <f t="shared" ref="AL96:AL101" si="14">(AJ96-F96)/F96</f>
        <v>5.3586607429793945E-2</v>
      </c>
      <c r="AP96" s="388"/>
    </row>
    <row r="97" spans="2:42">
      <c r="B97" s="6">
        <v>14</v>
      </c>
      <c r="C97" s="58"/>
      <c r="D97" s="10" t="s">
        <v>141</v>
      </c>
      <c r="E97" s="6"/>
      <c r="F97" s="29">
        <v>31714.878996699263</v>
      </c>
      <c r="G97" s="29"/>
      <c r="H97" s="29">
        <v>3115.369769787249</v>
      </c>
      <c r="I97" s="29"/>
      <c r="J97" s="29">
        <v>734.4360465019023</v>
      </c>
      <c r="K97" s="29"/>
      <c r="L97" s="29"/>
      <c r="M97" s="29"/>
      <c r="N97" s="29">
        <v>0</v>
      </c>
      <c r="O97" s="29"/>
      <c r="P97" s="29">
        <v>0</v>
      </c>
      <c r="Q97" s="29"/>
      <c r="R97" s="29">
        <v>0</v>
      </c>
      <c r="S97" s="434"/>
      <c r="T97" s="64">
        <f>F97-SUM(H97:R97)</f>
        <v>27865.073180410112</v>
      </c>
      <c r="V97" s="29">
        <v>761.42110909944176</v>
      </c>
      <c r="W97" s="29"/>
      <c r="X97" s="29">
        <v>1653.5839539086912</v>
      </c>
      <c r="Y97" s="129"/>
      <c r="Z97" s="129"/>
      <c r="AA97" s="29"/>
      <c r="AB97" s="29">
        <v>714.07648995630962</v>
      </c>
      <c r="AC97" s="129"/>
      <c r="AD97" s="29">
        <v>0</v>
      </c>
      <c r="AE97" s="29"/>
      <c r="AF97" s="29">
        <v>0</v>
      </c>
      <c r="AG97" s="29"/>
      <c r="AH97" s="29">
        <v>0</v>
      </c>
      <c r="AJ97" s="64">
        <f>SUM(T97:AH97)</f>
        <v>30994.154733374558</v>
      </c>
      <c r="AK97" s="64"/>
      <c r="AL97" s="1139">
        <f t="shared" si="14"/>
        <v>-2.2725114713498161E-2</v>
      </c>
      <c r="AP97" s="388"/>
    </row>
    <row r="98" spans="2:42">
      <c r="B98" s="6">
        <v>15</v>
      </c>
      <c r="C98" s="58"/>
      <c r="D98" s="10" t="s">
        <v>142</v>
      </c>
      <c r="E98" s="6"/>
      <c r="F98" s="29">
        <v>30830.738014438422</v>
      </c>
      <c r="G98" s="29"/>
      <c r="H98" s="29">
        <v>1925.7154706035999</v>
      </c>
      <c r="I98" s="29"/>
      <c r="J98" s="29">
        <v>196.90344974972743</v>
      </c>
      <c r="K98" s="29"/>
      <c r="L98" s="29"/>
      <c r="M98" s="29"/>
      <c r="N98" s="29">
        <v>0</v>
      </c>
      <c r="O98" s="29"/>
      <c r="P98" s="29">
        <v>0</v>
      </c>
      <c r="Q98" s="29"/>
      <c r="R98" s="29">
        <v>0</v>
      </c>
      <c r="S98" s="434"/>
      <c r="T98" s="64">
        <f>F98-SUM(H98:R98)</f>
        <v>28708.119094085094</v>
      </c>
      <c r="V98" s="29">
        <v>784.45758025658404</v>
      </c>
      <c r="W98" s="29"/>
      <c r="X98" s="29">
        <v>1314.4475566860162</v>
      </c>
      <c r="Y98" s="129"/>
      <c r="Z98" s="129"/>
      <c r="AA98" s="29"/>
      <c r="AB98" s="29">
        <v>191.44502087998987</v>
      </c>
      <c r="AC98" s="129"/>
      <c r="AD98" s="29">
        <v>0</v>
      </c>
      <c r="AE98" s="29"/>
      <c r="AF98" s="29">
        <v>0</v>
      </c>
      <c r="AG98" s="29"/>
      <c r="AH98" s="29">
        <v>0</v>
      </c>
      <c r="AJ98" s="64">
        <f>SUM(T98:AH98)</f>
        <v>30998.469251907685</v>
      </c>
      <c r="AK98" s="64"/>
      <c r="AL98" s="1139">
        <f t="shared" si="14"/>
        <v>5.4403899572793941E-3</v>
      </c>
      <c r="AP98" s="388"/>
    </row>
    <row r="99" spans="2:42">
      <c r="B99" s="6">
        <v>16</v>
      </c>
      <c r="C99" s="58"/>
      <c r="D99" s="10" t="s">
        <v>143</v>
      </c>
      <c r="E99" s="6"/>
      <c r="F99" s="29">
        <v>4864.8697912580355</v>
      </c>
      <c r="G99" s="29"/>
      <c r="H99" s="29">
        <v>40.181023528609991</v>
      </c>
      <c r="I99" s="29"/>
      <c r="J99" s="29">
        <v>0</v>
      </c>
      <c r="K99" s="29"/>
      <c r="L99" s="29"/>
      <c r="M99" s="29"/>
      <c r="N99" s="29">
        <v>0</v>
      </c>
      <c r="O99" s="29"/>
      <c r="P99" s="29">
        <v>0</v>
      </c>
      <c r="Q99" s="29"/>
      <c r="R99" s="29">
        <v>0</v>
      </c>
      <c r="S99" s="434"/>
      <c r="T99" s="64">
        <f>F99-SUM(H99:R99)</f>
        <v>4824.6887677294253</v>
      </c>
      <c r="V99" s="29">
        <v>131.83600304221787</v>
      </c>
      <c r="W99" s="29"/>
      <c r="X99" s="29">
        <v>78.99750173563443</v>
      </c>
      <c r="Y99" s="129"/>
      <c r="Z99" s="129"/>
      <c r="AA99" s="29"/>
      <c r="AB99" s="29">
        <v>0</v>
      </c>
      <c r="AC99" s="129"/>
      <c r="AD99" s="29">
        <v>0</v>
      </c>
      <c r="AE99" s="29"/>
      <c r="AF99" s="29">
        <v>0</v>
      </c>
      <c r="AG99" s="29"/>
      <c r="AH99" s="29">
        <v>0</v>
      </c>
      <c r="AJ99" s="64">
        <f>SUM(T99:AH99)</f>
        <v>5035.5222725072781</v>
      </c>
      <c r="AK99" s="64"/>
      <c r="AL99" s="1139">
        <f t="shared" si="14"/>
        <v>3.5078530067936826E-2</v>
      </c>
      <c r="AP99" s="388"/>
    </row>
    <row r="100" spans="2:42">
      <c r="B100" s="6">
        <v>17</v>
      </c>
      <c r="C100" s="58"/>
      <c r="D100" s="10" t="s">
        <v>129</v>
      </c>
      <c r="E100" s="6"/>
      <c r="F100" s="29">
        <v>11804.1884031645</v>
      </c>
      <c r="G100" s="29"/>
      <c r="H100" s="29">
        <v>1224.9183929174201</v>
      </c>
      <c r="I100" s="29"/>
      <c r="J100" s="29">
        <v>13.760700020675317</v>
      </c>
      <c r="K100" s="29"/>
      <c r="L100" s="29"/>
      <c r="M100" s="29"/>
      <c r="N100" s="29">
        <v>0</v>
      </c>
      <c r="O100" s="29"/>
      <c r="P100" s="29">
        <v>0</v>
      </c>
      <c r="Q100" s="29"/>
      <c r="R100" s="29">
        <v>0</v>
      </c>
      <c r="S100" s="434"/>
      <c r="T100" s="64">
        <f>F100-SUM(H100:R100)</f>
        <v>10565.509310226405</v>
      </c>
      <c r="V100" s="29">
        <v>288.70556933791829</v>
      </c>
      <c r="W100" s="29"/>
      <c r="X100" s="29">
        <v>905.45719952283821</v>
      </c>
      <c r="Y100" s="129"/>
      <c r="Z100" s="129"/>
      <c r="AA100" s="29"/>
      <c r="AB100" s="29">
        <v>13.37923487947986</v>
      </c>
      <c r="AC100" s="129"/>
      <c r="AD100" s="29">
        <v>0</v>
      </c>
      <c r="AE100" s="29"/>
      <c r="AF100" s="29">
        <v>0</v>
      </c>
      <c r="AG100" s="29"/>
      <c r="AH100" s="29">
        <v>0</v>
      </c>
      <c r="AJ100" s="64">
        <f>SUM(T100:AH100)</f>
        <v>11773.051313966642</v>
      </c>
      <c r="AK100" s="64"/>
      <c r="AL100" s="1139">
        <f t="shared" si="14"/>
        <v>-2.6378000870869926E-3</v>
      </c>
      <c r="AP100" s="388"/>
    </row>
    <row r="101" spans="2:42">
      <c r="B101" s="6">
        <v>18</v>
      </c>
      <c r="C101" s="58"/>
      <c r="D101" s="2" t="s">
        <v>144</v>
      </c>
      <c r="E101" s="6"/>
      <c r="F101" s="131">
        <f>SUM(F96:F100)</f>
        <v>304160.87117595377</v>
      </c>
      <c r="G101" s="132"/>
      <c r="H101" s="131">
        <f>SUM(H96:H100)</f>
        <v>12117.272777389187</v>
      </c>
      <c r="I101" s="132"/>
      <c r="J101" s="131">
        <f>SUM(J96:J100)</f>
        <v>3746.0560337974666</v>
      </c>
      <c r="K101" s="132"/>
      <c r="L101" s="131"/>
      <c r="M101" s="132"/>
      <c r="N101" s="131">
        <f>SUM(N96:N100)</f>
        <v>0</v>
      </c>
      <c r="O101" s="132"/>
      <c r="P101" s="131">
        <f>SUM(P96:P100)</f>
        <v>0</v>
      </c>
      <c r="Q101" s="132"/>
      <c r="R101" s="131">
        <f>SUM(R96:R100)</f>
        <v>0</v>
      </c>
      <c r="S101" s="63"/>
      <c r="T101" s="131">
        <f>SUM(T96:T100)</f>
        <v>288297.54236476717</v>
      </c>
      <c r="V101" s="131">
        <f>SUM(V96:V100)</f>
        <v>7877.8129537571031</v>
      </c>
      <c r="W101" s="129"/>
      <c r="X101" s="131">
        <f>SUM(X96:X100)</f>
        <v>15983.931405574507</v>
      </c>
      <c r="Y101" s="129"/>
      <c r="Z101" s="129"/>
      <c r="AA101" s="129"/>
      <c r="AB101" s="131">
        <f>SUM(AB96:AB100)</f>
        <v>3642.2103143419404</v>
      </c>
      <c r="AC101" s="129"/>
      <c r="AD101" s="131">
        <f>SUM(AD96:AD100)</f>
        <v>0</v>
      </c>
      <c r="AE101" s="129"/>
      <c r="AF101" s="131">
        <f>SUM(AF96:AF100)</f>
        <v>0</v>
      </c>
      <c r="AH101" s="131">
        <f>SUM(AH96:AH100)</f>
        <v>0</v>
      </c>
      <c r="AJ101" s="131">
        <f>SUM(AJ96:AJ100)</f>
        <v>315801.49703844066</v>
      </c>
      <c r="AK101" s="132"/>
      <c r="AL101" s="1140">
        <f t="shared" si="14"/>
        <v>3.8271279989045393E-2</v>
      </c>
      <c r="AP101" s="388"/>
    </row>
    <row r="102" spans="2:42" ht="12.95">
      <c r="B102" s="6"/>
      <c r="C102" s="58"/>
      <c r="D102" s="58"/>
      <c r="E102" s="6"/>
      <c r="F102" s="133"/>
      <c r="G102" s="133"/>
      <c r="H102" s="133"/>
      <c r="I102" s="133"/>
      <c r="J102" s="133"/>
      <c r="K102" s="133"/>
      <c r="L102" s="133"/>
      <c r="M102" s="133"/>
      <c r="N102" s="132"/>
      <c r="O102" s="133"/>
      <c r="P102" s="133"/>
      <c r="Q102" s="133"/>
      <c r="R102" s="435"/>
      <c r="S102" s="141"/>
      <c r="T102" s="6"/>
      <c r="V102" s="133"/>
      <c r="W102" s="129"/>
      <c r="X102" s="133"/>
      <c r="Y102" s="129"/>
      <c r="Z102" s="129"/>
      <c r="AA102" s="129"/>
      <c r="AB102" s="133"/>
      <c r="AC102" s="129"/>
      <c r="AD102" s="129"/>
      <c r="AE102" s="129"/>
      <c r="AL102" s="1141"/>
      <c r="AP102" s="388"/>
    </row>
    <row r="103" spans="2:42" ht="12.95">
      <c r="B103" s="6"/>
      <c r="C103" s="58"/>
      <c r="D103" s="14" t="s">
        <v>145</v>
      </c>
      <c r="E103" s="6"/>
      <c r="F103" s="133"/>
      <c r="G103" s="133"/>
      <c r="H103" s="133"/>
      <c r="I103" s="133"/>
      <c r="J103" s="133"/>
      <c r="K103" s="133"/>
      <c r="L103" s="133"/>
      <c r="M103" s="133"/>
      <c r="N103" s="132"/>
      <c r="O103" s="133"/>
      <c r="P103" s="133"/>
      <c r="Q103" s="133"/>
      <c r="R103" s="435"/>
      <c r="S103" s="63"/>
      <c r="T103" s="6"/>
      <c r="V103" s="133"/>
      <c r="W103" s="129"/>
      <c r="X103" s="133"/>
      <c r="Y103" s="129"/>
      <c r="Z103" s="129"/>
      <c r="AA103" s="129"/>
      <c r="AB103" s="133"/>
      <c r="AC103" s="129"/>
      <c r="AD103" s="129"/>
      <c r="AE103" s="129"/>
      <c r="AL103" s="1141"/>
      <c r="AP103" s="388"/>
    </row>
    <row r="104" spans="2:42">
      <c r="B104" s="6">
        <v>19</v>
      </c>
      <c r="C104" s="58"/>
      <c r="D104" s="436" t="s">
        <v>146</v>
      </c>
      <c r="E104" s="6"/>
      <c r="F104" s="29">
        <v>547431.3368180152</v>
      </c>
      <c r="G104" s="29"/>
      <c r="H104" s="29">
        <v>28884.146068647893</v>
      </c>
      <c r="I104" s="29"/>
      <c r="J104" s="29">
        <v>7786.8639725367757</v>
      </c>
      <c r="K104" s="29"/>
      <c r="L104" s="29"/>
      <c r="M104" s="29"/>
      <c r="N104" s="29">
        <v>0</v>
      </c>
      <c r="O104" s="29"/>
      <c r="P104" s="29">
        <v>0</v>
      </c>
      <c r="Q104" s="29"/>
      <c r="R104" s="29">
        <v>0</v>
      </c>
      <c r="S104" s="434"/>
      <c r="T104" s="64">
        <f t="shared" ref="T104:T112" si="15">F104-SUM(H104:R104)</f>
        <v>510760.32677683054</v>
      </c>
      <c r="V104" s="29">
        <v>13956.672282196536</v>
      </c>
      <c r="W104" s="29"/>
      <c r="X104" s="29">
        <v>39316.961995591795</v>
      </c>
      <c r="Y104" s="129"/>
      <c r="Z104" s="129"/>
      <c r="AA104" s="29"/>
      <c r="AB104" s="29">
        <v>7570.9035169613735</v>
      </c>
      <c r="AC104" s="129"/>
      <c r="AD104" s="29">
        <v>0</v>
      </c>
      <c r="AE104" s="29"/>
      <c r="AF104" s="29">
        <v>0</v>
      </c>
      <c r="AG104" s="29"/>
      <c r="AH104" s="29">
        <v>0</v>
      </c>
      <c r="AJ104" s="64">
        <f t="shared" ref="AJ104:AJ112" si="16">SUM(T104:AH104)</f>
        <v>571604.8645715802</v>
      </c>
      <c r="AK104" s="64"/>
      <c r="AL104" s="1139">
        <f t="shared" ref="AL104:AL130" si="17">(AJ104-F104)/F104</f>
        <v>4.4158100071646243E-2</v>
      </c>
      <c r="AP104" s="388"/>
    </row>
    <row r="105" spans="2:42">
      <c r="B105" s="6">
        <v>20</v>
      </c>
      <c r="C105" s="58"/>
      <c r="D105" s="436" t="s">
        <v>147</v>
      </c>
      <c r="E105" s="6"/>
      <c r="F105" s="29">
        <v>93706.245549094863</v>
      </c>
      <c r="G105" s="29"/>
      <c r="H105" s="29">
        <v>12067.962053130181</v>
      </c>
      <c r="I105" s="29"/>
      <c r="J105" s="29">
        <v>2655.5326168623533</v>
      </c>
      <c r="K105" s="29"/>
      <c r="L105" s="29"/>
      <c r="M105" s="29"/>
      <c r="N105" s="29">
        <v>0</v>
      </c>
      <c r="O105" s="29"/>
      <c r="P105" s="29">
        <v>0</v>
      </c>
      <c r="Q105" s="29"/>
      <c r="R105" s="29">
        <v>0</v>
      </c>
      <c r="S105" s="434"/>
      <c r="T105" s="64">
        <f t="shared" si="15"/>
        <v>78982.750879102328</v>
      </c>
      <c r="V105" s="29">
        <v>2158.2262994511102</v>
      </c>
      <c r="W105" s="29"/>
      <c r="X105" s="29">
        <v>7054.8124410259497</v>
      </c>
      <c r="Y105" s="129"/>
      <c r="Z105" s="129"/>
      <c r="AA105" s="29"/>
      <c r="AB105" s="29">
        <v>2581.3361329181394</v>
      </c>
      <c r="AC105" s="129"/>
      <c r="AD105" s="29">
        <v>0</v>
      </c>
      <c r="AE105" s="29"/>
      <c r="AF105" s="29">
        <v>0</v>
      </c>
      <c r="AG105" s="29"/>
      <c r="AH105" s="29">
        <v>0</v>
      </c>
      <c r="AJ105" s="64">
        <f t="shared" si="16"/>
        <v>90777.125752497523</v>
      </c>
      <c r="AK105" s="64"/>
      <c r="AL105" s="1139">
        <f t="shared" si="17"/>
        <v>-3.1258533296616896E-2</v>
      </c>
      <c r="AP105" s="388"/>
    </row>
    <row r="106" spans="2:42">
      <c r="B106" s="6">
        <v>21</v>
      </c>
      <c r="C106" s="58"/>
      <c r="D106" s="436" t="s">
        <v>148</v>
      </c>
      <c r="E106" s="6"/>
      <c r="F106" s="29">
        <v>34924.005862796672</v>
      </c>
      <c r="G106" s="29"/>
      <c r="H106" s="29">
        <v>5157.8186822260795</v>
      </c>
      <c r="I106" s="29"/>
      <c r="J106" s="29">
        <v>407.9442644714328</v>
      </c>
      <c r="K106" s="29"/>
      <c r="L106" s="29"/>
      <c r="M106" s="29"/>
      <c r="N106" s="29">
        <v>0</v>
      </c>
      <c r="O106" s="29"/>
      <c r="P106" s="29">
        <v>0</v>
      </c>
      <c r="Q106" s="29"/>
      <c r="R106" s="29">
        <v>0</v>
      </c>
      <c r="S106" s="434"/>
      <c r="T106" s="64">
        <f t="shared" si="15"/>
        <v>29358.24291609916</v>
      </c>
      <c r="V106" s="29">
        <v>802.22239997928659</v>
      </c>
      <c r="W106" s="29"/>
      <c r="X106" s="29">
        <v>5535.3551001856013</v>
      </c>
      <c r="Y106" s="129"/>
      <c r="Z106" s="129"/>
      <c r="AA106" s="29"/>
      <c r="AB106" s="29">
        <v>396.63549993091806</v>
      </c>
      <c r="AC106" s="129"/>
      <c r="AD106" s="29">
        <v>0</v>
      </c>
      <c r="AE106" s="29"/>
      <c r="AF106" s="29">
        <v>0</v>
      </c>
      <c r="AG106" s="29"/>
      <c r="AH106" s="29">
        <v>0</v>
      </c>
      <c r="AJ106" s="64">
        <f t="shared" si="16"/>
        <v>36092.455916194966</v>
      </c>
      <c r="AK106" s="64"/>
      <c r="AL106" s="1139">
        <f t="shared" si="17"/>
        <v>3.3456930971455447E-2</v>
      </c>
      <c r="AP106" s="388"/>
    </row>
    <row r="107" spans="2:42">
      <c r="B107" s="6">
        <v>22</v>
      </c>
      <c r="C107" s="58"/>
      <c r="D107" s="436" t="s">
        <v>149</v>
      </c>
      <c r="E107" s="6"/>
      <c r="F107" s="29">
        <v>2673.6417933406542</v>
      </c>
      <c r="G107" s="29"/>
      <c r="H107" s="29">
        <v>513.786125051</v>
      </c>
      <c r="I107" s="29"/>
      <c r="J107" s="29">
        <v>504.22309514895608</v>
      </c>
      <c r="K107" s="29"/>
      <c r="L107" s="29"/>
      <c r="M107" s="29"/>
      <c r="N107" s="29">
        <v>0</v>
      </c>
      <c r="O107" s="29"/>
      <c r="P107" s="29">
        <v>0</v>
      </c>
      <c r="Q107" s="29"/>
      <c r="R107" s="29">
        <v>0</v>
      </c>
      <c r="S107" s="434"/>
      <c r="T107" s="64">
        <f t="shared" si="15"/>
        <v>1655.6325731406982</v>
      </c>
      <c r="V107" s="29">
        <v>45.240634465234891</v>
      </c>
      <c r="W107" s="29"/>
      <c r="X107" s="29">
        <v>388.73937828172734</v>
      </c>
      <c r="Y107" s="129"/>
      <c r="Z107" s="129"/>
      <c r="AA107" s="29"/>
      <c r="AB107" s="29">
        <v>490.24535172776291</v>
      </c>
      <c r="AC107" s="129"/>
      <c r="AD107" s="29">
        <v>0</v>
      </c>
      <c r="AE107" s="29"/>
      <c r="AF107" s="29">
        <v>0</v>
      </c>
      <c r="AG107" s="29"/>
      <c r="AH107" s="29">
        <v>0</v>
      </c>
      <c r="AJ107" s="64">
        <f t="shared" si="16"/>
        <v>2579.857937615423</v>
      </c>
      <c r="AK107" s="64"/>
      <c r="AL107" s="1139">
        <f t="shared" si="17"/>
        <v>-3.5077195441372278E-2</v>
      </c>
      <c r="AP107" s="388"/>
    </row>
    <row r="108" spans="2:42">
      <c r="B108" s="6">
        <v>23</v>
      </c>
      <c r="C108" s="58"/>
      <c r="D108" s="436" t="s">
        <v>150</v>
      </c>
      <c r="E108" s="6"/>
      <c r="F108" s="29">
        <v>28030.956525920945</v>
      </c>
      <c r="G108" s="29"/>
      <c r="H108" s="29">
        <v>2364.1091183112503</v>
      </c>
      <c r="I108" s="29"/>
      <c r="J108" s="29">
        <v>143.02737771982905</v>
      </c>
      <c r="K108" s="29"/>
      <c r="L108" s="29"/>
      <c r="M108" s="29"/>
      <c r="N108" s="29">
        <v>0</v>
      </c>
      <c r="O108" s="29"/>
      <c r="P108" s="29">
        <v>0</v>
      </c>
      <c r="Q108" s="29"/>
      <c r="R108" s="29">
        <v>0</v>
      </c>
      <c r="S108" s="434"/>
      <c r="T108" s="64">
        <f t="shared" si="15"/>
        <v>25523.820029889866</v>
      </c>
      <c r="V108" s="29">
        <v>697.44569589991909</v>
      </c>
      <c r="W108" s="29"/>
      <c r="X108" s="29">
        <v>4188.4720524989989</v>
      </c>
      <c r="Y108" s="129"/>
      <c r="Z108" s="129"/>
      <c r="AA108" s="29"/>
      <c r="AB108" s="29">
        <v>139.06246614158559</v>
      </c>
      <c r="AC108" s="129"/>
      <c r="AD108" s="29">
        <v>0</v>
      </c>
      <c r="AE108" s="29"/>
      <c r="AF108" s="29">
        <v>0</v>
      </c>
      <c r="AG108" s="29"/>
      <c r="AH108" s="29">
        <v>0</v>
      </c>
      <c r="AJ108" s="64">
        <f t="shared" si="16"/>
        <v>30548.800244430371</v>
      </c>
      <c r="AK108" s="64"/>
      <c r="AL108" s="1139">
        <f t="shared" si="17"/>
        <v>8.9823681763450042E-2</v>
      </c>
      <c r="AP108" s="388"/>
    </row>
    <row r="109" spans="2:42">
      <c r="B109" s="6">
        <v>24</v>
      </c>
      <c r="C109" s="58"/>
      <c r="D109" s="436" t="s">
        <v>151</v>
      </c>
      <c r="E109" s="6"/>
      <c r="F109" s="29">
        <v>1774.4642355456999</v>
      </c>
      <c r="G109" s="29"/>
      <c r="H109" s="29">
        <v>16.88309688</v>
      </c>
      <c r="I109" s="29"/>
      <c r="J109" s="29">
        <v>65.613483750987882</v>
      </c>
      <c r="K109" s="29"/>
      <c r="L109" s="29"/>
      <c r="M109" s="29"/>
      <c r="N109" s="29">
        <v>0</v>
      </c>
      <c r="O109" s="29"/>
      <c r="P109" s="29">
        <v>0</v>
      </c>
      <c r="Q109" s="29"/>
      <c r="R109" s="29">
        <v>0</v>
      </c>
      <c r="S109" s="434"/>
      <c r="T109" s="64">
        <f t="shared" si="15"/>
        <v>1691.9676549147121</v>
      </c>
      <c r="V109" s="29">
        <v>46.23350098614678</v>
      </c>
      <c r="W109" s="29"/>
      <c r="X109" s="29">
        <v>17.720613264513492</v>
      </c>
      <c r="Y109" s="129"/>
      <c r="Z109" s="129"/>
      <c r="AA109" s="29"/>
      <c r="AB109" s="29">
        <v>63.794589595473241</v>
      </c>
      <c r="AC109" s="129"/>
      <c r="AD109" s="29">
        <v>0</v>
      </c>
      <c r="AE109" s="29"/>
      <c r="AF109" s="29">
        <v>0</v>
      </c>
      <c r="AG109" s="29"/>
      <c r="AH109" s="29">
        <v>0</v>
      </c>
      <c r="AJ109" s="64">
        <f t="shared" si="16"/>
        <v>1819.7163587608457</v>
      </c>
      <c r="AK109" s="64"/>
      <c r="AL109" s="1139">
        <f t="shared" si="17"/>
        <v>2.5501851380639054E-2</v>
      </c>
      <c r="AP109" s="388"/>
    </row>
    <row r="110" spans="2:42">
      <c r="B110" s="6">
        <v>25</v>
      </c>
      <c r="D110" s="436" t="s">
        <v>152</v>
      </c>
      <c r="E110" s="6"/>
      <c r="F110" s="29">
        <v>14311.19900034794</v>
      </c>
      <c r="G110" s="29"/>
      <c r="H110" s="29">
        <v>1634.7029693331499</v>
      </c>
      <c r="I110" s="29"/>
      <c r="J110" s="29">
        <v>0</v>
      </c>
      <c r="K110" s="29"/>
      <c r="L110" s="29"/>
      <c r="M110" s="29"/>
      <c r="N110" s="29">
        <v>0</v>
      </c>
      <c r="O110" s="29"/>
      <c r="P110" s="29">
        <v>0</v>
      </c>
      <c r="Q110" s="29"/>
      <c r="R110" s="29">
        <v>0</v>
      </c>
      <c r="S110" s="434"/>
      <c r="T110" s="64">
        <f t="shared" si="15"/>
        <v>12676.496031014791</v>
      </c>
      <c r="V110" s="29">
        <v>346.38888636458614</v>
      </c>
      <c r="W110" s="29"/>
      <c r="X110" s="29">
        <v>965.15650932865947</v>
      </c>
      <c r="Y110" s="129"/>
      <c r="Z110" s="129"/>
      <c r="AA110" s="29"/>
      <c r="AB110" s="29">
        <v>0</v>
      </c>
      <c r="AC110" s="129"/>
      <c r="AD110" s="29">
        <v>0</v>
      </c>
      <c r="AE110" s="29"/>
      <c r="AF110" s="29">
        <v>0</v>
      </c>
      <c r="AG110" s="29"/>
      <c r="AH110" s="29">
        <v>0</v>
      </c>
      <c r="AJ110" s="64">
        <f t="shared" si="16"/>
        <v>13988.041426708036</v>
      </c>
      <c r="AK110" s="64"/>
      <c r="AL110" s="1139">
        <f t="shared" si="17"/>
        <v>-2.2580747681032718E-2</v>
      </c>
      <c r="AP110" s="388"/>
    </row>
    <row r="111" spans="2:42">
      <c r="B111" s="6">
        <v>26</v>
      </c>
      <c r="D111" s="436" t="s">
        <v>153</v>
      </c>
      <c r="E111" s="6"/>
      <c r="F111" s="29">
        <v>79192.826316152365</v>
      </c>
      <c r="G111" s="29"/>
      <c r="H111" s="29">
        <v>4800.1659263247493</v>
      </c>
      <c r="I111" s="29"/>
      <c r="J111" s="29">
        <v>0</v>
      </c>
      <c r="K111" s="29"/>
      <c r="L111" s="29"/>
      <c r="M111" s="29"/>
      <c r="N111" s="29">
        <v>0</v>
      </c>
      <c r="O111" s="29"/>
      <c r="P111" s="29">
        <v>0</v>
      </c>
      <c r="Q111" s="29"/>
      <c r="R111" s="29">
        <v>0</v>
      </c>
      <c r="S111" s="434"/>
      <c r="T111" s="64">
        <f t="shared" si="15"/>
        <v>74392.660389827623</v>
      </c>
      <c r="V111" s="29">
        <v>2032.8007615893503</v>
      </c>
      <c r="W111" s="29"/>
      <c r="X111" s="29">
        <v>3537.6584435522946</v>
      </c>
      <c r="Y111" s="129"/>
      <c r="Z111" s="129"/>
      <c r="AA111" s="29"/>
      <c r="AB111" s="29">
        <v>0</v>
      </c>
      <c r="AC111" s="129"/>
      <c r="AD111" s="29">
        <v>0</v>
      </c>
      <c r="AE111" s="29"/>
      <c r="AF111" s="29">
        <v>0</v>
      </c>
      <c r="AG111" s="29"/>
      <c r="AH111" s="29">
        <v>0</v>
      </c>
      <c r="AJ111" s="64">
        <f t="shared" si="16"/>
        <v>79963.119594969263</v>
      </c>
      <c r="AK111" s="64"/>
      <c r="AL111" s="1139">
        <f t="shared" si="17"/>
        <v>9.7268062607305545E-3</v>
      </c>
      <c r="AP111" s="388"/>
    </row>
    <row r="112" spans="2:42">
      <c r="B112" s="6">
        <v>27</v>
      </c>
      <c r="D112" s="436" t="s">
        <v>154</v>
      </c>
      <c r="E112" s="6"/>
      <c r="F112" s="29">
        <v>7803.7987485066014</v>
      </c>
      <c r="G112" s="29"/>
      <c r="H112" s="29">
        <v>106.2576</v>
      </c>
      <c r="I112" s="29"/>
      <c r="J112" s="29">
        <v>0</v>
      </c>
      <c r="K112" s="29"/>
      <c r="L112" s="29"/>
      <c r="M112" s="29"/>
      <c r="N112" s="29">
        <v>0</v>
      </c>
      <c r="O112" s="29"/>
      <c r="P112" s="29">
        <v>0</v>
      </c>
      <c r="Q112" s="29"/>
      <c r="R112" s="29">
        <v>0</v>
      </c>
      <c r="S112" s="434"/>
      <c r="T112" s="64">
        <f t="shared" si="15"/>
        <v>7697.5411485066015</v>
      </c>
      <c r="V112" s="29">
        <v>210.33751753270036</v>
      </c>
      <c r="W112" s="29"/>
      <c r="X112" s="29">
        <v>111.50384979625936</v>
      </c>
      <c r="Y112" s="129"/>
      <c r="Z112" s="129"/>
      <c r="AA112" s="29"/>
      <c r="AB112" s="29">
        <v>0</v>
      </c>
      <c r="AC112" s="129"/>
      <c r="AD112" s="29">
        <v>0</v>
      </c>
      <c r="AE112" s="29"/>
      <c r="AF112" s="29">
        <v>0</v>
      </c>
      <c r="AG112" s="29"/>
      <c r="AH112" s="29">
        <v>0</v>
      </c>
      <c r="AJ112" s="64">
        <f t="shared" si="16"/>
        <v>8019.3825158355612</v>
      </c>
      <c r="AK112" s="64"/>
      <c r="AL112" s="1139">
        <f t="shared" si="17"/>
        <v>2.762549038956388E-2</v>
      </c>
      <c r="AP112" s="388"/>
    </row>
    <row r="113" spans="2:42">
      <c r="B113" s="6">
        <v>28</v>
      </c>
      <c r="C113" s="58"/>
      <c r="D113" s="58" t="s">
        <v>155</v>
      </c>
      <c r="F113" s="131">
        <f>SUM(F104:F112)</f>
        <v>809848.47484972095</v>
      </c>
      <c r="G113" s="132"/>
      <c r="H113" s="131">
        <f>SUM(H104:H112)</f>
        <v>55545.831639904303</v>
      </c>
      <c r="I113" s="132"/>
      <c r="J113" s="131">
        <f>SUM(J104:J112)</f>
        <v>11563.204810490335</v>
      </c>
      <c r="K113" s="132"/>
      <c r="L113" s="132"/>
      <c r="M113" s="132"/>
      <c r="N113" s="131">
        <f>SUM(N104:N112)</f>
        <v>0</v>
      </c>
      <c r="O113" s="132"/>
      <c r="P113" s="131">
        <f>SUM(P104:P112)</f>
        <v>0</v>
      </c>
      <c r="Q113" s="132"/>
      <c r="R113" s="131">
        <f>SUM(R104:R112)</f>
        <v>0</v>
      </c>
      <c r="S113" s="63"/>
      <c r="T113" s="131">
        <f>SUM(T104:T112)</f>
        <v>742739.43839932629</v>
      </c>
      <c r="V113" s="131">
        <f>SUM(V104:V112)</f>
        <v>20295.567978464867</v>
      </c>
      <c r="X113" s="131">
        <f>SUM(X104:X112)</f>
        <v>61116.380383525808</v>
      </c>
      <c r="AB113" s="131">
        <f>SUM(AB104:AB112)</f>
        <v>11241.977557275253</v>
      </c>
      <c r="AD113" s="131">
        <f>SUM(AD104:AD112)</f>
        <v>0</v>
      </c>
      <c r="AF113" s="131">
        <f>SUM(AF104:AF112)</f>
        <v>0</v>
      </c>
      <c r="AH113" s="131">
        <f>SUM(AH104:AH112)</f>
        <v>0</v>
      </c>
      <c r="AJ113" s="131">
        <f>SUM(AJ104:AJ112)</f>
        <v>835393.36431859201</v>
      </c>
      <c r="AK113" s="132"/>
      <c r="AL113" s="1140">
        <f t="shared" si="17"/>
        <v>3.15428012303305E-2</v>
      </c>
      <c r="AP113" s="388"/>
    </row>
    <row r="114" spans="2:42" ht="12.95">
      <c r="B114" s="16"/>
      <c r="C114" s="58"/>
      <c r="D114" s="6"/>
      <c r="F114" s="133"/>
      <c r="G114" s="133"/>
      <c r="H114" s="133"/>
      <c r="I114" s="133"/>
      <c r="J114" s="133"/>
      <c r="K114" s="133"/>
      <c r="L114" s="133"/>
      <c r="M114" s="133"/>
      <c r="N114" s="133"/>
      <c r="O114" s="29"/>
      <c r="P114" s="29"/>
      <c r="Q114" s="133"/>
      <c r="R114" s="133"/>
      <c r="S114" s="141"/>
      <c r="T114" s="133"/>
      <c r="V114" s="133"/>
      <c r="X114" s="133"/>
      <c r="AB114" s="133"/>
      <c r="AD114" s="133"/>
      <c r="AF114" s="133"/>
      <c r="AH114" s="133"/>
      <c r="AJ114" s="133"/>
      <c r="AK114" s="133"/>
      <c r="AL114" s="1139"/>
      <c r="AP114" s="388"/>
    </row>
    <row r="115" spans="2:42">
      <c r="B115" s="6">
        <v>29</v>
      </c>
      <c r="C115" s="58"/>
      <c r="D115" s="3" t="s">
        <v>156</v>
      </c>
      <c r="F115" s="131">
        <f>F93+F101+F113</f>
        <v>2667112.1373754595</v>
      </c>
      <c r="G115" s="132"/>
      <c r="H115" s="131">
        <f>H93+H101+H113</f>
        <v>143871.46378346617</v>
      </c>
      <c r="I115" s="132"/>
      <c r="J115" s="131">
        <f>J93+J101+J113</f>
        <v>46925.204694014006</v>
      </c>
      <c r="K115" s="132"/>
      <c r="L115" s="132"/>
      <c r="M115" s="132"/>
      <c r="N115" s="131">
        <f>N93+N101+N113</f>
        <v>0</v>
      </c>
      <c r="O115" s="132"/>
      <c r="P115" s="131">
        <f>P93+P101+P113</f>
        <v>0</v>
      </c>
      <c r="Q115" s="132"/>
      <c r="R115" s="131">
        <f>R93+R101+R113</f>
        <v>0</v>
      </c>
      <c r="S115" s="63"/>
      <c r="T115" s="131">
        <f>T93+T101+T113</f>
        <v>2478357.8659835821</v>
      </c>
      <c r="U115" s="64"/>
      <c r="V115" s="131">
        <f>V93+V101+V113</f>
        <v>67721.838835478353</v>
      </c>
      <c r="X115" s="131">
        <f>X93+X101+X113</f>
        <v>183081.13465239876</v>
      </c>
      <c r="AB115" s="131">
        <f>AB93+AB101+AB113</f>
        <v>46390.692841946395</v>
      </c>
      <c r="AD115" s="131">
        <f>AD93+AD101+AD113</f>
        <v>0</v>
      </c>
      <c r="AF115" s="131">
        <f>AF93+AF101+AF113</f>
        <v>0</v>
      </c>
      <c r="AH115" s="131">
        <f>AH93+AH101+AH113</f>
        <v>0</v>
      </c>
      <c r="AJ115" s="131">
        <f>AJ93+AJ101+AJ113</f>
        <v>2775551.5323134051</v>
      </c>
      <c r="AK115" s="132"/>
      <c r="AL115" s="1140">
        <f t="shared" si="17"/>
        <v>4.0657981124353489E-2</v>
      </c>
      <c r="AN115" s="203">
        <v>2775551.5323134051</v>
      </c>
      <c r="AO115" s="64">
        <f>AN115-AJ115</f>
        <v>0</v>
      </c>
      <c r="AP115" s="388"/>
    </row>
    <row r="116" spans="2:42" ht="12.95">
      <c r="B116" s="6"/>
      <c r="C116" s="58"/>
      <c r="D116" s="58"/>
      <c r="E116" s="6"/>
      <c r="F116" s="133"/>
      <c r="G116" s="133"/>
      <c r="H116" s="132"/>
      <c r="I116" s="133"/>
      <c r="J116" s="133"/>
      <c r="K116" s="133"/>
      <c r="L116" s="133"/>
      <c r="M116" s="133"/>
      <c r="N116" s="132"/>
      <c r="O116" s="132"/>
      <c r="P116" s="132"/>
      <c r="Q116" s="133"/>
      <c r="R116" s="435"/>
      <c r="S116" s="393"/>
      <c r="T116" s="6"/>
      <c r="AJ116" s="64"/>
      <c r="AK116" s="64"/>
      <c r="AL116" s="1139"/>
      <c r="AP116" s="388"/>
    </row>
    <row r="117" spans="2:42" ht="12.95">
      <c r="B117" s="6"/>
      <c r="C117" s="58"/>
      <c r="D117" s="14" t="s">
        <v>157</v>
      </c>
      <c r="E117" s="6"/>
      <c r="F117" s="133"/>
      <c r="G117" s="133"/>
      <c r="H117" s="132"/>
      <c r="I117" s="133"/>
      <c r="J117" s="133"/>
      <c r="K117" s="133"/>
      <c r="L117" s="133"/>
      <c r="M117" s="133"/>
      <c r="N117" s="132"/>
      <c r="O117" s="132"/>
      <c r="P117" s="132"/>
      <c r="Q117" s="133"/>
      <c r="R117" s="435"/>
      <c r="S117" s="437"/>
      <c r="T117" s="6"/>
      <c r="AL117" s="1139"/>
      <c r="AP117" s="388"/>
    </row>
    <row r="118" spans="2:42">
      <c r="B118" s="6">
        <v>30</v>
      </c>
      <c r="C118" s="58"/>
      <c r="D118" s="10" t="s">
        <v>158</v>
      </c>
      <c r="F118" s="29">
        <v>169.00033449599999</v>
      </c>
      <c r="G118" s="29"/>
      <c r="H118" s="29">
        <v>0</v>
      </c>
      <c r="I118" s="29"/>
      <c r="J118" s="29">
        <v>0</v>
      </c>
      <c r="K118" s="29"/>
      <c r="L118" s="29"/>
      <c r="M118" s="29"/>
      <c r="N118" s="29">
        <v>0</v>
      </c>
      <c r="O118" s="29"/>
      <c r="P118" s="29">
        <v>0</v>
      </c>
      <c r="Q118" s="29"/>
      <c r="R118" s="29">
        <v>0</v>
      </c>
      <c r="S118" s="434"/>
      <c r="T118" s="64">
        <f t="shared" ref="T118:T125" si="18">F118-SUM(H118:R118)</f>
        <v>169.00033449599999</v>
      </c>
      <c r="V118" s="29">
        <v>4.6179825653781847</v>
      </c>
      <c r="X118" s="29">
        <v>0</v>
      </c>
      <c r="Y118" s="29"/>
      <c r="Z118" s="29">
        <v>0</v>
      </c>
      <c r="AA118" s="29"/>
      <c r="AB118" s="29">
        <v>0</v>
      </c>
      <c r="AC118" s="29"/>
      <c r="AD118" s="29">
        <v>0</v>
      </c>
      <c r="AE118" s="29"/>
      <c r="AF118" s="29">
        <v>0</v>
      </c>
      <c r="AG118" s="29"/>
      <c r="AH118" s="29">
        <v>0</v>
      </c>
      <c r="AJ118" s="64">
        <f t="shared" ref="AJ118:AJ125" si="19">SUM(T118:AH118)</f>
        <v>173.61831706137818</v>
      </c>
      <c r="AK118" s="64"/>
      <c r="AL118" s="1139">
        <f t="shared" si="17"/>
        <v>2.7325286539521529E-2</v>
      </c>
      <c r="AP118" s="388"/>
    </row>
    <row r="119" spans="2:42">
      <c r="B119" s="6">
        <v>31</v>
      </c>
      <c r="C119" s="58"/>
      <c r="D119" s="10" t="s">
        <v>159</v>
      </c>
      <c r="E119" s="6"/>
      <c r="F119" s="29">
        <v>19179.468000000001</v>
      </c>
      <c r="G119" s="29"/>
      <c r="H119" s="29">
        <v>0</v>
      </c>
      <c r="I119" s="29"/>
      <c r="J119" s="29">
        <v>0</v>
      </c>
      <c r="K119" s="29"/>
      <c r="L119" s="29"/>
      <c r="M119" s="29"/>
      <c r="N119" s="29">
        <v>0</v>
      </c>
      <c r="O119" s="29"/>
      <c r="P119" s="29">
        <v>0</v>
      </c>
      <c r="Q119" s="29"/>
      <c r="R119" s="29">
        <v>0</v>
      </c>
      <c r="S119" s="434"/>
      <c r="T119" s="64">
        <f t="shared" si="18"/>
        <v>19179.468000000001</v>
      </c>
      <c r="V119" s="29">
        <v>524.08445877558188</v>
      </c>
      <c r="X119" s="29">
        <v>0</v>
      </c>
      <c r="Y119" s="29"/>
      <c r="Z119" s="29">
        <v>0</v>
      </c>
      <c r="AA119" s="29"/>
      <c r="AB119" s="29">
        <v>0</v>
      </c>
      <c r="AC119" s="29"/>
      <c r="AD119" s="29">
        <v>0</v>
      </c>
      <c r="AE119" s="29"/>
      <c r="AF119" s="29">
        <v>0</v>
      </c>
      <c r="AG119" s="29"/>
      <c r="AH119" s="29">
        <v>0</v>
      </c>
      <c r="AJ119" s="64">
        <f t="shared" si="19"/>
        <v>19703.552458775583</v>
      </c>
      <c r="AK119" s="64"/>
      <c r="AL119" s="1139">
        <f t="shared" si="17"/>
        <v>2.7325286539521421E-2</v>
      </c>
      <c r="AP119" s="388"/>
    </row>
    <row r="120" spans="2:42">
      <c r="B120" s="6">
        <v>32</v>
      </c>
      <c r="C120" s="58"/>
      <c r="D120" s="10" t="s">
        <v>160</v>
      </c>
      <c r="F120" s="29">
        <v>3560.977942268019</v>
      </c>
      <c r="G120" s="29"/>
      <c r="H120" s="29">
        <v>0</v>
      </c>
      <c r="I120" s="29"/>
      <c r="J120" s="29">
        <v>0</v>
      </c>
      <c r="K120" s="29"/>
      <c r="L120" s="29"/>
      <c r="M120" s="29"/>
      <c r="N120" s="29">
        <v>0</v>
      </c>
      <c r="O120" s="29"/>
      <c r="P120" s="29">
        <v>0</v>
      </c>
      <c r="Q120" s="29"/>
      <c r="R120" s="29">
        <v>0</v>
      </c>
      <c r="S120" s="434"/>
      <c r="T120" s="64">
        <f t="shared" si="18"/>
        <v>3560.977942268019</v>
      </c>
      <c r="V120" s="29">
        <v>0</v>
      </c>
      <c r="X120" s="29">
        <v>0</v>
      </c>
      <c r="Y120" s="29"/>
      <c r="Z120" s="29">
        <v>0</v>
      </c>
      <c r="AA120" s="29"/>
      <c r="AB120" s="29">
        <v>0</v>
      </c>
      <c r="AC120" s="29"/>
      <c r="AD120" s="29">
        <v>0</v>
      </c>
      <c r="AE120" s="29"/>
      <c r="AF120" s="29">
        <v>0</v>
      </c>
      <c r="AG120" s="29"/>
      <c r="AH120" s="29">
        <v>0</v>
      </c>
      <c r="AJ120" s="64">
        <f t="shared" si="19"/>
        <v>3560.977942268019</v>
      </c>
      <c r="AK120" s="64"/>
      <c r="AL120" s="1139">
        <f t="shared" si="17"/>
        <v>0</v>
      </c>
      <c r="AP120" s="388"/>
    </row>
    <row r="121" spans="2:42">
      <c r="B121" s="6">
        <v>33</v>
      </c>
      <c r="C121" s="58"/>
      <c r="D121" s="436" t="s">
        <v>161</v>
      </c>
      <c r="E121" s="6"/>
      <c r="F121" s="29">
        <v>104650.60323599997</v>
      </c>
      <c r="G121" s="29"/>
      <c r="H121" s="29">
        <v>0</v>
      </c>
      <c r="I121" s="29"/>
      <c r="J121" s="29">
        <v>0</v>
      </c>
      <c r="K121" s="29"/>
      <c r="L121" s="29"/>
      <c r="M121" s="29"/>
      <c r="N121" s="29">
        <v>0</v>
      </c>
      <c r="O121" s="29"/>
      <c r="P121" s="29">
        <v>0</v>
      </c>
      <c r="Q121" s="29"/>
      <c r="R121" s="29">
        <v>0</v>
      </c>
      <c r="S121" s="434"/>
      <c r="T121" s="64">
        <f t="shared" si="18"/>
        <v>104650.60323599997</v>
      </c>
      <c r="V121" s="29">
        <v>2859.6077199574647</v>
      </c>
      <c r="X121" s="29">
        <v>0</v>
      </c>
      <c r="Y121" s="29"/>
      <c r="Z121" s="29">
        <v>0</v>
      </c>
      <c r="AA121" s="29"/>
      <c r="AB121" s="29">
        <v>0</v>
      </c>
      <c r="AC121" s="29"/>
      <c r="AD121" s="29">
        <v>0</v>
      </c>
      <c r="AE121" s="29"/>
      <c r="AF121" s="29">
        <v>0</v>
      </c>
      <c r="AG121" s="29"/>
      <c r="AH121" s="29">
        <v>0</v>
      </c>
      <c r="AJ121" s="64">
        <f t="shared" si="19"/>
        <v>107510.21095595743</v>
      </c>
      <c r="AK121" s="64"/>
      <c r="AL121" s="1139">
        <f t="shared" si="17"/>
        <v>2.73252865395214E-2</v>
      </c>
      <c r="AP121" s="388"/>
    </row>
    <row r="122" spans="2:42">
      <c r="B122" s="6">
        <v>34</v>
      </c>
      <c r="C122" s="58"/>
      <c r="D122" s="436" t="s">
        <v>162</v>
      </c>
      <c r="E122" s="30"/>
      <c r="F122" s="29">
        <v>14191.052914499876</v>
      </c>
      <c r="G122" s="29"/>
      <c r="H122" s="29">
        <v>0</v>
      </c>
      <c r="I122" s="29"/>
      <c r="J122" s="29">
        <v>0</v>
      </c>
      <c r="K122" s="29"/>
      <c r="L122" s="29"/>
      <c r="M122" s="29"/>
      <c r="N122" s="29">
        <v>0</v>
      </c>
      <c r="O122" s="29"/>
      <c r="P122" s="29">
        <v>0</v>
      </c>
      <c r="Q122" s="29"/>
      <c r="R122" s="29">
        <v>0</v>
      </c>
      <c r="S122" s="434"/>
      <c r="T122" s="64">
        <f t="shared" si="18"/>
        <v>14191.052914499876</v>
      </c>
      <c r="V122" s="29">
        <v>56.081341805327725</v>
      </c>
      <c r="X122" s="29">
        <v>0</v>
      </c>
      <c r="Y122" s="29"/>
      <c r="Z122" s="29">
        <v>0</v>
      </c>
      <c r="AA122" s="29"/>
      <c r="AB122" s="29">
        <v>0</v>
      </c>
      <c r="AC122" s="29"/>
      <c r="AD122" s="29">
        <v>0</v>
      </c>
      <c r="AE122" s="29"/>
      <c r="AF122" s="29">
        <v>0</v>
      </c>
      <c r="AG122" s="29"/>
      <c r="AH122" s="29">
        <v>0</v>
      </c>
      <c r="AJ122" s="64">
        <f t="shared" si="19"/>
        <v>14247.134256305204</v>
      </c>
      <c r="AK122" s="64"/>
      <c r="AL122" s="1139">
        <f t="shared" si="17"/>
        <v>3.9518802546374722E-3</v>
      </c>
      <c r="AP122" s="388"/>
    </row>
    <row r="123" spans="2:42">
      <c r="B123" s="6">
        <v>35</v>
      </c>
      <c r="C123" s="58"/>
      <c r="D123" s="436" t="s">
        <v>163</v>
      </c>
      <c r="E123" s="6"/>
      <c r="F123" s="29">
        <v>380.91363233333334</v>
      </c>
      <c r="G123" s="29"/>
      <c r="H123" s="29">
        <v>0</v>
      </c>
      <c r="I123" s="29"/>
      <c r="J123" s="29">
        <v>0</v>
      </c>
      <c r="K123" s="29"/>
      <c r="L123" s="29"/>
      <c r="M123" s="29"/>
      <c r="N123" s="29">
        <v>0</v>
      </c>
      <c r="O123" s="29"/>
      <c r="P123" s="29">
        <v>0</v>
      </c>
      <c r="Q123" s="29"/>
      <c r="R123" s="29">
        <v>0</v>
      </c>
      <c r="S123" s="434"/>
      <c r="T123" s="64">
        <f t="shared" si="18"/>
        <v>380.91363233333334</v>
      </c>
      <c r="V123" s="29">
        <v>4.9749034862918506</v>
      </c>
      <c r="X123" s="29">
        <v>0</v>
      </c>
      <c r="Y123" s="29"/>
      <c r="Z123" s="29">
        <v>0</v>
      </c>
      <c r="AA123" s="29"/>
      <c r="AB123" s="29">
        <v>0</v>
      </c>
      <c r="AC123" s="29"/>
      <c r="AD123" s="29">
        <v>0</v>
      </c>
      <c r="AE123" s="29"/>
      <c r="AF123" s="29">
        <v>0</v>
      </c>
      <c r="AG123" s="29"/>
      <c r="AH123" s="29">
        <v>0</v>
      </c>
      <c r="AJ123" s="64">
        <f t="shared" si="19"/>
        <v>385.88853581962519</v>
      </c>
      <c r="AK123" s="64"/>
      <c r="AL123" s="1139">
        <f t="shared" si="17"/>
        <v>1.3060450096830264E-2</v>
      </c>
      <c r="AP123" s="388"/>
    </row>
    <row r="124" spans="2:42">
      <c r="B124" s="6">
        <v>36</v>
      </c>
      <c r="C124" s="58"/>
      <c r="D124" s="436" t="s">
        <v>164</v>
      </c>
      <c r="E124" s="6"/>
      <c r="F124" s="29">
        <v>428.13686206896551</v>
      </c>
      <c r="G124" s="29"/>
      <c r="H124" s="29">
        <v>0</v>
      </c>
      <c r="I124" s="29"/>
      <c r="J124" s="29">
        <v>0</v>
      </c>
      <c r="K124" s="29"/>
      <c r="L124" s="29"/>
      <c r="M124" s="29"/>
      <c r="N124" s="29">
        <v>0</v>
      </c>
      <c r="O124" s="29"/>
      <c r="P124" s="29">
        <v>0</v>
      </c>
      <c r="Q124" s="29"/>
      <c r="R124" s="29">
        <v>0</v>
      </c>
      <c r="S124" s="434"/>
      <c r="T124" s="64">
        <f t="shared" si="18"/>
        <v>428.13686206896551</v>
      </c>
      <c r="V124" s="29">
        <v>11.69896243416607</v>
      </c>
      <c r="X124" s="29">
        <v>0</v>
      </c>
      <c r="Y124" s="29"/>
      <c r="Z124" s="29">
        <v>0</v>
      </c>
      <c r="AA124" s="29"/>
      <c r="AB124" s="29">
        <v>0</v>
      </c>
      <c r="AC124" s="29"/>
      <c r="AD124" s="29">
        <v>0</v>
      </c>
      <c r="AE124" s="29"/>
      <c r="AF124" s="29">
        <v>0</v>
      </c>
      <c r="AG124" s="29"/>
      <c r="AH124" s="29">
        <v>0</v>
      </c>
      <c r="AJ124" s="64">
        <f t="shared" si="19"/>
        <v>439.83582450313156</v>
      </c>
      <c r="AK124" s="64"/>
      <c r="AL124" s="1139">
        <f t="shared" si="17"/>
        <v>2.7325286539521435E-2</v>
      </c>
      <c r="AP124" s="388"/>
    </row>
    <row r="125" spans="2:42">
      <c r="B125" s="6">
        <v>37</v>
      </c>
      <c r="D125" s="436" t="s">
        <v>165</v>
      </c>
      <c r="E125" s="30"/>
      <c r="F125" s="29">
        <v>529.11347999999998</v>
      </c>
      <c r="G125" s="29"/>
      <c r="H125" s="29">
        <v>0</v>
      </c>
      <c r="I125" s="29"/>
      <c r="J125" s="29">
        <v>0</v>
      </c>
      <c r="K125" s="29"/>
      <c r="L125" s="29"/>
      <c r="M125" s="29"/>
      <c r="N125" s="29">
        <v>0</v>
      </c>
      <c r="O125" s="29"/>
      <c r="P125" s="29">
        <v>0</v>
      </c>
      <c r="Q125" s="29"/>
      <c r="R125" s="29">
        <v>0</v>
      </c>
      <c r="S125" s="434"/>
      <c r="T125" s="64">
        <f t="shared" si="18"/>
        <v>529.11347999999998</v>
      </c>
      <c r="V125" s="29">
        <v>14.45817745292333</v>
      </c>
      <c r="X125" s="29">
        <v>0</v>
      </c>
      <c r="Y125" s="29"/>
      <c r="Z125" s="29">
        <v>0</v>
      </c>
      <c r="AA125" s="29"/>
      <c r="AB125" s="29">
        <v>0</v>
      </c>
      <c r="AC125" s="29"/>
      <c r="AD125" s="29">
        <v>0</v>
      </c>
      <c r="AE125" s="29"/>
      <c r="AF125" s="29">
        <v>0</v>
      </c>
      <c r="AG125" s="29"/>
      <c r="AH125" s="29">
        <v>0</v>
      </c>
      <c r="AJ125" s="64">
        <f t="shared" si="19"/>
        <v>543.57165745292332</v>
      </c>
      <c r="AK125" s="64"/>
      <c r="AL125" s="1139">
        <f t="shared" si="17"/>
        <v>2.7325286539521421E-2</v>
      </c>
      <c r="AP125" s="388"/>
    </row>
    <row r="126" spans="2:42" ht="14.1">
      <c r="B126" s="6">
        <v>38</v>
      </c>
      <c r="D126" s="58" t="s">
        <v>166</v>
      </c>
      <c r="F126" s="131">
        <f>SUM(F118:F125)</f>
        <v>143089.26640166616</v>
      </c>
      <c r="G126" s="438"/>
      <c r="H126" s="131">
        <f>SUM(H118:H125)</f>
        <v>0</v>
      </c>
      <c r="I126" s="438"/>
      <c r="J126" s="131">
        <f>SUM(J118:J125)</f>
        <v>0</v>
      </c>
      <c r="K126" s="438"/>
      <c r="L126" s="131"/>
      <c r="M126" s="132"/>
      <c r="N126" s="131">
        <f>SUM(N118:N125)</f>
        <v>0</v>
      </c>
      <c r="O126" s="438"/>
      <c r="P126" s="131">
        <f>SUM(P118:P125)</f>
        <v>0</v>
      </c>
      <c r="Q126" s="438"/>
      <c r="R126" s="131">
        <f>SUM(R118:R125)</f>
        <v>0</v>
      </c>
      <c r="S126" s="438"/>
      <c r="T126" s="131">
        <f>SUM(T118:T125)</f>
        <v>143089.26640166616</v>
      </c>
      <c r="U126" s="438"/>
      <c r="V126" s="131">
        <f>SUM(V118:V125)</f>
        <v>3475.5235464771331</v>
      </c>
      <c r="X126" s="131">
        <f>SUM(X118:X125)</f>
        <v>0</v>
      </c>
      <c r="AB126" s="131">
        <f>SUM(AB118:AB125)</f>
        <v>0</v>
      </c>
      <c r="AD126" s="131">
        <f>SUM(AD118:AD125)</f>
        <v>0</v>
      </c>
      <c r="AF126" s="131">
        <f>SUM(AF118:AF125)</f>
        <v>0</v>
      </c>
      <c r="AH126" s="131">
        <f>SUM(AH118:AH125)</f>
        <v>0</v>
      </c>
      <c r="AJ126" s="131">
        <f>SUM(AJ118:AJ125)</f>
        <v>146564.7899481433</v>
      </c>
      <c r="AK126" s="132"/>
      <c r="AL126" s="1140">
        <f t="shared" si="17"/>
        <v>2.4289198161943124E-2</v>
      </c>
      <c r="AP126" s="388"/>
    </row>
    <row r="127" spans="2:42" ht="11.85" customHeight="1">
      <c r="B127" s="6"/>
      <c r="C127" s="58"/>
      <c r="G127" s="64"/>
      <c r="O127" s="64"/>
      <c r="S127" s="394"/>
      <c r="T127" s="6"/>
      <c r="U127" s="64"/>
      <c r="AL127" s="1139"/>
      <c r="AP127" s="388"/>
    </row>
    <row r="128" spans="2:42">
      <c r="B128" s="6">
        <v>39</v>
      </c>
      <c r="C128" s="58"/>
      <c r="D128" s="127" t="s">
        <v>167</v>
      </c>
      <c r="F128" s="29">
        <v>1196.9395495536583</v>
      </c>
      <c r="G128" s="29"/>
      <c r="H128" s="29">
        <v>0</v>
      </c>
      <c r="I128" s="29"/>
      <c r="J128" s="29">
        <v>0</v>
      </c>
      <c r="K128" s="29"/>
      <c r="L128" s="29"/>
      <c r="M128" s="29"/>
      <c r="N128" s="29">
        <v>0</v>
      </c>
      <c r="O128" s="29"/>
      <c r="P128" s="29">
        <v>0</v>
      </c>
      <c r="Q128" s="29"/>
      <c r="R128" s="29">
        <v>0</v>
      </c>
      <c r="S128" s="63"/>
      <c r="T128" s="64">
        <f>F128-SUM(H128:R128)</f>
        <v>1196.9395495536583</v>
      </c>
      <c r="U128" s="64"/>
      <c r="V128" s="64">
        <f>AJ128-T128</f>
        <v>13.234035539499473</v>
      </c>
      <c r="X128" s="29">
        <v>0</v>
      </c>
      <c r="Y128" s="29"/>
      <c r="Z128" s="29">
        <v>0</v>
      </c>
      <c r="AA128" s="29"/>
      <c r="AB128" s="29"/>
      <c r="AC128" s="29"/>
      <c r="AD128" s="29">
        <v>0</v>
      </c>
      <c r="AE128" s="29"/>
      <c r="AF128" s="29">
        <v>0</v>
      </c>
      <c r="AG128" s="29"/>
      <c r="AH128" s="29">
        <v>0</v>
      </c>
      <c r="AJ128" s="64">
        <f>'Sch. 25'!I47</f>
        <v>1210.1735850931577</v>
      </c>
      <c r="AK128" s="1144"/>
      <c r="AL128" s="1139">
        <f t="shared" si="17"/>
        <v>1.1056561331300714E-2</v>
      </c>
      <c r="AP128" s="388"/>
    </row>
    <row r="129" spans="2:42" ht="11.85" customHeight="1">
      <c r="S129" s="394"/>
      <c r="T129" s="6"/>
      <c r="AJ129" s="64">
        <f>SUM(T129:AH129)</f>
        <v>0</v>
      </c>
      <c r="AK129" s="64"/>
      <c r="AL129" s="1139"/>
      <c r="AP129" s="388"/>
    </row>
    <row r="130" spans="2:42" ht="14.45" thickBot="1">
      <c r="B130" s="6">
        <v>40</v>
      </c>
      <c r="C130" s="58"/>
      <c r="D130" s="3" t="s">
        <v>8</v>
      </c>
      <c r="F130" s="439">
        <f>ROUND(F115+F126+F128,0)</f>
        <v>2811398</v>
      </c>
      <c r="G130" s="438"/>
      <c r="H130" s="439">
        <f>ROUND(H115+H126+H128,0)</f>
        <v>143871</v>
      </c>
      <c r="I130" s="438"/>
      <c r="J130" s="439">
        <f>ROUND(J115+J126+J128,0)</f>
        <v>46925</v>
      </c>
      <c r="K130" s="438"/>
      <c r="L130" s="438"/>
      <c r="M130" s="132"/>
      <c r="N130" s="439">
        <f>ROUND(N115+N126+N128,0)</f>
        <v>0</v>
      </c>
      <c r="O130" s="438"/>
      <c r="P130" s="439">
        <f>ROUND(P115+P126+P128,0)</f>
        <v>0</v>
      </c>
      <c r="Q130" s="438"/>
      <c r="R130" s="439">
        <f>ROUND(R115+R126+R128,0)</f>
        <v>0</v>
      </c>
      <c r="S130" s="438"/>
      <c r="T130" s="439">
        <f>ROUND(T115+T126+T128,0)</f>
        <v>2622644</v>
      </c>
      <c r="V130" s="439">
        <f>ROUND(V115+V126+V128,0)</f>
        <v>71211</v>
      </c>
      <c r="W130" s="30"/>
      <c r="X130" s="439">
        <f>ROUND(X115+X126+X128,0)</f>
        <v>183081</v>
      </c>
      <c r="AB130" s="439">
        <f>ROUND(AB115+AB126+AB128,0)</f>
        <v>46391</v>
      </c>
      <c r="AD130" s="439">
        <f>ROUND(AD115+AD126+AD128,0)</f>
        <v>0</v>
      </c>
      <c r="AF130" s="439">
        <f>ROUND(AF115+AF126+AF128,0)</f>
        <v>0</v>
      </c>
      <c r="AH130" s="439">
        <f>ROUND(AH115+AH126+AH128,0)</f>
        <v>0</v>
      </c>
      <c r="AJ130" s="439">
        <f>ROUND(AJ115+AJ126+AJ128,0)</f>
        <v>2923326</v>
      </c>
      <c r="AK130" s="132"/>
      <c r="AL130" s="1142">
        <f t="shared" si="17"/>
        <v>3.9812221535335798E-2</v>
      </c>
      <c r="AP130" s="388"/>
    </row>
    <row r="131" spans="2:42" ht="11.85" customHeight="1" thickTop="1">
      <c r="E131" s="58"/>
      <c r="F131" s="58"/>
      <c r="G131" s="16"/>
      <c r="H131" s="16"/>
      <c r="I131" s="16"/>
      <c r="J131" s="16"/>
      <c r="K131" s="16"/>
      <c r="L131" s="16"/>
      <c r="M131" s="16"/>
      <c r="N131" s="16"/>
      <c r="O131" s="134"/>
      <c r="P131" s="16"/>
      <c r="Q131" s="16"/>
      <c r="R131" s="16"/>
      <c r="S131" s="16"/>
      <c r="T131" s="16"/>
      <c r="V131" s="64"/>
      <c r="AP131" s="388"/>
    </row>
    <row r="132" spans="2:42">
      <c r="B132" s="47" t="s">
        <v>80</v>
      </c>
      <c r="C132" s="58"/>
      <c r="D132" s="58"/>
      <c r="E132" s="16"/>
      <c r="F132" s="134"/>
      <c r="G132" s="16"/>
      <c r="H132" s="16"/>
      <c r="I132" s="16"/>
      <c r="J132" s="16"/>
      <c r="K132" s="16"/>
      <c r="L132" s="16"/>
      <c r="M132" s="16"/>
      <c r="N132" s="16"/>
      <c r="O132" s="16"/>
      <c r="P132" s="16"/>
      <c r="Q132" s="16"/>
      <c r="R132" s="16"/>
      <c r="S132" s="16"/>
      <c r="T132" s="16"/>
    </row>
    <row r="133" spans="2:42">
      <c r="B133" s="65" t="s">
        <v>169</v>
      </c>
      <c r="C133" s="58"/>
      <c r="D133" s="58" t="s">
        <v>170</v>
      </c>
      <c r="E133" s="16"/>
      <c r="F133" s="134"/>
      <c r="G133" s="16"/>
      <c r="I133" s="16"/>
      <c r="J133" s="16"/>
      <c r="K133" s="16"/>
      <c r="L133" s="16"/>
      <c r="M133" s="16"/>
      <c r="N133" s="16"/>
      <c r="O133" s="16"/>
      <c r="P133" s="16"/>
      <c r="Q133" s="16"/>
      <c r="R133" s="16"/>
      <c r="S133" s="16"/>
      <c r="T133" s="16"/>
    </row>
    <row r="134" spans="2:42" ht="14.1">
      <c r="B134" s="65" t="s">
        <v>171</v>
      </c>
      <c r="D134" s="16" t="s">
        <v>172</v>
      </c>
      <c r="E134" s="16"/>
      <c r="F134" s="16"/>
      <c r="V134" s="438"/>
      <c r="W134" s="438"/>
      <c r="X134" s="438"/>
      <c r="Y134" s="438"/>
      <c r="Z134" s="438"/>
      <c r="AA134" s="438"/>
      <c r="AB134" s="438"/>
      <c r="AC134" s="438"/>
      <c r="AD134" s="438"/>
      <c r="AE134" s="438"/>
      <c r="AF134" s="438"/>
    </row>
    <row r="135" spans="2:42" ht="14.1">
      <c r="B135" s="65" t="s">
        <v>173</v>
      </c>
      <c r="D135" s="2" t="s">
        <v>174</v>
      </c>
      <c r="V135" s="438"/>
      <c r="W135" s="438"/>
      <c r="X135" s="438"/>
      <c r="Y135" s="438"/>
      <c r="Z135" s="438"/>
      <c r="AA135" s="438"/>
      <c r="AB135" s="438"/>
      <c r="AC135" s="438"/>
      <c r="AD135" s="438"/>
      <c r="AE135" s="438"/>
      <c r="AF135" s="438"/>
    </row>
    <row r="136" spans="2:42" ht="14.1">
      <c r="B136" s="65" t="s">
        <v>175</v>
      </c>
      <c r="D136" s="16" t="s">
        <v>176</v>
      </c>
      <c r="V136" s="438"/>
      <c r="W136" s="438"/>
      <c r="X136" s="438"/>
      <c r="Y136" s="438"/>
      <c r="Z136" s="438"/>
      <c r="AA136" s="438"/>
      <c r="AB136" s="438"/>
      <c r="AC136" s="438"/>
      <c r="AD136" s="438"/>
      <c r="AE136" s="438"/>
      <c r="AF136" s="438"/>
    </row>
    <row r="137" spans="2:42" ht="14.1">
      <c r="B137" s="65" t="s">
        <v>177</v>
      </c>
      <c r="C137" s="16"/>
      <c r="D137" s="16" t="s">
        <v>178</v>
      </c>
      <c r="V137" s="438"/>
      <c r="W137" s="438"/>
      <c r="X137" s="438"/>
      <c r="Y137" s="438"/>
      <c r="Z137" s="438"/>
      <c r="AA137" s="438"/>
      <c r="AB137" s="438"/>
      <c r="AC137" s="438"/>
      <c r="AD137" s="438"/>
      <c r="AE137" s="438"/>
      <c r="AF137" s="438"/>
    </row>
    <row r="138" spans="2:42">
      <c r="B138" s="65" t="s">
        <v>179</v>
      </c>
      <c r="C138" s="16"/>
      <c r="D138" s="16" t="s">
        <v>185</v>
      </c>
    </row>
    <row r="139" spans="2:42">
      <c r="B139" s="65"/>
      <c r="D139" s="16"/>
    </row>
    <row r="140" spans="2:42" ht="14.1">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row>
    <row r="141" spans="2:42" s="17" customFormat="1" ht="14.1">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c r="AL141" s="1136"/>
    </row>
    <row r="142" spans="2:42" ht="14.1">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row>
    <row r="143" spans="2:42" ht="14.1">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row>
    <row r="144" spans="2:42" ht="14.1">
      <c r="B144" s="438"/>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row>
    <row r="146" spans="1:42">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row>
    <row r="147" spans="1:42">
      <c r="B147" s="1151" t="s">
        <v>91</v>
      </c>
      <c r="C147" s="1151"/>
      <c r="D147" s="1151"/>
      <c r="E147" s="1151"/>
      <c r="F147" s="1151"/>
      <c r="G147" s="1151"/>
      <c r="H147" s="1151"/>
      <c r="I147" s="1151"/>
      <c r="J147" s="1151"/>
      <c r="K147" s="1151"/>
      <c r="L147" s="1151"/>
      <c r="M147" s="1151"/>
      <c r="N147" s="1151"/>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386"/>
    </row>
    <row r="148" spans="1:42">
      <c r="B148" s="1150" t="s">
        <v>186</v>
      </c>
      <c r="C148" s="1150"/>
      <c r="D148" s="1150"/>
      <c r="E148" s="1150"/>
      <c r="F148" s="1150"/>
      <c r="G148" s="1150"/>
      <c r="H148" s="1150"/>
      <c r="I148" s="1150"/>
      <c r="J148" s="1150"/>
      <c r="K148" s="1150"/>
      <c r="L148" s="1150"/>
      <c r="M148" s="1150"/>
      <c r="N148" s="1150"/>
      <c r="O148" s="1150"/>
      <c r="P148" s="1150"/>
      <c r="Q148" s="1150"/>
      <c r="R148" s="1150"/>
      <c r="S148" s="1150"/>
      <c r="T148" s="1150"/>
      <c r="U148" s="1150"/>
      <c r="V148" s="1150"/>
      <c r="W148" s="1150"/>
      <c r="X148" s="1150"/>
      <c r="Y148" s="1150"/>
      <c r="Z148" s="1150"/>
      <c r="AA148" s="1150"/>
      <c r="AB148" s="1150"/>
      <c r="AC148" s="1150"/>
      <c r="AD148" s="1150"/>
      <c r="AE148" s="1150"/>
      <c r="AF148" s="1150"/>
      <c r="AG148" s="1150"/>
      <c r="AH148" s="1150"/>
      <c r="AI148" s="1150"/>
      <c r="AJ148" s="1150"/>
      <c r="AK148" s="1135"/>
    </row>
    <row r="149" spans="1:42">
      <c r="B149" s="6"/>
      <c r="C149" s="6"/>
      <c r="D149" s="6"/>
      <c r="E149" s="6"/>
      <c r="F149" s="3"/>
      <c r="G149" s="3"/>
      <c r="H149" s="6"/>
      <c r="I149" s="6"/>
      <c r="J149" s="6"/>
      <c r="K149" s="6"/>
      <c r="L149" s="6"/>
      <c r="M149" s="6"/>
      <c r="N149" s="6"/>
      <c r="O149" s="6"/>
      <c r="P149" s="6"/>
      <c r="Q149" s="6"/>
      <c r="R149" s="1"/>
      <c r="S149" s="1"/>
      <c r="AL149" s="1134" t="s">
        <v>187</v>
      </c>
    </row>
    <row r="150" spans="1:42">
      <c r="B150" s="3"/>
      <c r="C150" s="3"/>
      <c r="D150" s="3"/>
      <c r="E150" s="3"/>
      <c r="F150" s="1153"/>
      <c r="G150" s="1153"/>
      <c r="H150" s="1153"/>
      <c r="I150" s="1153"/>
      <c r="J150" s="1153"/>
      <c r="K150" s="1153"/>
      <c r="L150" s="1153"/>
      <c r="M150" s="1153"/>
      <c r="N150" s="1153"/>
      <c r="O150" s="1153"/>
      <c r="P150" s="1153"/>
      <c r="Q150" s="1153"/>
      <c r="R150" s="1153"/>
      <c r="S150" s="1153"/>
      <c r="V150" s="1155"/>
      <c r="W150" s="1155"/>
      <c r="X150" s="1155"/>
      <c r="Y150" s="1155"/>
      <c r="Z150" s="1155"/>
      <c r="AA150" s="1155"/>
      <c r="AB150" s="1155"/>
      <c r="AC150" s="1155"/>
      <c r="AD150" s="1155"/>
      <c r="AE150" s="1155"/>
      <c r="AF150" s="1155"/>
      <c r="AG150" s="1155"/>
      <c r="AH150" s="1155"/>
    </row>
    <row r="151" spans="1:42">
      <c r="A151" s="17"/>
      <c r="B151" s="5"/>
      <c r="C151" s="5"/>
      <c r="D151" s="5"/>
      <c r="E151" s="5"/>
      <c r="F151" s="6" t="s">
        <v>93</v>
      </c>
      <c r="G151" s="58"/>
      <c r="H151" s="1152" t="s">
        <v>94</v>
      </c>
      <c r="I151" s="1152"/>
      <c r="J151" s="1152"/>
      <c r="K151" s="1152"/>
      <c r="L151" s="1152"/>
      <c r="M151" s="1152"/>
      <c r="N151" s="1152"/>
      <c r="O151" s="1152"/>
      <c r="P151" s="1152"/>
      <c r="Q151" s="1152"/>
      <c r="R151" s="1152"/>
      <c r="S151" s="1152"/>
      <c r="V151" s="1154" t="s">
        <v>95</v>
      </c>
      <c r="W151" s="1154"/>
      <c r="X151" s="1154"/>
      <c r="Y151" s="1154"/>
      <c r="Z151" s="1154"/>
      <c r="AA151" s="1154"/>
      <c r="AB151" s="1154"/>
      <c r="AC151" s="1154"/>
      <c r="AD151" s="1154"/>
      <c r="AE151" s="1154"/>
      <c r="AF151" s="1154"/>
      <c r="AG151" s="1154"/>
      <c r="AH151" s="1154"/>
      <c r="AL151" s="1136"/>
      <c r="AM151" s="17"/>
      <c r="AN151" s="17"/>
      <c r="AO151" s="17"/>
    </row>
    <row r="152" spans="1:42">
      <c r="B152" s="5" t="s">
        <v>56</v>
      </c>
      <c r="C152" s="58"/>
      <c r="E152" s="6"/>
      <c r="F152" s="137" t="s">
        <v>96</v>
      </c>
      <c r="G152" s="114"/>
      <c r="H152" s="137"/>
      <c r="I152" s="114"/>
      <c r="J152" s="137" t="s">
        <v>97</v>
      </c>
      <c r="K152" s="137"/>
      <c r="L152" s="114"/>
      <c r="M152" s="114"/>
      <c r="N152" s="137" t="s">
        <v>98</v>
      </c>
      <c r="O152" s="137"/>
      <c r="P152" s="137"/>
      <c r="Q152" s="137"/>
      <c r="R152" s="137" t="s">
        <v>99</v>
      </c>
      <c r="S152" s="137"/>
      <c r="T152" s="137" t="s">
        <v>100</v>
      </c>
      <c r="U152" s="114"/>
      <c r="V152" s="114" t="s">
        <v>101</v>
      </c>
      <c r="W152" s="114"/>
      <c r="X152" s="17"/>
      <c r="Y152" s="137"/>
      <c r="Z152" s="137"/>
      <c r="AA152" s="114"/>
      <c r="AB152" s="137" t="s">
        <v>97</v>
      </c>
      <c r="AC152" s="114"/>
      <c r="AD152" s="140" t="s">
        <v>98</v>
      </c>
      <c r="AE152" s="140"/>
      <c r="AF152" s="140"/>
      <c r="AG152" s="140"/>
      <c r="AH152" s="140" t="s">
        <v>99</v>
      </c>
      <c r="AI152" s="137"/>
      <c r="AJ152" s="137" t="s">
        <v>102</v>
      </c>
      <c r="AK152" s="137"/>
      <c r="AL152" s="1137" t="s">
        <v>103</v>
      </c>
    </row>
    <row r="153" spans="1:42">
      <c r="B153" s="237" t="s">
        <v>57</v>
      </c>
      <c r="C153" s="58"/>
      <c r="D153" s="59" t="s">
        <v>104</v>
      </c>
      <c r="E153" s="6"/>
      <c r="F153" s="139" t="s">
        <v>105</v>
      </c>
      <c r="G153" s="114"/>
      <c r="H153" s="139" t="s">
        <v>106</v>
      </c>
      <c r="I153" s="114"/>
      <c r="J153" s="139" t="s">
        <v>183</v>
      </c>
      <c r="K153" s="137"/>
      <c r="L153" s="433"/>
      <c r="M153" s="433"/>
      <c r="N153" s="139" t="s">
        <v>108</v>
      </c>
      <c r="O153" s="137"/>
      <c r="P153" s="139" t="s">
        <v>109</v>
      </c>
      <c r="Q153" s="137"/>
      <c r="R153" s="139" t="s">
        <v>110</v>
      </c>
      <c r="S153" s="137"/>
      <c r="T153" s="139" t="s">
        <v>101</v>
      </c>
      <c r="U153" s="114"/>
      <c r="V153" s="199" t="s">
        <v>111</v>
      </c>
      <c r="W153" s="114"/>
      <c r="X153" s="139" t="s">
        <v>112</v>
      </c>
      <c r="Y153" s="137"/>
      <c r="Z153" s="139"/>
      <c r="AA153" s="114"/>
      <c r="AB153" s="139" t="s">
        <v>107</v>
      </c>
      <c r="AC153" s="114"/>
      <c r="AD153" s="199" t="s">
        <v>108</v>
      </c>
      <c r="AE153" s="140"/>
      <c r="AF153" s="199" t="s">
        <v>109</v>
      </c>
      <c r="AG153" s="140"/>
      <c r="AH153" s="199" t="s">
        <v>110</v>
      </c>
      <c r="AI153" s="137"/>
      <c r="AJ153" s="139" t="s">
        <v>113</v>
      </c>
      <c r="AK153" s="137"/>
      <c r="AL153" s="1138" t="s">
        <v>114</v>
      </c>
    </row>
    <row r="154" spans="1:42" ht="12.95">
      <c r="B154" s="6"/>
      <c r="C154" s="58"/>
      <c r="D154" s="58"/>
      <c r="E154" s="6"/>
      <c r="F154" s="6" t="s">
        <v>9</v>
      </c>
      <c r="G154" s="128"/>
      <c r="H154" s="6" t="s">
        <v>10</v>
      </c>
      <c r="I154" s="6"/>
      <c r="J154" s="6" t="s">
        <v>58</v>
      </c>
      <c r="K154" s="6"/>
      <c r="L154" s="6"/>
      <c r="M154" s="6"/>
      <c r="N154" s="6" t="s">
        <v>12</v>
      </c>
      <c r="O154" s="6"/>
      <c r="P154" s="6" t="s">
        <v>13</v>
      </c>
      <c r="Q154" s="6"/>
      <c r="R154" s="6" t="s">
        <v>115</v>
      </c>
      <c r="S154" s="6"/>
      <c r="T154" s="6" t="s">
        <v>184</v>
      </c>
      <c r="V154" s="1" t="s">
        <v>117</v>
      </c>
      <c r="W154" s="1"/>
      <c r="X154" s="1" t="s">
        <v>118</v>
      </c>
      <c r="Y154" s="1"/>
      <c r="Z154" s="1"/>
      <c r="AA154" s="1"/>
      <c r="AB154" s="1" t="s">
        <v>119</v>
      </c>
      <c r="AC154" s="1"/>
      <c r="AD154" s="1" t="s">
        <v>120</v>
      </c>
      <c r="AE154" s="1"/>
      <c r="AF154" s="1" t="s">
        <v>121</v>
      </c>
      <c r="AG154" s="1"/>
      <c r="AH154" s="1" t="s">
        <v>122</v>
      </c>
      <c r="AJ154" s="2" t="s">
        <v>123</v>
      </c>
      <c r="AL154" s="1134" t="s">
        <v>124</v>
      </c>
    </row>
    <row r="155" spans="1:42" ht="12.95">
      <c r="B155" s="6"/>
      <c r="C155" s="58"/>
      <c r="D155" s="9" t="s">
        <v>125</v>
      </c>
      <c r="E155" s="6"/>
      <c r="F155" s="128"/>
      <c r="G155" s="60"/>
      <c r="H155" s="6"/>
      <c r="I155" s="61"/>
      <c r="J155" s="61"/>
      <c r="K155" s="61"/>
      <c r="L155" s="61"/>
      <c r="M155" s="61"/>
      <c r="N155" s="6"/>
      <c r="O155" s="6"/>
      <c r="P155" s="6"/>
      <c r="Q155" s="6"/>
      <c r="R155" s="6"/>
      <c r="S155" s="6"/>
      <c r="T155" s="6"/>
      <c r="AN155" s="2" t="s">
        <v>126</v>
      </c>
    </row>
    <row r="156" spans="1:42">
      <c r="B156" s="6">
        <v>1</v>
      </c>
      <c r="C156" s="58"/>
      <c r="D156" s="10" t="s">
        <v>127</v>
      </c>
      <c r="E156" s="6"/>
      <c r="F156" s="29">
        <v>1174716.5030259527</v>
      </c>
      <c r="G156" s="29"/>
      <c r="H156" s="29">
        <v>0</v>
      </c>
      <c r="I156" s="29"/>
      <c r="J156" s="29">
        <v>0</v>
      </c>
      <c r="K156" s="29"/>
      <c r="L156" s="29"/>
      <c r="M156" s="29"/>
      <c r="N156" s="29">
        <v>530.0902523540974</v>
      </c>
      <c r="O156" s="29"/>
      <c r="P156" s="29">
        <v>13027.395706562269</v>
      </c>
      <c r="Q156" s="29"/>
      <c r="R156" s="29">
        <v>5985.1968992662751</v>
      </c>
      <c r="S156" s="434"/>
      <c r="T156" s="64">
        <f t="shared" ref="T156:T165" si="20">F156-SUM(H156:R156)</f>
        <v>1155173.8201677701</v>
      </c>
      <c r="V156" s="29">
        <v>0</v>
      </c>
      <c r="W156" s="29"/>
      <c r="X156" s="29">
        <v>0</v>
      </c>
      <c r="Y156" s="64"/>
      <c r="Z156" s="64"/>
      <c r="AA156" s="29"/>
      <c r="AB156" s="29">
        <v>0</v>
      </c>
      <c r="AC156" s="129"/>
      <c r="AD156" s="29">
        <v>443.30283568334914</v>
      </c>
      <c r="AE156" s="29"/>
      <c r="AF156" s="29">
        <v>14276.994192075203</v>
      </c>
      <c r="AH156" s="29">
        <v>5345.7130368717526</v>
      </c>
      <c r="AJ156" s="64">
        <f t="shared" ref="AJ156:AJ165" si="21">SUM(T156:AH156)</f>
        <v>1175239.8302324004</v>
      </c>
      <c r="AK156" s="64"/>
      <c r="AL156" s="1139">
        <f>(AJ156-F156)/F156</f>
        <v>4.4549234227976006E-4</v>
      </c>
      <c r="AN156" s="203"/>
      <c r="AO156" s="64"/>
      <c r="AP156" s="388"/>
    </row>
    <row r="157" spans="1:42">
      <c r="B157" s="6">
        <v>2</v>
      </c>
      <c r="C157" s="58"/>
      <c r="D157" s="10" t="s">
        <v>128</v>
      </c>
      <c r="E157" s="6"/>
      <c r="F157" s="29">
        <v>742943.8772695947</v>
      </c>
      <c r="G157" s="29"/>
      <c r="H157" s="29">
        <v>0</v>
      </c>
      <c r="I157" s="29"/>
      <c r="J157" s="29">
        <v>0</v>
      </c>
      <c r="K157" s="29"/>
      <c r="L157" s="29"/>
      <c r="M157" s="29"/>
      <c r="N157" s="29">
        <v>507.62961049273036</v>
      </c>
      <c r="O157" s="29"/>
      <c r="P157" s="29">
        <v>12313.689619333923</v>
      </c>
      <c r="Q157" s="29"/>
      <c r="R157" s="29">
        <v>4882.6596804294222</v>
      </c>
      <c r="S157" s="434"/>
      <c r="T157" s="64">
        <f t="shared" si="20"/>
        <v>725239.89835933864</v>
      </c>
      <c r="V157" s="29">
        <v>0</v>
      </c>
      <c r="W157" s="29"/>
      <c r="X157" s="29">
        <v>0</v>
      </c>
      <c r="Y157" s="64"/>
      <c r="Z157" s="64"/>
      <c r="AA157" s="29"/>
      <c r="AB157" s="29">
        <v>0</v>
      </c>
      <c r="AC157" s="129"/>
      <c r="AD157" s="29">
        <v>424.5194941972639</v>
      </c>
      <c r="AE157" s="29"/>
      <c r="AF157" s="29">
        <v>13494.828831344279</v>
      </c>
      <c r="AH157" s="29">
        <v>4360.9755781767817</v>
      </c>
      <c r="AJ157" s="64">
        <f t="shared" si="21"/>
        <v>743520.2222630569</v>
      </c>
      <c r="AK157" s="64"/>
      <c r="AL157" s="1139">
        <f t="shared" ref="AL157:AL167" si="22">(AJ157-F157)/F157</f>
        <v>7.7575845376145905E-4</v>
      </c>
      <c r="AN157" s="203"/>
      <c r="AO157" s="64"/>
      <c r="AP157" s="388"/>
    </row>
    <row r="158" spans="1:42">
      <c r="B158" s="6">
        <v>3</v>
      </c>
      <c r="C158" s="58"/>
      <c r="D158" s="10" t="s">
        <v>129</v>
      </c>
      <c r="E158" s="6"/>
      <c r="F158" s="29">
        <v>3527.0941688316079</v>
      </c>
      <c r="G158" s="29"/>
      <c r="H158" s="29">
        <v>0</v>
      </c>
      <c r="I158" s="29"/>
      <c r="J158" s="29">
        <v>0</v>
      </c>
      <c r="K158" s="29"/>
      <c r="L158" s="29"/>
      <c r="M158" s="29"/>
      <c r="N158" s="29">
        <v>2.9012610510117431</v>
      </c>
      <c r="O158" s="29"/>
      <c r="P158" s="29">
        <v>58.27058444301003</v>
      </c>
      <c r="Q158" s="29"/>
      <c r="R158" s="29">
        <v>0</v>
      </c>
      <c r="S158" s="434"/>
      <c r="T158" s="64">
        <f t="shared" si="20"/>
        <v>3465.922323337586</v>
      </c>
      <c r="V158" s="29">
        <v>0</v>
      </c>
      <c r="W158" s="29"/>
      <c r="X158" s="29">
        <v>0</v>
      </c>
      <c r="Y158" s="64"/>
      <c r="Z158" s="64"/>
      <c r="AA158" s="29"/>
      <c r="AB158" s="29">
        <v>0</v>
      </c>
      <c r="AC158" s="129"/>
      <c r="AD158" s="29">
        <v>2.4262608966294046</v>
      </c>
      <c r="AE158" s="29"/>
      <c r="AF158" s="29">
        <v>63.859946715414175</v>
      </c>
      <c r="AH158" s="29">
        <v>0</v>
      </c>
      <c r="AJ158" s="64">
        <f t="shared" si="21"/>
        <v>3532.2085309496297</v>
      </c>
      <c r="AK158" s="64"/>
      <c r="AL158" s="1139">
        <f t="shared" si="22"/>
        <v>1.4500214264809206E-3</v>
      </c>
      <c r="AN158" s="203"/>
      <c r="AO158" s="64"/>
      <c r="AP158" s="388"/>
    </row>
    <row r="159" spans="1:42">
      <c r="B159" s="6">
        <v>4</v>
      </c>
      <c r="C159" s="58"/>
      <c r="D159" s="10" t="s">
        <v>130</v>
      </c>
      <c r="E159" s="6"/>
      <c r="F159" s="29">
        <v>31308.77560693994</v>
      </c>
      <c r="G159" s="29"/>
      <c r="H159" s="29">
        <v>0</v>
      </c>
      <c r="I159" s="29"/>
      <c r="J159" s="29">
        <v>0</v>
      </c>
      <c r="K159" s="29"/>
      <c r="L159" s="29"/>
      <c r="M159" s="29"/>
      <c r="N159" s="29">
        <v>112.99521739962435</v>
      </c>
      <c r="O159" s="29"/>
      <c r="P159" s="29">
        <v>2382.67535616847</v>
      </c>
      <c r="Q159" s="29"/>
      <c r="R159" s="29">
        <v>143.22101713704333</v>
      </c>
      <c r="S159" s="434"/>
      <c r="T159" s="64">
        <f t="shared" si="20"/>
        <v>28669.884016234802</v>
      </c>
      <c r="V159" s="29">
        <v>0</v>
      </c>
      <c r="W159" s="29"/>
      <c r="X159" s="29">
        <v>0</v>
      </c>
      <c r="Y159" s="64"/>
      <c r="Z159" s="64"/>
      <c r="AA159" s="29"/>
      <c r="AB159" s="29">
        <v>0</v>
      </c>
      <c r="AC159" s="129"/>
      <c r="AD159" s="29">
        <v>94.495418599867804</v>
      </c>
      <c r="AE159" s="29"/>
      <c r="AF159" s="29">
        <v>2611.2235313833617</v>
      </c>
      <c r="AH159" s="29">
        <v>127.91867524982882</v>
      </c>
      <c r="AJ159" s="64">
        <f t="shared" si="21"/>
        <v>31503.521641467862</v>
      </c>
      <c r="AK159" s="64"/>
      <c r="AL159" s="1139">
        <f t="shared" si="22"/>
        <v>6.220174080673848E-3</v>
      </c>
      <c r="AN159" s="203"/>
      <c r="AO159" s="64"/>
      <c r="AP159" s="388"/>
    </row>
    <row r="160" spans="1:42">
      <c r="B160" s="6">
        <v>5</v>
      </c>
      <c r="C160" s="58"/>
      <c r="D160" s="10" t="s">
        <v>131</v>
      </c>
      <c r="E160" s="6"/>
      <c r="F160" s="29">
        <v>2544.1730598787467</v>
      </c>
      <c r="G160" s="29"/>
      <c r="H160" s="29">
        <v>0</v>
      </c>
      <c r="I160" s="29"/>
      <c r="J160" s="29">
        <v>0</v>
      </c>
      <c r="K160" s="29"/>
      <c r="L160" s="29"/>
      <c r="M160" s="29"/>
      <c r="N160" s="29">
        <v>40.391816945015499</v>
      </c>
      <c r="O160" s="29"/>
      <c r="P160" s="29">
        <v>822.74413908553538</v>
      </c>
      <c r="Q160" s="29"/>
      <c r="R160" s="29">
        <v>20.314503846852869</v>
      </c>
      <c r="S160" s="434"/>
      <c r="T160" s="64">
        <f t="shared" si="20"/>
        <v>1660.7226000013429</v>
      </c>
      <c r="V160" s="29">
        <v>0</v>
      </c>
      <c r="W160" s="29"/>
      <c r="X160" s="29">
        <v>0</v>
      </c>
      <c r="Y160" s="64"/>
      <c r="Z160" s="64"/>
      <c r="AA160" s="29"/>
      <c r="AB160" s="29">
        <v>0</v>
      </c>
      <c r="AC160" s="129"/>
      <c r="AD160" s="29">
        <v>33.778789386542314</v>
      </c>
      <c r="AE160" s="29"/>
      <c r="AF160" s="29">
        <v>901.66243199100415</v>
      </c>
      <c r="AH160" s="29">
        <v>18.144015957940407</v>
      </c>
      <c r="AJ160" s="64">
        <f t="shared" si="21"/>
        <v>2614.3078373368298</v>
      </c>
      <c r="AK160" s="64"/>
      <c r="AL160" s="1139">
        <f t="shared" si="22"/>
        <v>2.7566826551266802E-2</v>
      </c>
      <c r="AN160" s="203"/>
      <c r="AO160" s="64"/>
      <c r="AP160" s="388"/>
    </row>
    <row r="161" spans="2:42">
      <c r="B161" s="6">
        <v>6</v>
      </c>
      <c r="C161" s="58"/>
      <c r="D161" s="10" t="s">
        <v>132</v>
      </c>
      <c r="E161" s="6"/>
      <c r="F161" s="29">
        <v>588.24265500000001</v>
      </c>
      <c r="G161" s="29"/>
      <c r="H161" s="29">
        <v>0</v>
      </c>
      <c r="I161" s="29"/>
      <c r="J161" s="29">
        <v>0</v>
      </c>
      <c r="K161" s="29"/>
      <c r="L161" s="29"/>
      <c r="M161" s="29"/>
      <c r="N161" s="29">
        <v>0</v>
      </c>
      <c r="O161" s="29"/>
      <c r="P161" s="29">
        <v>588.24265500000001</v>
      </c>
      <c r="Q161" s="29"/>
      <c r="R161" s="29">
        <v>0</v>
      </c>
      <c r="S161" s="434"/>
      <c r="T161" s="64">
        <f t="shared" si="20"/>
        <v>0</v>
      </c>
      <c r="V161" s="29">
        <v>0</v>
      </c>
      <c r="W161" s="29"/>
      <c r="X161" s="29">
        <v>0</v>
      </c>
      <c r="Y161" s="64"/>
      <c r="Z161" s="64"/>
      <c r="AA161" s="29"/>
      <c r="AB161" s="29">
        <v>0</v>
      </c>
      <c r="AC161" s="129"/>
      <c r="AD161" s="29">
        <v>0</v>
      </c>
      <c r="AE161" s="29"/>
      <c r="AF161" s="29">
        <v>717.82949090787918</v>
      </c>
      <c r="AH161" s="29">
        <v>0</v>
      </c>
      <c r="AJ161" s="64">
        <f t="shared" si="21"/>
        <v>717.82949090787918</v>
      </c>
      <c r="AK161" s="64"/>
      <c r="AL161" s="1139">
        <f t="shared" si="22"/>
        <v>0.2202948643836091</v>
      </c>
      <c r="AN161" s="203"/>
      <c r="AO161" s="64"/>
      <c r="AP161" s="388"/>
    </row>
    <row r="162" spans="2:42">
      <c r="B162" s="6">
        <v>7</v>
      </c>
      <c r="C162" s="58"/>
      <c r="D162" s="10" t="s">
        <v>133</v>
      </c>
      <c r="E162" s="6"/>
      <c r="F162" s="29">
        <v>849.64753869574849</v>
      </c>
      <c r="G162" s="29"/>
      <c r="H162" s="29">
        <v>0</v>
      </c>
      <c r="I162" s="29"/>
      <c r="J162" s="29">
        <v>0</v>
      </c>
      <c r="K162" s="29"/>
      <c r="L162" s="29"/>
      <c r="M162" s="29"/>
      <c r="N162" s="29">
        <v>5.5685738769876725</v>
      </c>
      <c r="O162" s="29"/>
      <c r="P162" s="29">
        <v>111.84241907945309</v>
      </c>
      <c r="Q162" s="29"/>
      <c r="R162" s="29">
        <v>0</v>
      </c>
      <c r="S162" s="434"/>
      <c r="T162" s="64">
        <f t="shared" si="20"/>
        <v>732.23654573930776</v>
      </c>
      <c r="V162" s="29">
        <v>0</v>
      </c>
      <c r="W162" s="29"/>
      <c r="X162" s="29">
        <v>0</v>
      </c>
      <c r="Y162" s="64"/>
      <c r="Z162" s="64"/>
      <c r="AA162" s="29"/>
      <c r="AB162" s="29">
        <v>0</v>
      </c>
      <c r="AC162" s="129"/>
      <c r="AD162" s="29">
        <v>4.6568760308610049</v>
      </c>
      <c r="AE162" s="29"/>
      <c r="AF162" s="29">
        <v>122.57043568736097</v>
      </c>
      <c r="AH162" s="29">
        <v>0</v>
      </c>
      <c r="AJ162" s="64">
        <f t="shared" si="21"/>
        <v>859.46385745752968</v>
      </c>
      <c r="AK162" s="64"/>
      <c r="AL162" s="1139">
        <f t="shared" si="22"/>
        <v>1.1553401045390811E-2</v>
      </c>
      <c r="AN162" s="203"/>
      <c r="AO162" s="64"/>
      <c r="AP162" s="388"/>
    </row>
    <row r="163" spans="2:42">
      <c r="B163" s="6">
        <v>8</v>
      </c>
      <c r="C163" s="58"/>
      <c r="D163" s="10" t="s">
        <v>134</v>
      </c>
      <c r="E163" s="6"/>
      <c r="F163" s="29">
        <v>194.44003312700028</v>
      </c>
      <c r="G163" s="29"/>
      <c r="H163" s="29">
        <v>0</v>
      </c>
      <c r="I163" s="29"/>
      <c r="J163" s="29">
        <v>0</v>
      </c>
      <c r="K163" s="29"/>
      <c r="L163" s="29"/>
      <c r="M163" s="29"/>
      <c r="N163" s="29">
        <v>1.662079898703499</v>
      </c>
      <c r="O163" s="29"/>
      <c r="P163" s="29">
        <v>36.932415941470516</v>
      </c>
      <c r="Q163" s="29"/>
      <c r="R163" s="29">
        <v>4.4912034239250485</v>
      </c>
      <c r="S163" s="434"/>
      <c r="T163" s="64">
        <f t="shared" si="20"/>
        <v>151.35433386290123</v>
      </c>
      <c r="V163" s="29">
        <v>0</v>
      </c>
      <c r="W163" s="29"/>
      <c r="X163" s="29">
        <v>0</v>
      </c>
      <c r="Y163" s="64"/>
      <c r="Z163" s="64"/>
      <c r="AA163" s="29"/>
      <c r="AB163" s="29">
        <v>0</v>
      </c>
      <c r="AC163" s="129"/>
      <c r="AD163" s="29">
        <v>1.3899609150620136</v>
      </c>
      <c r="AE163" s="29"/>
      <c r="AF163" s="29">
        <v>40.475003582647929</v>
      </c>
      <c r="AH163" s="29">
        <v>4.0113441710601707</v>
      </c>
      <c r="AJ163" s="64">
        <f t="shared" si="21"/>
        <v>197.23064253167132</v>
      </c>
      <c r="AK163" s="64"/>
      <c r="AL163" s="1139">
        <f t="shared" si="22"/>
        <v>1.4352031111043542E-2</v>
      </c>
      <c r="AN163" s="203"/>
      <c r="AO163" s="64"/>
      <c r="AP163" s="388"/>
    </row>
    <row r="164" spans="2:42">
      <c r="B164" s="6">
        <v>9</v>
      </c>
      <c r="C164" s="58"/>
      <c r="D164" s="10" t="s">
        <v>135</v>
      </c>
      <c r="E164" s="6"/>
      <c r="F164" s="29">
        <v>-955.42230539590537</v>
      </c>
      <c r="G164" s="29"/>
      <c r="H164" s="29">
        <v>0</v>
      </c>
      <c r="I164" s="29"/>
      <c r="J164" s="29">
        <v>0</v>
      </c>
      <c r="K164" s="29"/>
      <c r="L164" s="29"/>
      <c r="M164" s="29"/>
      <c r="N164" s="29">
        <v>34.191490404322586</v>
      </c>
      <c r="O164" s="29"/>
      <c r="P164" s="29">
        <v>719.46119587671501</v>
      </c>
      <c r="Q164" s="29"/>
      <c r="R164" s="29">
        <v>41.417029465537894</v>
      </c>
      <c r="S164" s="434"/>
      <c r="T164" s="64">
        <f t="shared" si="20"/>
        <v>-1750.492021142481</v>
      </c>
      <c r="V164" s="29">
        <v>0</v>
      </c>
      <c r="W164" s="29"/>
      <c r="X164" s="29">
        <v>0</v>
      </c>
      <c r="Y164" s="64"/>
      <c r="Z164" s="64"/>
      <c r="AA164" s="29"/>
      <c r="AB164" s="29">
        <v>0</v>
      </c>
      <c r="AC164" s="129"/>
      <c r="AD164" s="29">
        <v>28.593592478194282</v>
      </c>
      <c r="AE164" s="29"/>
      <c r="AF164" s="29">
        <v>788.47250412307449</v>
      </c>
      <c r="AH164" s="29">
        <v>36.991858094020145</v>
      </c>
      <c r="AJ164" s="64">
        <f t="shared" si="21"/>
        <v>-896.43406644719209</v>
      </c>
      <c r="AK164" s="64"/>
      <c r="AL164" s="1139">
        <f t="shared" si="22"/>
        <v>-6.1740487547304941E-2</v>
      </c>
      <c r="AN164" s="203"/>
      <c r="AO164" s="64"/>
      <c r="AP164" s="388"/>
    </row>
    <row r="165" spans="2:42">
      <c r="B165" s="6">
        <v>10</v>
      </c>
      <c r="C165" s="58"/>
      <c r="D165" s="10" t="s">
        <v>136</v>
      </c>
      <c r="E165" s="6"/>
      <c r="F165" s="29">
        <v>33421.080964512868</v>
      </c>
      <c r="G165" s="29"/>
      <c r="H165" s="29">
        <v>0</v>
      </c>
      <c r="I165" s="29"/>
      <c r="J165" s="29">
        <v>0</v>
      </c>
      <c r="K165" s="29"/>
      <c r="L165" s="29"/>
      <c r="M165" s="29"/>
      <c r="N165" s="29">
        <v>19.975437885703734</v>
      </c>
      <c r="O165" s="29"/>
      <c r="P165" s="29">
        <v>484.16838165175238</v>
      </c>
      <c r="Q165" s="29"/>
      <c r="R165" s="29">
        <v>150.91966472771608</v>
      </c>
      <c r="S165" s="434"/>
      <c r="T165" s="64">
        <f t="shared" si="20"/>
        <v>32766.017480247698</v>
      </c>
      <c r="V165" s="29">
        <v>0</v>
      </c>
      <c r="W165" s="29"/>
      <c r="X165" s="29">
        <v>0</v>
      </c>
      <c r="Y165" s="64"/>
      <c r="Z165" s="64"/>
      <c r="AA165" s="29"/>
      <c r="AB165" s="29">
        <v>0</v>
      </c>
      <c r="AC165" s="129"/>
      <c r="AD165" s="29">
        <v>16.705019983717541</v>
      </c>
      <c r="AE165" s="29"/>
      <c r="AF165" s="29">
        <v>530.61021009337355</v>
      </c>
      <c r="AH165" s="29">
        <v>134.79476662733822</v>
      </c>
      <c r="AJ165" s="64">
        <f t="shared" si="21"/>
        <v>33448.127476952126</v>
      </c>
      <c r="AK165" s="64"/>
      <c r="AL165" s="1139">
        <f t="shared" si="22"/>
        <v>8.0926504046880277E-4</v>
      </c>
      <c r="AN165" s="203"/>
      <c r="AO165" s="64"/>
      <c r="AP165" s="388"/>
    </row>
    <row r="166" spans="2:42" ht="12.95">
      <c r="B166" s="6">
        <v>11</v>
      </c>
      <c r="C166" s="58"/>
      <c r="D166" s="10" t="s">
        <v>137</v>
      </c>
      <c r="E166" s="6"/>
      <c r="F166" s="29">
        <v>0</v>
      </c>
      <c r="G166" s="29"/>
      <c r="H166" s="29">
        <v>0</v>
      </c>
      <c r="I166" s="29"/>
      <c r="J166" s="29">
        <v>0</v>
      </c>
      <c r="K166" s="29"/>
      <c r="L166" s="29"/>
      <c r="M166" s="29"/>
      <c r="N166" s="29">
        <v>0</v>
      </c>
      <c r="O166" s="29"/>
      <c r="P166" s="29">
        <v>0</v>
      </c>
      <c r="Q166" s="29"/>
      <c r="R166" s="29">
        <v>0</v>
      </c>
      <c r="S166" s="141"/>
      <c r="V166" s="29">
        <v>0</v>
      </c>
      <c r="W166" s="29"/>
      <c r="X166" s="29">
        <v>0</v>
      </c>
      <c r="Y166" s="129"/>
      <c r="Z166" s="129"/>
      <c r="AA166" s="29"/>
      <c r="AB166" s="29">
        <v>0</v>
      </c>
      <c r="AC166" s="129"/>
      <c r="AD166" s="29">
        <v>0</v>
      </c>
      <c r="AE166" s="29"/>
      <c r="AF166" s="29">
        <v>0</v>
      </c>
      <c r="AH166" s="29">
        <v>0</v>
      </c>
      <c r="AL166" s="1139"/>
      <c r="AO166" s="64"/>
      <c r="AP166" s="388"/>
    </row>
    <row r="167" spans="2:42">
      <c r="B167" s="6">
        <v>12</v>
      </c>
      <c r="C167" s="58"/>
      <c r="D167" s="2" t="s">
        <v>138</v>
      </c>
      <c r="E167" s="6"/>
      <c r="F167" s="131">
        <f>SUM(F156:F166)</f>
        <v>1989138.4120171375</v>
      </c>
      <c r="G167" s="132"/>
      <c r="H167" s="131">
        <f>SUM(H156:H166)</f>
        <v>0</v>
      </c>
      <c r="I167" s="132"/>
      <c r="J167" s="131">
        <f>SUM(J156:J166)</f>
        <v>0</v>
      </c>
      <c r="K167" s="132"/>
      <c r="L167" s="131"/>
      <c r="M167" s="132"/>
      <c r="N167" s="131">
        <f>SUM(N156:N166)</f>
        <v>1255.405740308197</v>
      </c>
      <c r="O167" s="132"/>
      <c r="P167" s="131">
        <f>SUM(P156:P166)</f>
        <v>30545.422473142604</v>
      </c>
      <c r="Q167" s="132"/>
      <c r="R167" s="131">
        <f>SUM(R156:R166)</f>
        <v>11228.219998296772</v>
      </c>
      <c r="S167" s="63"/>
      <c r="T167" s="131">
        <f>SUM(T156:T166)</f>
        <v>1946109.36380539</v>
      </c>
      <c r="V167" s="131">
        <f>SUM(V156:V166)</f>
        <v>0</v>
      </c>
      <c r="W167" s="129"/>
      <c r="X167" s="131">
        <f>SUM(X156:X166)</f>
        <v>0</v>
      </c>
      <c r="Y167" s="129"/>
      <c r="Z167" s="129"/>
      <c r="AA167" s="129"/>
      <c r="AB167" s="131">
        <f>SUM(AB156:AB166)</f>
        <v>0</v>
      </c>
      <c r="AC167" s="129"/>
      <c r="AD167" s="131">
        <f>SUM(AD156:AD166)</f>
        <v>1049.8682481714875</v>
      </c>
      <c r="AE167" s="129"/>
      <c r="AF167" s="131">
        <f>SUM(AF156:AF166)</f>
        <v>33548.526577903598</v>
      </c>
      <c r="AH167" s="131">
        <f>SUM(AH156:AH166)</f>
        <v>10028.549275148718</v>
      </c>
      <c r="AJ167" s="131">
        <f>SUM(AJ156:AJ166)</f>
        <v>1990736.3079066137</v>
      </c>
      <c r="AK167" s="132"/>
      <c r="AL167" s="1140">
        <f t="shared" si="22"/>
        <v>8.0331055889458524E-4</v>
      </c>
      <c r="AN167" s="203"/>
      <c r="AO167" s="64"/>
      <c r="AP167" s="388"/>
    </row>
    <row r="168" spans="2:42" ht="12.95">
      <c r="B168" s="6"/>
      <c r="C168" s="58"/>
      <c r="D168" s="58"/>
      <c r="E168" s="6"/>
      <c r="F168" s="133"/>
      <c r="G168" s="133"/>
      <c r="H168" s="132"/>
      <c r="I168" s="133"/>
      <c r="J168" s="133"/>
      <c r="K168" s="133"/>
      <c r="L168" s="133"/>
      <c r="M168" s="133"/>
      <c r="N168" s="133"/>
      <c r="O168" s="133"/>
      <c r="P168" s="133"/>
      <c r="Q168" s="133"/>
      <c r="R168" s="133"/>
      <c r="S168" s="63"/>
      <c r="T168" s="6"/>
      <c r="V168" s="129"/>
      <c r="W168" s="129"/>
      <c r="X168" s="129"/>
      <c r="Y168" s="129"/>
      <c r="Z168" s="129"/>
      <c r="AA168" s="129"/>
      <c r="AB168" s="129"/>
      <c r="AC168" s="129"/>
      <c r="AD168" s="133"/>
      <c r="AE168" s="129"/>
      <c r="AF168" s="133"/>
      <c r="AH168" s="133"/>
      <c r="AL168" s="1141"/>
      <c r="AO168" s="64"/>
      <c r="AP168" s="388"/>
    </row>
    <row r="169" spans="2:42" ht="12.95">
      <c r="B169" s="6"/>
      <c r="C169" s="58"/>
      <c r="D169" s="9" t="s">
        <v>139</v>
      </c>
      <c r="E169" s="6"/>
      <c r="F169" s="133"/>
      <c r="G169" s="133"/>
      <c r="H169" s="132"/>
      <c r="I169" s="133"/>
      <c r="J169" s="133"/>
      <c r="K169" s="133"/>
      <c r="L169" s="133"/>
      <c r="M169" s="133"/>
      <c r="N169" s="133"/>
      <c r="O169" s="133"/>
      <c r="P169" s="133"/>
      <c r="Q169" s="133"/>
      <c r="R169" s="133"/>
      <c r="S169" s="63"/>
      <c r="T169" s="6"/>
      <c r="V169" s="129"/>
      <c r="W169" s="129"/>
      <c r="X169" s="129"/>
      <c r="Y169" s="129"/>
      <c r="Z169" s="129"/>
      <c r="AA169" s="129"/>
      <c r="AB169" s="129"/>
      <c r="AC169" s="129"/>
      <c r="AD169" s="133"/>
      <c r="AE169" s="129"/>
      <c r="AF169" s="133"/>
      <c r="AH169" s="133"/>
      <c r="AL169" s="1141"/>
      <c r="AO169" s="64"/>
      <c r="AP169" s="388"/>
    </row>
    <row r="170" spans="2:42">
      <c r="B170" s="6">
        <v>13</v>
      </c>
      <c r="C170" s="58"/>
      <c r="D170" s="10" t="s">
        <v>140</v>
      </c>
      <c r="E170" s="6"/>
      <c r="F170" s="29">
        <v>244587.59816029092</v>
      </c>
      <c r="G170" s="29"/>
      <c r="H170" s="29">
        <v>0</v>
      </c>
      <c r="I170" s="29"/>
      <c r="J170" s="29">
        <v>0</v>
      </c>
      <c r="K170" s="29"/>
      <c r="L170" s="29"/>
      <c r="M170" s="29"/>
      <c r="N170" s="29">
        <v>633.99502918357121</v>
      </c>
      <c r="O170" s="29"/>
      <c r="P170" s="29">
        <v>419.94052423709411</v>
      </c>
      <c r="Q170" s="29"/>
      <c r="R170" s="29">
        <v>1855.1570796763663</v>
      </c>
      <c r="S170" s="434"/>
      <c r="T170" s="64">
        <f>F170-SUM(H170:R170)</f>
        <v>241678.50552719389</v>
      </c>
      <c r="V170" s="29">
        <v>0</v>
      </c>
      <c r="W170" s="29"/>
      <c r="X170" s="29">
        <v>0</v>
      </c>
      <c r="Y170" s="129"/>
      <c r="Z170" s="129"/>
      <c r="AA170" s="29"/>
      <c r="AB170" s="29">
        <v>0</v>
      </c>
      <c r="AC170" s="129"/>
      <c r="AD170" s="29">
        <v>594.2901811550862</v>
      </c>
      <c r="AE170" s="29"/>
      <c r="AF170" s="29">
        <v>515.8565803135383</v>
      </c>
      <c r="AH170" s="29">
        <v>1857.2479959658408</v>
      </c>
      <c r="AJ170" s="64">
        <f>SUM(T170:AH170)</f>
        <v>244645.90028462835</v>
      </c>
      <c r="AK170" s="64"/>
      <c r="AL170" s="1139">
        <f t="shared" ref="AL170:AL175" si="23">(AJ170-F170)/F170</f>
        <v>2.3836909465552839E-4</v>
      </c>
      <c r="AN170" s="22"/>
      <c r="AO170" s="64"/>
      <c r="AP170" s="388"/>
    </row>
    <row r="171" spans="2:42">
      <c r="B171" s="6">
        <v>14</v>
      </c>
      <c r="C171" s="58"/>
      <c r="D171" s="10" t="s">
        <v>141</v>
      </c>
      <c r="E171" s="6"/>
      <c r="F171" s="29">
        <v>53386.376133605205</v>
      </c>
      <c r="G171" s="29"/>
      <c r="H171" s="29">
        <v>0</v>
      </c>
      <c r="I171" s="29"/>
      <c r="J171" s="29">
        <v>0</v>
      </c>
      <c r="K171" s="29"/>
      <c r="L171" s="29"/>
      <c r="M171" s="29"/>
      <c r="N171" s="29">
        <v>54.6662150220398</v>
      </c>
      <c r="O171" s="29"/>
      <c r="P171" s="29">
        <v>128.39221721433157</v>
      </c>
      <c r="Q171" s="29"/>
      <c r="R171" s="29">
        <v>578.56725669838522</v>
      </c>
      <c r="S171" s="434"/>
      <c r="T171" s="64">
        <f>F171-SUM(H171:R171)</f>
        <v>52624.750444670448</v>
      </c>
      <c r="V171" s="29">
        <v>0</v>
      </c>
      <c r="W171" s="29"/>
      <c r="X171" s="29">
        <v>0</v>
      </c>
      <c r="Y171" s="129"/>
      <c r="Z171" s="129"/>
      <c r="AA171" s="29"/>
      <c r="AB171" s="29">
        <v>0</v>
      </c>
      <c r="AC171" s="129"/>
      <c r="AD171" s="29">
        <v>51.24266489967107</v>
      </c>
      <c r="AE171" s="29"/>
      <c r="AF171" s="29">
        <v>157.71750114229079</v>
      </c>
      <c r="AH171" s="29">
        <v>579.21935010591403</v>
      </c>
      <c r="AJ171" s="64">
        <f>SUM(T171:AH171)</f>
        <v>53412.929960818321</v>
      </c>
      <c r="AK171" s="64"/>
      <c r="AL171" s="1139">
        <f t="shared" si="23"/>
        <v>4.9738958019293774E-4</v>
      </c>
      <c r="AN171" s="22"/>
      <c r="AO171" s="64"/>
      <c r="AP171" s="388"/>
    </row>
    <row r="172" spans="2:42">
      <c r="B172" s="6">
        <v>15</v>
      </c>
      <c r="C172" s="58"/>
      <c r="D172" s="10" t="s">
        <v>142</v>
      </c>
      <c r="E172" s="6"/>
      <c r="F172" s="29">
        <v>9683.3412387697226</v>
      </c>
      <c r="G172" s="29"/>
      <c r="H172" s="29">
        <v>0</v>
      </c>
      <c r="I172" s="29"/>
      <c r="J172" s="29">
        <v>0</v>
      </c>
      <c r="K172" s="29"/>
      <c r="L172" s="29"/>
      <c r="M172" s="29"/>
      <c r="N172" s="29">
        <v>67.252376714950017</v>
      </c>
      <c r="O172" s="29"/>
      <c r="P172" s="29">
        <v>40.689596186354336</v>
      </c>
      <c r="Q172" s="29"/>
      <c r="R172" s="29">
        <v>166.77869668835763</v>
      </c>
      <c r="S172" s="434"/>
      <c r="T172" s="64">
        <f>F172-SUM(H172:R172)</f>
        <v>9408.6205691800606</v>
      </c>
      <c r="V172" s="29">
        <v>0</v>
      </c>
      <c r="W172" s="29"/>
      <c r="X172" s="29">
        <v>0</v>
      </c>
      <c r="Y172" s="129"/>
      <c r="Z172" s="129"/>
      <c r="AA172" s="29"/>
      <c r="AB172" s="29">
        <v>0</v>
      </c>
      <c r="AC172" s="129"/>
      <c r="AD172" s="29">
        <v>63.040600164493235</v>
      </c>
      <c r="AE172" s="29"/>
      <c r="AF172" s="29">
        <v>49.983258894016146</v>
      </c>
      <c r="AH172" s="29">
        <v>166.96667014756673</v>
      </c>
      <c r="AJ172" s="64">
        <f>SUM(T172:AH172)</f>
        <v>9688.6110983861363</v>
      </c>
      <c r="AK172" s="64"/>
      <c r="AL172" s="1139">
        <f t="shared" si="23"/>
        <v>5.4421913743103918E-4</v>
      </c>
      <c r="AN172" s="22"/>
      <c r="AO172" s="64"/>
      <c r="AP172" s="388"/>
    </row>
    <row r="173" spans="2:42">
      <c r="B173" s="6">
        <v>16</v>
      </c>
      <c r="C173" s="58"/>
      <c r="D173" s="10" t="s">
        <v>143</v>
      </c>
      <c r="E173" s="6"/>
      <c r="F173" s="29">
        <v>1318.7175718850137</v>
      </c>
      <c r="G173" s="29"/>
      <c r="H173" s="29">
        <v>0</v>
      </c>
      <c r="I173" s="29"/>
      <c r="J173" s="29">
        <v>0</v>
      </c>
      <c r="K173" s="29"/>
      <c r="L173" s="29"/>
      <c r="M173" s="29"/>
      <c r="N173" s="29">
        <v>14.737676449939997</v>
      </c>
      <c r="O173" s="29"/>
      <c r="P173" s="29">
        <v>0</v>
      </c>
      <c r="Q173" s="29"/>
      <c r="R173" s="29">
        <v>0</v>
      </c>
      <c r="S173" s="434"/>
      <c r="T173" s="64">
        <f>F173-SUM(H173:R173)</f>
        <v>1303.9798954350738</v>
      </c>
      <c r="V173" s="29">
        <v>0</v>
      </c>
      <c r="W173" s="29"/>
      <c r="X173" s="29">
        <v>0</v>
      </c>
      <c r="Y173" s="129"/>
      <c r="Z173" s="129"/>
      <c r="AA173" s="29"/>
      <c r="AB173" s="29">
        <v>0</v>
      </c>
      <c r="AC173" s="129"/>
      <c r="AD173" s="29">
        <v>13.814708324320168</v>
      </c>
      <c r="AE173" s="29"/>
      <c r="AF173" s="29">
        <v>0</v>
      </c>
      <c r="AH173" s="29">
        <v>0</v>
      </c>
      <c r="AJ173" s="64">
        <f>SUM(T173:AH173)</f>
        <v>1317.794603759394</v>
      </c>
      <c r="AK173" s="64"/>
      <c r="AL173" s="1139">
        <f t="shared" si="23"/>
        <v>-6.9989825364987011E-4</v>
      </c>
      <c r="AN173" s="22"/>
      <c r="AO173" s="64"/>
      <c r="AP173" s="388"/>
    </row>
    <row r="174" spans="2:42">
      <c r="B174" s="6">
        <v>17</v>
      </c>
      <c r="C174" s="58"/>
      <c r="D174" s="10" t="s">
        <v>129</v>
      </c>
      <c r="E174" s="6"/>
      <c r="F174" s="29">
        <v>23.194032140369998</v>
      </c>
      <c r="G174" s="29"/>
      <c r="H174" s="29">
        <v>0</v>
      </c>
      <c r="I174" s="29"/>
      <c r="J174" s="29">
        <v>0</v>
      </c>
      <c r="K174" s="29"/>
      <c r="L174" s="29"/>
      <c r="M174" s="29"/>
      <c r="N174" s="29">
        <v>23.194032140369998</v>
      </c>
      <c r="O174" s="29"/>
      <c r="P174" s="29">
        <v>0</v>
      </c>
      <c r="Q174" s="29"/>
      <c r="R174" s="29">
        <v>0</v>
      </c>
      <c r="S174" s="434"/>
      <c r="T174" s="64">
        <f>F174-SUM(H174:R174)</f>
        <v>0</v>
      </c>
      <c r="V174" s="29">
        <v>0</v>
      </c>
      <c r="W174" s="29"/>
      <c r="X174" s="29">
        <v>0</v>
      </c>
      <c r="Y174" s="129"/>
      <c r="Z174" s="129"/>
      <c r="AA174" s="29"/>
      <c r="AB174" s="29">
        <v>0</v>
      </c>
      <c r="AC174" s="129"/>
      <c r="AD174" s="29">
        <v>21.741472610862168</v>
      </c>
      <c r="AE174" s="29"/>
      <c r="AF174" s="29">
        <v>0</v>
      </c>
      <c r="AH174" s="29">
        <v>0</v>
      </c>
      <c r="AJ174" s="64">
        <f>SUM(T174:AH174)</f>
        <v>21.741472610862168</v>
      </c>
      <c r="AK174" s="64"/>
      <c r="AL174" s="1139">
        <f t="shared" si="23"/>
        <v>-6.2626434279169654E-2</v>
      </c>
      <c r="AN174" s="22"/>
      <c r="AO174" s="64"/>
      <c r="AP174" s="388"/>
    </row>
    <row r="175" spans="2:42">
      <c r="B175" s="6">
        <v>18</v>
      </c>
      <c r="C175" s="58"/>
      <c r="D175" s="2" t="s">
        <v>144</v>
      </c>
      <c r="E175" s="6"/>
      <c r="F175" s="131">
        <f>SUM(F170:F174)</f>
        <v>308999.22713669122</v>
      </c>
      <c r="G175" s="132"/>
      <c r="H175" s="131">
        <f>SUM(H170:H174)</f>
        <v>0</v>
      </c>
      <c r="I175" s="132"/>
      <c r="J175" s="131">
        <f>SUM(J170:J174)</f>
        <v>0</v>
      </c>
      <c r="K175" s="132"/>
      <c r="L175" s="131"/>
      <c r="M175" s="132"/>
      <c r="N175" s="131">
        <f>SUM(N170:N174)</f>
        <v>793.84532951087101</v>
      </c>
      <c r="O175" s="132"/>
      <c r="P175" s="131">
        <f>SUM(P170:P174)</f>
        <v>589.02233763778008</v>
      </c>
      <c r="Q175" s="132"/>
      <c r="R175" s="131">
        <f>SUM(R170:R174)</f>
        <v>2600.5030330631093</v>
      </c>
      <c r="S175" s="63"/>
      <c r="T175" s="131">
        <f>SUM(T170:T174)</f>
        <v>305015.85643647949</v>
      </c>
      <c r="V175" s="131">
        <f>SUM(V170:V174)</f>
        <v>0</v>
      </c>
      <c r="W175" s="129"/>
      <c r="X175" s="131">
        <f>SUM(X170:X174)</f>
        <v>0</v>
      </c>
      <c r="Y175" s="129"/>
      <c r="Z175" s="129"/>
      <c r="AA175" s="129"/>
      <c r="AB175" s="131">
        <f>SUM(AB170:AB174)</f>
        <v>0</v>
      </c>
      <c r="AC175" s="129"/>
      <c r="AD175" s="131">
        <f>SUM(AD170:AD174)</f>
        <v>744.1296271544328</v>
      </c>
      <c r="AE175" s="129"/>
      <c r="AF175" s="131">
        <f>SUM(AF170:AF174)</f>
        <v>723.55734034984516</v>
      </c>
      <c r="AH175" s="131">
        <f>SUM(AH170:AH174)</f>
        <v>2603.4340162193216</v>
      </c>
      <c r="AJ175" s="131">
        <f>SUM(AJ170:AJ174)</f>
        <v>309086.97742020304</v>
      </c>
      <c r="AK175" s="132"/>
      <c r="AL175" s="1140">
        <f t="shared" si="23"/>
        <v>2.8398221032767602E-4</v>
      </c>
      <c r="AN175" s="131"/>
      <c r="AO175" s="64"/>
      <c r="AP175" s="388"/>
    </row>
    <row r="176" spans="2:42" ht="12.95">
      <c r="B176" s="6"/>
      <c r="C176" s="58"/>
      <c r="D176" s="58"/>
      <c r="E176" s="6"/>
      <c r="F176" s="133"/>
      <c r="G176" s="133"/>
      <c r="H176" s="132"/>
      <c r="I176" s="133"/>
      <c r="J176" s="133"/>
      <c r="K176" s="133"/>
      <c r="L176" s="133"/>
      <c r="M176" s="133"/>
      <c r="N176" s="133"/>
      <c r="O176" s="133"/>
      <c r="P176" s="133"/>
      <c r="Q176" s="133"/>
      <c r="R176" s="133"/>
      <c r="S176" s="141"/>
      <c r="T176" s="6"/>
      <c r="V176" s="129"/>
      <c r="W176" s="129"/>
      <c r="X176" s="129"/>
      <c r="Y176" s="129"/>
      <c r="Z176" s="129"/>
      <c r="AA176" s="129"/>
      <c r="AB176" s="129"/>
      <c r="AC176" s="129"/>
      <c r="AD176" s="133"/>
      <c r="AE176" s="129"/>
      <c r="AF176" s="133"/>
      <c r="AH176" s="133"/>
      <c r="AL176" s="1141"/>
      <c r="AO176" s="64"/>
      <c r="AP176" s="388"/>
    </row>
    <row r="177" spans="2:42" ht="12.95">
      <c r="B177" s="6"/>
      <c r="C177" s="58"/>
      <c r="D177" s="14" t="s">
        <v>145</v>
      </c>
      <c r="E177" s="6"/>
      <c r="F177" s="133"/>
      <c r="G177" s="133"/>
      <c r="H177" s="132"/>
      <c r="I177" s="133"/>
      <c r="J177" s="133"/>
      <c r="K177" s="133"/>
      <c r="L177" s="133"/>
      <c r="M177" s="133"/>
      <c r="N177" s="133"/>
      <c r="O177" s="133"/>
      <c r="P177" s="133"/>
      <c r="Q177" s="133"/>
      <c r="R177" s="133"/>
      <c r="S177" s="63"/>
      <c r="T177" s="6"/>
      <c r="V177" s="129"/>
      <c r="W177" s="129"/>
      <c r="X177" s="129"/>
      <c r="Y177" s="129"/>
      <c r="Z177" s="129"/>
      <c r="AA177" s="129"/>
      <c r="AB177" s="129"/>
      <c r="AC177" s="129"/>
      <c r="AD177" s="133"/>
      <c r="AE177" s="129"/>
      <c r="AF177" s="133"/>
      <c r="AH177" s="133"/>
      <c r="AL177" s="1141"/>
      <c r="AO177" s="64"/>
      <c r="AP177" s="388"/>
    </row>
    <row r="178" spans="2:42">
      <c r="B178" s="6">
        <v>19</v>
      </c>
      <c r="C178" s="58"/>
      <c r="D178" s="436" t="s">
        <v>146</v>
      </c>
      <c r="E178" s="6"/>
      <c r="F178" s="29">
        <v>636281.79403965222</v>
      </c>
      <c r="G178" s="29"/>
      <c r="H178" s="29">
        <v>0</v>
      </c>
      <c r="I178" s="29"/>
      <c r="J178" s="29">
        <v>0</v>
      </c>
      <c r="K178" s="29"/>
      <c r="L178" s="29"/>
      <c r="M178" s="29"/>
      <c r="N178" s="29">
        <v>1662.2711717529742</v>
      </c>
      <c r="O178" s="29"/>
      <c r="P178" s="29">
        <v>2033.0541288685467</v>
      </c>
      <c r="Q178" s="29"/>
      <c r="R178" s="29">
        <v>2183.0645940097743</v>
      </c>
      <c r="S178" s="434"/>
      <c r="T178" s="64">
        <f t="shared" ref="T178:T186" si="24">F178-SUM(H178:R178)</f>
        <v>630403.40414502088</v>
      </c>
      <c r="V178" s="29">
        <v>0</v>
      </c>
      <c r="W178" s="29"/>
      <c r="X178" s="29">
        <v>0</v>
      </c>
      <c r="Y178" s="129"/>
      <c r="Z178" s="129"/>
      <c r="AA178" s="29"/>
      <c r="AB178" s="29">
        <v>0</v>
      </c>
      <c r="AC178" s="129"/>
      <c r="AD178" s="29">
        <v>1558.1690554610284</v>
      </c>
      <c r="AE178" s="29"/>
      <c r="AF178" s="29">
        <v>2497.4116332681588</v>
      </c>
      <c r="AH178" s="29">
        <v>2185.5250893341849</v>
      </c>
      <c r="AJ178" s="64">
        <f t="shared" ref="AJ178:AJ186" si="25">SUM(T178:AH178)</f>
        <v>636644.50992308429</v>
      </c>
      <c r="AK178" s="64"/>
      <c r="AL178" s="1139">
        <f t="shared" ref="AL178:AL204" si="26">(AJ178-F178)/F178</f>
        <v>5.7005541700202826E-4</v>
      </c>
      <c r="AN178" s="22"/>
      <c r="AO178" s="64"/>
      <c r="AP178" s="388"/>
    </row>
    <row r="179" spans="2:42">
      <c r="B179" s="6">
        <v>20</v>
      </c>
      <c r="C179" s="58"/>
      <c r="D179" s="436" t="s">
        <v>147</v>
      </c>
      <c r="E179" s="6"/>
      <c r="F179" s="29">
        <v>148772.75139317909</v>
      </c>
      <c r="G179" s="29"/>
      <c r="H179" s="29">
        <v>0</v>
      </c>
      <c r="I179" s="29"/>
      <c r="J179" s="29">
        <v>0</v>
      </c>
      <c r="K179" s="29"/>
      <c r="L179" s="29"/>
      <c r="M179" s="29"/>
      <c r="N179" s="29">
        <v>179.18666996406699</v>
      </c>
      <c r="O179" s="29"/>
      <c r="P179" s="29">
        <v>775.9686179721092</v>
      </c>
      <c r="Q179" s="29"/>
      <c r="R179" s="29">
        <v>884.99160096949186</v>
      </c>
      <c r="S179" s="434"/>
      <c r="T179" s="64">
        <f t="shared" si="24"/>
        <v>146932.60450427342</v>
      </c>
      <c r="V179" s="29">
        <v>0</v>
      </c>
      <c r="W179" s="29"/>
      <c r="X179" s="29">
        <v>0</v>
      </c>
      <c r="Y179" s="129"/>
      <c r="Z179" s="129"/>
      <c r="AA179" s="29"/>
      <c r="AB179" s="29">
        <v>0</v>
      </c>
      <c r="AC179" s="129"/>
      <c r="AD179" s="29">
        <v>167.96484775385909</v>
      </c>
      <c r="AE179" s="29"/>
      <c r="AF179" s="29">
        <v>953.2028813483023</v>
      </c>
      <c r="AH179" s="29">
        <v>885.98906009291989</v>
      </c>
      <c r="AJ179" s="64">
        <f t="shared" si="25"/>
        <v>148939.7612934685</v>
      </c>
      <c r="AK179" s="64"/>
      <c r="AL179" s="1139">
        <f t="shared" si="26"/>
        <v>1.1225839323764104E-3</v>
      </c>
      <c r="AN179" s="22"/>
      <c r="AO179" s="64"/>
      <c r="AP179" s="388"/>
    </row>
    <row r="180" spans="2:42">
      <c r="B180" s="6">
        <v>21</v>
      </c>
      <c r="C180" s="58"/>
      <c r="D180" s="436" t="s">
        <v>148</v>
      </c>
      <c r="E180" s="6"/>
      <c r="F180" s="29">
        <v>13655.540693746685</v>
      </c>
      <c r="G180" s="29"/>
      <c r="H180" s="29">
        <v>0</v>
      </c>
      <c r="I180" s="29"/>
      <c r="J180" s="29">
        <v>0</v>
      </c>
      <c r="K180" s="29"/>
      <c r="L180" s="29"/>
      <c r="M180" s="29"/>
      <c r="N180" s="29">
        <v>118.18766861766194</v>
      </c>
      <c r="O180" s="29"/>
      <c r="P180" s="29">
        <v>563.35125717319295</v>
      </c>
      <c r="Q180" s="29"/>
      <c r="R180" s="29">
        <v>650.01899891327685</v>
      </c>
      <c r="S180" s="434"/>
      <c r="T180" s="64">
        <f t="shared" si="24"/>
        <v>12323.982769042554</v>
      </c>
      <c r="V180" s="29">
        <v>0</v>
      </c>
      <c r="W180" s="29"/>
      <c r="X180" s="29">
        <v>0</v>
      </c>
      <c r="Y180" s="129"/>
      <c r="Z180" s="129"/>
      <c r="AA180" s="29"/>
      <c r="AB180" s="29">
        <v>0</v>
      </c>
      <c r="AC180" s="129"/>
      <c r="AD180" s="29">
        <v>110.78599635636968</v>
      </c>
      <c r="AE180" s="29"/>
      <c r="AF180" s="29">
        <v>692.02288483266602</v>
      </c>
      <c r="AH180" s="29">
        <v>650.75162437566246</v>
      </c>
      <c r="AJ180" s="64">
        <f t="shared" si="25"/>
        <v>13777.543274607251</v>
      </c>
      <c r="AK180" s="64"/>
      <c r="AL180" s="1139">
        <f t="shared" si="26"/>
        <v>8.9342914789478055E-3</v>
      </c>
      <c r="AN180" s="22"/>
      <c r="AO180" s="64"/>
      <c r="AP180" s="388"/>
    </row>
    <row r="181" spans="2:42">
      <c r="B181" s="6">
        <v>22</v>
      </c>
      <c r="C181" s="58"/>
      <c r="D181" s="436" t="s">
        <v>149</v>
      </c>
      <c r="E181" s="6"/>
      <c r="F181" s="29">
        <v>540.2316820100001</v>
      </c>
      <c r="G181" s="29"/>
      <c r="H181" s="29">
        <v>0</v>
      </c>
      <c r="I181" s="29"/>
      <c r="J181" s="29">
        <v>0</v>
      </c>
      <c r="K181" s="29"/>
      <c r="L181" s="29"/>
      <c r="M181" s="29"/>
      <c r="N181" s="29">
        <v>9.0967746290458837</v>
      </c>
      <c r="O181" s="29"/>
      <c r="P181" s="29">
        <v>47.995515664411222</v>
      </c>
      <c r="Q181" s="29"/>
      <c r="R181" s="29">
        <v>36.626981708674684</v>
      </c>
      <c r="S181" s="434"/>
      <c r="T181" s="64">
        <f t="shared" si="24"/>
        <v>446.51241000786831</v>
      </c>
      <c r="V181" s="29">
        <v>0</v>
      </c>
      <c r="W181" s="29"/>
      <c r="X181" s="29">
        <v>0</v>
      </c>
      <c r="Y181" s="129"/>
      <c r="Z181" s="129"/>
      <c r="AA181" s="29"/>
      <c r="AB181" s="29">
        <v>0</v>
      </c>
      <c r="AC181" s="129"/>
      <c r="AD181" s="29">
        <v>8.5270760705875244</v>
      </c>
      <c r="AE181" s="29"/>
      <c r="AF181" s="29">
        <v>58.95787891870485</v>
      </c>
      <c r="AH181" s="29">
        <v>36.668263362680136</v>
      </c>
      <c r="AJ181" s="64">
        <f t="shared" si="25"/>
        <v>550.66562835984075</v>
      </c>
      <c r="AK181" s="64"/>
      <c r="AL181" s="1139">
        <f t="shared" si="26"/>
        <v>1.9313836447021841E-2</v>
      </c>
      <c r="AN181" s="22"/>
      <c r="AO181" s="64"/>
      <c r="AP181" s="388"/>
    </row>
    <row r="182" spans="2:42">
      <c r="B182" s="6">
        <v>23</v>
      </c>
      <c r="C182" s="58"/>
      <c r="D182" s="436" t="s">
        <v>150</v>
      </c>
      <c r="E182" s="6"/>
      <c r="F182" s="29">
        <v>9134.1924398536394</v>
      </c>
      <c r="G182" s="29"/>
      <c r="H182" s="29">
        <v>0</v>
      </c>
      <c r="I182" s="29"/>
      <c r="J182" s="29">
        <v>0</v>
      </c>
      <c r="K182" s="29"/>
      <c r="L182" s="29"/>
      <c r="M182" s="29"/>
      <c r="N182" s="29">
        <v>106.71630746656433</v>
      </c>
      <c r="O182" s="29"/>
      <c r="P182" s="29">
        <v>665.37093368938702</v>
      </c>
      <c r="Q182" s="29"/>
      <c r="R182" s="29">
        <v>966.64360229889542</v>
      </c>
      <c r="S182" s="434"/>
      <c r="T182" s="64">
        <f t="shared" si="24"/>
        <v>7395.4615963987926</v>
      </c>
      <c r="V182" s="29">
        <v>0</v>
      </c>
      <c r="W182" s="29"/>
      <c r="X182" s="29">
        <v>0</v>
      </c>
      <c r="Y182" s="129"/>
      <c r="Z182" s="129"/>
      <c r="AA182" s="29"/>
      <c r="AB182" s="29">
        <v>0</v>
      </c>
      <c r="AC182" s="129"/>
      <c r="AD182" s="29">
        <v>100.03304565049389</v>
      </c>
      <c r="AE182" s="29"/>
      <c r="AF182" s="29">
        <v>817.34425396689221</v>
      </c>
      <c r="AH182" s="29">
        <v>967.733090017378</v>
      </c>
      <c r="AJ182" s="64">
        <f t="shared" si="25"/>
        <v>9280.5719860335576</v>
      </c>
      <c r="AK182" s="64"/>
      <c r="AL182" s="1139">
        <f t="shared" si="26"/>
        <v>1.6025450212899573E-2</v>
      </c>
      <c r="AN182" s="22"/>
      <c r="AO182" s="64"/>
      <c r="AP182" s="388"/>
    </row>
    <row r="183" spans="2:42">
      <c r="B183" s="6">
        <v>24</v>
      </c>
      <c r="C183" s="58"/>
      <c r="D183" s="436" t="s">
        <v>151</v>
      </c>
      <c r="E183" s="6"/>
      <c r="F183" s="29">
        <v>3388.1870306950996</v>
      </c>
      <c r="G183" s="29"/>
      <c r="H183" s="29">
        <v>0</v>
      </c>
      <c r="I183" s="29"/>
      <c r="J183" s="29">
        <v>0</v>
      </c>
      <c r="K183" s="29"/>
      <c r="L183" s="29"/>
      <c r="M183" s="29"/>
      <c r="N183" s="29">
        <v>2.8522366222343125</v>
      </c>
      <c r="O183" s="29"/>
      <c r="P183" s="29">
        <v>53.547075007156863</v>
      </c>
      <c r="Q183" s="29"/>
      <c r="R183" s="29">
        <v>75.954499308342562</v>
      </c>
      <c r="S183" s="434"/>
      <c r="T183" s="64">
        <f t="shared" si="24"/>
        <v>3255.8332197573659</v>
      </c>
      <c r="V183" s="29">
        <v>0</v>
      </c>
      <c r="W183" s="29"/>
      <c r="X183" s="29">
        <v>0</v>
      </c>
      <c r="Y183" s="129"/>
      <c r="Z183" s="129"/>
      <c r="AA183" s="29"/>
      <c r="AB183" s="29">
        <v>0</v>
      </c>
      <c r="AC183" s="129"/>
      <c r="AD183" s="29">
        <v>2.6736112128633147</v>
      </c>
      <c r="AE183" s="29"/>
      <c r="AF183" s="29">
        <v>65.777436100425092</v>
      </c>
      <c r="AH183" s="29">
        <v>76.040106344858529</v>
      </c>
      <c r="AJ183" s="64">
        <f t="shared" si="25"/>
        <v>3400.3243734155126</v>
      </c>
      <c r="AK183" s="64"/>
      <c r="AL183" s="1139">
        <f t="shared" si="26"/>
        <v>3.5822528716553744E-3</v>
      </c>
      <c r="AN183" s="22"/>
      <c r="AO183" s="64"/>
      <c r="AP183" s="388"/>
    </row>
    <row r="184" spans="2:42">
      <c r="B184" s="6">
        <v>25</v>
      </c>
      <c r="D184" s="436" t="s">
        <v>152</v>
      </c>
      <c r="E184" s="6"/>
      <c r="F184" s="29">
        <v>481.61601986855999</v>
      </c>
      <c r="G184" s="29"/>
      <c r="H184" s="29">
        <v>0</v>
      </c>
      <c r="I184" s="29"/>
      <c r="J184" s="29">
        <v>0</v>
      </c>
      <c r="K184" s="29"/>
      <c r="L184" s="29"/>
      <c r="M184" s="29"/>
      <c r="N184" s="29">
        <v>31.389357744205046</v>
      </c>
      <c r="O184" s="29"/>
      <c r="P184" s="29">
        <v>154.05655875252384</v>
      </c>
      <c r="Q184" s="29"/>
      <c r="R184" s="29">
        <v>244.41388709747616</v>
      </c>
      <c r="S184" s="434"/>
      <c r="T184" s="64">
        <f t="shared" si="24"/>
        <v>51.756216274354927</v>
      </c>
      <c r="V184" s="29">
        <v>0</v>
      </c>
      <c r="W184" s="29"/>
      <c r="X184" s="29">
        <v>0</v>
      </c>
      <c r="Y184" s="129"/>
      <c r="Z184" s="129"/>
      <c r="AA184" s="29"/>
      <c r="AB184" s="29">
        <v>0</v>
      </c>
      <c r="AC184" s="129"/>
      <c r="AD184" s="29">
        <v>29.423554194372251</v>
      </c>
      <c r="AE184" s="29"/>
      <c r="AF184" s="29">
        <v>187.99442747031662</v>
      </c>
      <c r="AH184" s="29">
        <v>243.07409816296237</v>
      </c>
      <c r="AJ184" s="64">
        <f t="shared" si="25"/>
        <v>512.24829610200618</v>
      </c>
      <c r="AK184" s="64"/>
      <c r="AL184" s="1139">
        <f t="shared" si="26"/>
        <v>6.3603109053154389E-2</v>
      </c>
      <c r="AN184" s="22"/>
      <c r="AO184" s="64"/>
      <c r="AP184" s="388"/>
    </row>
    <row r="185" spans="2:42">
      <c r="B185" s="6">
        <v>26</v>
      </c>
      <c r="D185" s="436" t="s">
        <v>153</v>
      </c>
      <c r="E185" s="6"/>
      <c r="F185" s="29">
        <v>4586.3325253918983</v>
      </c>
      <c r="G185" s="29"/>
      <c r="H185" s="29">
        <v>0</v>
      </c>
      <c r="I185" s="29"/>
      <c r="J185" s="29">
        <v>0</v>
      </c>
      <c r="K185" s="29"/>
      <c r="L185" s="29"/>
      <c r="M185" s="29"/>
      <c r="N185" s="29">
        <v>109.9260462507728</v>
      </c>
      <c r="O185" s="29"/>
      <c r="P185" s="29">
        <v>2565.4189413444342</v>
      </c>
      <c r="Q185" s="29"/>
      <c r="R185" s="29">
        <v>1387.0988552155645</v>
      </c>
      <c r="S185" s="434"/>
      <c r="T185" s="64">
        <f t="shared" si="24"/>
        <v>523.88868258112689</v>
      </c>
      <c r="V185" s="29">
        <v>0</v>
      </c>
      <c r="W185" s="29"/>
      <c r="X185" s="29">
        <v>0</v>
      </c>
      <c r="Y185" s="129"/>
      <c r="Z185" s="129"/>
      <c r="AA185" s="29"/>
      <c r="AB185" s="29">
        <v>0</v>
      </c>
      <c r="AC185" s="129"/>
      <c r="AD185" s="29">
        <v>103.04176993967982</v>
      </c>
      <c r="AE185" s="29"/>
      <c r="AF185" s="29">
        <v>3130.5675591150489</v>
      </c>
      <c r="AH185" s="29">
        <v>1379.4952786783879</v>
      </c>
      <c r="AJ185" s="64">
        <f t="shared" si="25"/>
        <v>5136.9932903142435</v>
      </c>
      <c r="AK185" s="64"/>
      <c r="AL185" s="1139">
        <f t="shared" si="26"/>
        <v>0.12006559966457984</v>
      </c>
      <c r="AN185" s="22"/>
      <c r="AP185" s="388"/>
    </row>
    <row r="186" spans="2:42">
      <c r="B186" s="6">
        <v>27</v>
      </c>
      <c r="D186" s="436" t="s">
        <v>154</v>
      </c>
      <c r="E186" s="6"/>
      <c r="F186" s="29">
        <v>378.83912656427003</v>
      </c>
      <c r="G186" s="29"/>
      <c r="H186" s="29">
        <v>0</v>
      </c>
      <c r="I186" s="29"/>
      <c r="J186" s="29">
        <v>0</v>
      </c>
      <c r="K186" s="29"/>
      <c r="L186" s="29"/>
      <c r="M186" s="29"/>
      <c r="N186" s="29">
        <v>10.217205964270001</v>
      </c>
      <c r="O186" s="29"/>
      <c r="P186" s="29">
        <v>163.59611982924099</v>
      </c>
      <c r="Q186" s="29"/>
      <c r="R186" s="29">
        <v>205.02580077075902</v>
      </c>
      <c r="S186" s="434"/>
      <c r="T186" s="64">
        <f t="shared" si="24"/>
        <v>0</v>
      </c>
      <c r="V186" s="29">
        <v>0</v>
      </c>
      <c r="W186" s="29"/>
      <c r="X186" s="29">
        <v>0</v>
      </c>
      <c r="Y186" s="129"/>
      <c r="Z186" s="129"/>
      <c r="AA186" s="29"/>
      <c r="AB186" s="29">
        <v>0</v>
      </c>
      <c r="AC186" s="129"/>
      <c r="AD186" s="29">
        <v>9.5773387864319055</v>
      </c>
      <c r="AE186" s="29"/>
      <c r="AF186" s="29">
        <v>199.63550486070835</v>
      </c>
      <c r="AH186" s="29">
        <v>203.90192314488201</v>
      </c>
      <c r="AJ186" s="64">
        <f t="shared" si="25"/>
        <v>413.11476679202224</v>
      </c>
      <c r="AK186" s="64"/>
      <c r="AL186" s="1139">
        <f t="shared" si="26"/>
        <v>9.0475449404081934E-2</v>
      </c>
      <c r="AN186" s="22"/>
      <c r="AP186" s="388"/>
    </row>
    <row r="187" spans="2:42">
      <c r="B187" s="6">
        <v>28</v>
      </c>
      <c r="C187" s="58"/>
      <c r="D187" s="58" t="s">
        <v>155</v>
      </c>
      <c r="F187" s="131">
        <f>SUM(F178:F186)</f>
        <v>817219.48495096143</v>
      </c>
      <c r="G187" s="132"/>
      <c r="H187" s="131">
        <f>SUM(H178:H186)</f>
        <v>0</v>
      </c>
      <c r="I187" s="132"/>
      <c r="J187" s="131">
        <f>SUM(J178:J186)</f>
        <v>0</v>
      </c>
      <c r="K187" s="132"/>
      <c r="L187" s="132"/>
      <c r="M187" s="132"/>
      <c r="N187" s="131">
        <f>SUM(N178:N186)</f>
        <v>2229.8434390117955</v>
      </c>
      <c r="O187" s="132"/>
      <c r="P187" s="131">
        <f>SUM(P178:P186)</f>
        <v>7022.3591483010023</v>
      </c>
      <c r="Q187" s="132"/>
      <c r="R187" s="131">
        <f>SUM(R178:R186)</f>
        <v>6633.8388202922551</v>
      </c>
      <c r="S187" s="63"/>
      <c r="T187" s="131">
        <f>SUM(T178:T186)</f>
        <v>801333.44354335649</v>
      </c>
      <c r="V187" s="131">
        <f>SUM(V178:V186)</f>
        <v>0</v>
      </c>
      <c r="X187" s="131">
        <f>SUM(X178:X186)</f>
        <v>0</v>
      </c>
      <c r="AB187" s="131">
        <f>SUM(AB178:AB186)</f>
        <v>0</v>
      </c>
      <c r="AD187" s="131">
        <f>SUM(AD178:AD186)</f>
        <v>2090.196295425686</v>
      </c>
      <c r="AF187" s="131">
        <f>SUM(AF178:AF186)</f>
        <v>8602.9144598812236</v>
      </c>
      <c r="AH187" s="131">
        <f>SUM(AH178:AH186)</f>
        <v>6629.1785335139166</v>
      </c>
      <c r="AJ187" s="131">
        <f>SUM(AJ178:AJ186)</f>
        <v>818655.73283217743</v>
      </c>
      <c r="AK187" s="132"/>
      <c r="AL187" s="1140">
        <f t="shared" si="26"/>
        <v>1.7574812001725356E-3</v>
      </c>
      <c r="AN187" s="131"/>
      <c r="AP187" s="388"/>
    </row>
    <row r="188" spans="2:42" ht="12.95">
      <c r="B188" s="16"/>
      <c r="C188" s="58"/>
      <c r="D188" s="6"/>
      <c r="F188" s="133"/>
      <c r="G188" s="133"/>
      <c r="H188" s="133"/>
      <c r="I188" s="133"/>
      <c r="J188" s="133"/>
      <c r="K188" s="133"/>
      <c r="L188" s="133"/>
      <c r="M188" s="133"/>
      <c r="N188" s="133"/>
      <c r="O188" s="29"/>
      <c r="P188" s="29"/>
      <c r="Q188" s="133"/>
      <c r="R188" s="133"/>
      <c r="S188" s="141"/>
      <c r="T188" s="133"/>
      <c r="V188" s="133"/>
      <c r="X188" s="133"/>
      <c r="AB188" s="133"/>
      <c r="AD188" s="133"/>
      <c r="AF188" s="133"/>
      <c r="AH188" s="133"/>
      <c r="AJ188" s="133"/>
      <c r="AK188" s="133"/>
      <c r="AL188" s="1139"/>
      <c r="AN188" s="133"/>
      <c r="AP188" s="388"/>
    </row>
    <row r="189" spans="2:42" ht="11.85" customHeight="1">
      <c r="B189" s="6">
        <v>29</v>
      </c>
      <c r="C189" s="58"/>
      <c r="D189" s="3" t="s">
        <v>156</v>
      </c>
      <c r="F189" s="131">
        <f>F167+F175+F187</f>
        <v>3115357.1241047904</v>
      </c>
      <c r="G189" s="132"/>
      <c r="H189" s="131">
        <f>H167+H175+H187</f>
        <v>0</v>
      </c>
      <c r="I189" s="132"/>
      <c r="J189" s="131">
        <f>J167+J175+J187</f>
        <v>0</v>
      </c>
      <c r="K189" s="132"/>
      <c r="L189" s="132"/>
      <c r="M189" s="132"/>
      <c r="N189" s="131">
        <f>N167+N175+N187</f>
        <v>4279.0945088308636</v>
      </c>
      <c r="O189" s="132"/>
      <c r="P189" s="131">
        <f>P167+P175+P187</f>
        <v>38156.803959081386</v>
      </c>
      <c r="Q189" s="132"/>
      <c r="R189" s="131">
        <f>R167+R175+R187</f>
        <v>20462.561851652135</v>
      </c>
      <c r="S189" s="63"/>
      <c r="T189" s="131">
        <f>T167+T175+T187</f>
        <v>3052458.6637852257</v>
      </c>
      <c r="U189" s="64"/>
      <c r="V189" s="131">
        <f>V167+V175+V187</f>
        <v>0</v>
      </c>
      <c r="X189" s="131">
        <f>X167+X175+X187</f>
        <v>0</v>
      </c>
      <c r="AB189" s="131">
        <f>AB167+AB175+AB187</f>
        <v>0</v>
      </c>
      <c r="AD189" s="131">
        <f>AD167+AD175+AD187</f>
        <v>3884.1941707516062</v>
      </c>
      <c r="AF189" s="131">
        <f>AF167+AF175+AF187</f>
        <v>42874.998378134667</v>
      </c>
      <c r="AH189" s="131">
        <f>AH167+AH175+AH187</f>
        <v>19261.161824881958</v>
      </c>
      <c r="AJ189" s="131">
        <f>AJ167+AJ175+AJ187</f>
        <v>3118479.0181589941</v>
      </c>
      <c r="AK189" s="132"/>
      <c r="AL189" s="1140">
        <f t="shared" si="26"/>
        <v>1.0020982923750188E-3</v>
      </c>
      <c r="AN189" s="131">
        <v>3118478.9509589942</v>
      </c>
      <c r="AO189" s="64">
        <f>AN189-AJ189</f>
        <v>-6.7199999932199717E-2</v>
      </c>
      <c r="AP189" s="388"/>
    </row>
    <row r="190" spans="2:42" ht="11.85" customHeight="1">
      <c r="B190" s="6"/>
      <c r="C190" s="58"/>
      <c r="D190" s="58"/>
      <c r="E190" s="6"/>
      <c r="F190" s="133"/>
      <c r="G190" s="133"/>
      <c r="H190" s="132"/>
      <c r="I190" s="133"/>
      <c r="J190" s="133"/>
      <c r="K190" s="133"/>
      <c r="L190" s="133"/>
      <c r="M190" s="133"/>
      <c r="N190" s="132"/>
      <c r="O190" s="132"/>
      <c r="P190" s="132"/>
      <c r="Q190" s="133"/>
      <c r="R190" s="435"/>
      <c r="S190" s="393"/>
      <c r="T190" s="6"/>
      <c r="AL190" s="1145"/>
      <c r="AP190" s="388"/>
    </row>
    <row r="191" spans="2:42" ht="11.85" customHeight="1">
      <c r="B191" s="6"/>
      <c r="C191" s="58"/>
      <c r="D191" s="14" t="s">
        <v>157</v>
      </c>
      <c r="E191" s="6"/>
      <c r="F191" s="133"/>
      <c r="G191" s="133"/>
      <c r="H191" s="132"/>
      <c r="I191" s="133"/>
      <c r="J191" s="133"/>
      <c r="K191" s="133"/>
      <c r="L191" s="133"/>
      <c r="M191" s="133"/>
      <c r="N191" s="132"/>
      <c r="O191" s="132"/>
      <c r="P191" s="132"/>
      <c r="Q191" s="133"/>
      <c r="R191" s="435"/>
      <c r="S191" s="437"/>
      <c r="T191" s="6"/>
      <c r="AL191" s="1145"/>
      <c r="AP191" s="388"/>
    </row>
    <row r="192" spans="2:42" ht="11.85" customHeight="1">
      <c r="B192" s="6">
        <v>30</v>
      </c>
      <c r="C192" s="58"/>
      <c r="D192" s="10" t="s">
        <v>158</v>
      </c>
      <c r="F192" s="29">
        <v>0</v>
      </c>
      <c r="G192" s="29"/>
      <c r="H192" s="29">
        <v>0</v>
      </c>
      <c r="I192" s="29"/>
      <c r="J192" s="29">
        <v>0</v>
      </c>
      <c r="K192" s="29"/>
      <c r="L192" s="29"/>
      <c r="M192" s="29"/>
      <c r="N192" s="29">
        <v>0</v>
      </c>
      <c r="O192" s="29"/>
      <c r="P192" s="29">
        <v>0</v>
      </c>
      <c r="Q192" s="29"/>
      <c r="R192" s="29">
        <v>0</v>
      </c>
      <c r="S192" s="434"/>
      <c r="T192" s="64">
        <f t="shared" ref="T192:T199" si="27">F192-SUM(H192:R192)</f>
        <v>0</v>
      </c>
      <c r="V192" s="29">
        <v>0</v>
      </c>
      <c r="X192" s="29">
        <v>0</v>
      </c>
      <c r="AA192" s="64"/>
      <c r="AB192" s="29">
        <v>0</v>
      </c>
      <c r="AD192" s="29">
        <v>0</v>
      </c>
      <c r="AF192" s="29">
        <v>0</v>
      </c>
      <c r="AH192" s="29">
        <v>0</v>
      </c>
      <c r="AJ192" s="64">
        <f t="shared" ref="AJ192:AJ199" si="28">SUM(T192:AH192)</f>
        <v>0</v>
      </c>
      <c r="AK192" s="64"/>
      <c r="AL192" s="1145"/>
      <c r="AP192" s="388"/>
    </row>
    <row r="193" spans="2:42" ht="11.85" customHeight="1">
      <c r="B193" s="6">
        <v>31</v>
      </c>
      <c r="C193" s="58"/>
      <c r="D193" s="10" t="s">
        <v>159</v>
      </c>
      <c r="E193" s="6"/>
      <c r="F193" s="29">
        <v>0</v>
      </c>
      <c r="G193" s="29"/>
      <c r="H193" s="29">
        <v>0</v>
      </c>
      <c r="I193" s="29"/>
      <c r="J193" s="29">
        <v>0</v>
      </c>
      <c r="K193" s="133"/>
      <c r="L193" s="29"/>
      <c r="M193" s="29"/>
      <c r="N193" s="29">
        <v>0</v>
      </c>
      <c r="O193" s="29"/>
      <c r="P193" s="29">
        <v>0</v>
      </c>
      <c r="Q193" s="29"/>
      <c r="R193" s="29">
        <v>0</v>
      </c>
      <c r="S193" s="434"/>
      <c r="T193" s="64">
        <f t="shared" si="27"/>
        <v>0</v>
      </c>
      <c r="V193" s="29">
        <v>0</v>
      </c>
      <c r="X193" s="29">
        <v>0</v>
      </c>
      <c r="AA193" s="64"/>
      <c r="AB193" s="29">
        <v>0</v>
      </c>
      <c r="AD193" s="29">
        <v>0</v>
      </c>
      <c r="AF193" s="29">
        <v>0</v>
      </c>
      <c r="AH193" s="29">
        <v>0</v>
      </c>
      <c r="AJ193" s="64">
        <f t="shared" si="28"/>
        <v>0</v>
      </c>
      <c r="AK193" s="64"/>
      <c r="AL193" s="1145"/>
      <c r="AP193" s="388"/>
    </row>
    <row r="194" spans="2:42">
      <c r="B194" s="6">
        <v>32</v>
      </c>
      <c r="C194" s="58"/>
      <c r="D194" s="10" t="s">
        <v>160</v>
      </c>
      <c r="F194" s="29">
        <v>0</v>
      </c>
      <c r="G194" s="29"/>
      <c r="H194" s="29">
        <v>0</v>
      </c>
      <c r="I194" s="29"/>
      <c r="J194" s="29">
        <v>0</v>
      </c>
      <c r="L194" s="29"/>
      <c r="M194" s="29"/>
      <c r="N194" s="29">
        <v>0</v>
      </c>
      <c r="O194" s="29"/>
      <c r="P194" s="29">
        <v>0</v>
      </c>
      <c r="Q194" s="29"/>
      <c r="R194" s="29">
        <v>0</v>
      </c>
      <c r="S194" s="434"/>
      <c r="T194" s="64">
        <f t="shared" si="27"/>
        <v>0</v>
      </c>
      <c r="V194" s="29">
        <v>0</v>
      </c>
      <c r="X194" s="29">
        <v>0</v>
      </c>
      <c r="AA194" s="64"/>
      <c r="AB194" s="29">
        <v>0</v>
      </c>
      <c r="AD194" s="29">
        <v>0</v>
      </c>
      <c r="AF194" s="29">
        <v>0</v>
      </c>
      <c r="AH194" s="29">
        <v>0</v>
      </c>
      <c r="AJ194" s="64">
        <f t="shared" si="28"/>
        <v>0</v>
      </c>
      <c r="AK194" s="64"/>
      <c r="AL194" s="1145"/>
      <c r="AP194" s="388"/>
    </row>
    <row r="195" spans="2:42">
      <c r="B195" s="6">
        <v>33</v>
      </c>
      <c r="C195" s="58"/>
      <c r="D195" s="436" t="s">
        <v>161</v>
      </c>
      <c r="E195" s="6"/>
      <c r="F195" s="29">
        <v>18991.286362844032</v>
      </c>
      <c r="G195" s="29"/>
      <c r="H195" s="29">
        <v>0</v>
      </c>
      <c r="I195" s="29"/>
      <c r="J195" s="29">
        <v>0</v>
      </c>
      <c r="K195" s="29"/>
      <c r="L195" s="29"/>
      <c r="M195" s="29"/>
      <c r="N195" s="29">
        <v>0</v>
      </c>
      <c r="O195" s="29"/>
      <c r="P195" s="29">
        <v>5279.6927770919001</v>
      </c>
      <c r="Q195" s="29"/>
      <c r="R195" s="29">
        <v>13711.593585752131</v>
      </c>
      <c r="S195" s="434"/>
      <c r="T195" s="64">
        <f t="shared" si="27"/>
        <v>0</v>
      </c>
      <c r="V195" s="29">
        <v>0</v>
      </c>
      <c r="X195" s="29">
        <v>0</v>
      </c>
      <c r="AA195" s="64"/>
      <c r="AB195" s="29">
        <v>0</v>
      </c>
      <c r="AD195" s="29">
        <v>0</v>
      </c>
      <c r="AF195" s="29">
        <v>6442.7819814084814</v>
      </c>
      <c r="AH195" s="29">
        <v>13636.431566200377</v>
      </c>
      <c r="AJ195" s="64">
        <f t="shared" si="28"/>
        <v>20079.213547608859</v>
      </c>
      <c r="AK195" s="64"/>
      <c r="AL195" s="1139">
        <f t="shared" si="26"/>
        <v>5.7285597403940409E-2</v>
      </c>
      <c r="AP195" s="388"/>
    </row>
    <row r="196" spans="2:42">
      <c r="B196" s="6">
        <v>34</v>
      </c>
      <c r="C196" s="58"/>
      <c r="D196" s="436" t="s">
        <v>162</v>
      </c>
      <c r="E196" s="30"/>
      <c r="F196" s="29">
        <v>3219.8643683365985</v>
      </c>
      <c r="G196" s="29"/>
      <c r="H196" s="29">
        <v>0</v>
      </c>
      <c r="I196" s="29"/>
      <c r="J196" s="29">
        <v>0</v>
      </c>
      <c r="K196" s="29"/>
      <c r="L196" s="29"/>
      <c r="M196" s="29"/>
      <c r="N196" s="29">
        <v>0</v>
      </c>
      <c r="O196" s="29"/>
      <c r="P196" s="29">
        <v>855.84692561625934</v>
      </c>
      <c r="Q196" s="29"/>
      <c r="R196" s="29">
        <v>2293.1176027203392</v>
      </c>
      <c r="S196" s="434"/>
      <c r="T196" s="64">
        <f t="shared" si="27"/>
        <v>70.89984000000004</v>
      </c>
      <c r="V196" s="29">
        <v>0</v>
      </c>
      <c r="X196" s="29">
        <v>0</v>
      </c>
      <c r="AA196" s="64"/>
      <c r="AB196" s="29">
        <v>0</v>
      </c>
      <c r="AD196" s="29">
        <v>0</v>
      </c>
      <c r="AF196" s="29">
        <v>1054.2860905620514</v>
      </c>
      <c r="AH196" s="29">
        <v>2283.1252504359059</v>
      </c>
      <c r="AJ196" s="64">
        <f t="shared" si="28"/>
        <v>3408.3111809979573</v>
      </c>
      <c r="AK196" s="64"/>
      <c r="AL196" s="1139">
        <f t="shared" si="26"/>
        <v>5.852632008804505E-2</v>
      </c>
      <c r="AP196" s="388"/>
    </row>
    <row r="197" spans="2:42">
      <c r="B197" s="6">
        <v>35</v>
      </c>
      <c r="C197" s="58"/>
      <c r="D197" s="436" t="s">
        <v>163</v>
      </c>
      <c r="E197" s="6"/>
      <c r="F197" s="29">
        <v>43.120009500000002</v>
      </c>
      <c r="G197" s="29"/>
      <c r="H197" s="29">
        <v>0</v>
      </c>
      <c r="I197" s="29"/>
      <c r="J197" s="29">
        <v>0</v>
      </c>
      <c r="K197" s="29"/>
      <c r="L197" s="29"/>
      <c r="M197" s="29"/>
      <c r="N197" s="29">
        <v>0</v>
      </c>
      <c r="O197" s="29"/>
      <c r="P197" s="29">
        <v>43.120009500000002</v>
      </c>
      <c r="Q197" s="29"/>
      <c r="R197" s="29">
        <v>0</v>
      </c>
      <c r="S197" s="434"/>
      <c r="T197" s="64">
        <f t="shared" si="27"/>
        <v>0</v>
      </c>
      <c r="V197" s="29">
        <v>0</v>
      </c>
      <c r="X197" s="29">
        <v>0</v>
      </c>
      <c r="AA197" s="64"/>
      <c r="AB197" s="29">
        <v>0</v>
      </c>
      <c r="AD197" s="29">
        <v>0</v>
      </c>
      <c r="AF197" s="29">
        <v>53.702699847298454</v>
      </c>
      <c r="AH197" s="29">
        <v>0</v>
      </c>
      <c r="AJ197" s="64">
        <f t="shared" si="28"/>
        <v>53.702699847298454</v>
      </c>
      <c r="AK197" s="64"/>
      <c r="AL197" s="1139">
        <f t="shared" si="26"/>
        <v>0.24542411910411227</v>
      </c>
      <c r="AP197" s="388"/>
    </row>
    <row r="198" spans="2:42">
      <c r="B198" s="6">
        <v>36</v>
      </c>
      <c r="C198" s="58"/>
      <c r="D198" s="436" t="s">
        <v>164</v>
      </c>
      <c r="E198" s="6"/>
      <c r="F198" s="29">
        <v>210.28920145273747</v>
      </c>
      <c r="G198" s="29"/>
      <c r="H198" s="29">
        <v>0</v>
      </c>
      <c r="I198" s="29"/>
      <c r="J198" s="29">
        <v>0</v>
      </c>
      <c r="K198" s="29"/>
      <c r="L198" s="29"/>
      <c r="M198" s="29"/>
      <c r="N198" s="29">
        <v>0</v>
      </c>
      <c r="O198" s="29"/>
      <c r="P198" s="29">
        <v>99.780409569172775</v>
      </c>
      <c r="Q198" s="29"/>
      <c r="R198" s="29">
        <v>96.428791883564699</v>
      </c>
      <c r="S198" s="434"/>
      <c r="T198" s="64">
        <f t="shared" si="27"/>
        <v>14.079999999999984</v>
      </c>
      <c r="V198" s="29">
        <v>0</v>
      </c>
      <c r="X198" s="29">
        <v>0</v>
      </c>
      <c r="AA198" s="64"/>
      <c r="AB198" s="29">
        <v>0</v>
      </c>
      <c r="AD198" s="29">
        <v>0</v>
      </c>
      <c r="AF198" s="29">
        <v>121.84208305606758</v>
      </c>
      <c r="AH198" s="29">
        <v>95.674275797480021</v>
      </c>
      <c r="AJ198" s="64">
        <f t="shared" si="28"/>
        <v>231.59635885354757</v>
      </c>
      <c r="AK198" s="64"/>
      <c r="AL198" s="1139">
        <f t="shared" si="26"/>
        <v>0.10132311718154907</v>
      </c>
      <c r="AP198" s="388"/>
    </row>
    <row r="199" spans="2:42">
      <c r="B199" s="6">
        <v>37</v>
      </c>
      <c r="D199" s="436" t="s">
        <v>165</v>
      </c>
      <c r="E199" s="30"/>
      <c r="F199" s="29">
        <v>41.171305514776698</v>
      </c>
      <c r="G199" s="29"/>
      <c r="H199" s="29">
        <v>0</v>
      </c>
      <c r="I199" s="29"/>
      <c r="J199" s="29">
        <v>0</v>
      </c>
      <c r="K199" s="29"/>
      <c r="L199" s="29"/>
      <c r="M199" s="29"/>
      <c r="N199" s="29">
        <v>0</v>
      </c>
      <c r="O199" s="29"/>
      <c r="P199" s="29">
        <v>11.973151205783873</v>
      </c>
      <c r="Q199" s="29"/>
      <c r="R199" s="29">
        <v>29.198154308992827</v>
      </c>
      <c r="S199" s="434"/>
      <c r="T199" s="64">
        <f t="shared" si="27"/>
        <v>0</v>
      </c>
      <c r="V199" s="29">
        <v>0</v>
      </c>
      <c r="X199" s="29">
        <v>0</v>
      </c>
      <c r="AA199" s="64"/>
      <c r="AB199" s="29">
        <v>0</v>
      </c>
      <c r="AD199" s="29">
        <v>0</v>
      </c>
      <c r="AF199" s="29">
        <v>14.61077492690648</v>
      </c>
      <c r="AH199" s="29">
        <v>29.038100539070125</v>
      </c>
      <c r="AJ199" s="64">
        <f t="shared" si="28"/>
        <v>43.648875465976602</v>
      </c>
      <c r="AK199" s="64"/>
      <c r="AL199" s="1139">
        <f t="shared" si="26"/>
        <v>6.0177104423144528E-2</v>
      </c>
      <c r="AP199" s="388"/>
    </row>
    <row r="200" spans="2:42" ht="14.1">
      <c r="B200" s="6">
        <v>38</v>
      </c>
      <c r="D200" s="58" t="s">
        <v>166</v>
      </c>
      <c r="F200" s="131">
        <f>SUM(F192:F199)</f>
        <v>22505.731247648146</v>
      </c>
      <c r="G200" s="438"/>
      <c r="H200" s="131">
        <f>SUM(H192:H199)</f>
        <v>0</v>
      </c>
      <c r="I200" s="438"/>
      <c r="J200" s="131">
        <f>SUM(J192:J199)</f>
        <v>0</v>
      </c>
      <c r="K200" s="438"/>
      <c r="L200" s="131"/>
      <c r="M200" s="132"/>
      <c r="N200" s="131">
        <f>SUM(N192:N199)</f>
        <v>0</v>
      </c>
      <c r="O200" s="438"/>
      <c r="P200" s="131">
        <f>SUM(P192:P199)</f>
        <v>6290.4132729831172</v>
      </c>
      <c r="Q200" s="438"/>
      <c r="R200" s="131">
        <f>SUM(R192:R199)</f>
        <v>16130.338134665028</v>
      </c>
      <c r="S200" s="438"/>
      <c r="T200" s="131">
        <f>SUM(T192:T199)</f>
        <v>84.979840000000024</v>
      </c>
      <c r="U200" s="438"/>
      <c r="V200" s="131">
        <f>SUM(V192:V199)</f>
        <v>0</v>
      </c>
      <c r="X200" s="131">
        <f>SUM(X192:X199)</f>
        <v>0</v>
      </c>
      <c r="AB200" s="131">
        <f>SUM(AB192:AB199)</f>
        <v>0</v>
      </c>
      <c r="AD200" s="131">
        <f>SUM(AD192:AD199)</f>
        <v>0</v>
      </c>
      <c r="AF200" s="131">
        <f>SUM(AF192:AF199)</f>
        <v>7687.2236298008047</v>
      </c>
      <c r="AH200" s="131">
        <f>SUM(AH192:AH199)</f>
        <v>16044.269192972833</v>
      </c>
      <c r="AJ200" s="131">
        <f>SUM(AJ192:AJ199)</f>
        <v>23816.472662773638</v>
      </c>
      <c r="AK200" s="132"/>
      <c r="AL200" s="1140">
        <f t="shared" si="26"/>
        <v>5.8240338903116744E-2</v>
      </c>
      <c r="AN200" s="131">
        <v>23731.492822773638</v>
      </c>
      <c r="AO200" s="64">
        <f>AN200-AJ200</f>
        <v>-84.979839999999967</v>
      </c>
      <c r="AP200" s="388"/>
    </row>
    <row r="201" spans="2:42">
      <c r="B201" s="6"/>
      <c r="C201" s="58"/>
      <c r="G201" s="64"/>
      <c r="O201" s="64"/>
      <c r="S201" s="394"/>
      <c r="T201" s="6"/>
      <c r="U201" s="64"/>
      <c r="AL201" s="1139"/>
      <c r="AP201" s="388"/>
    </row>
    <row r="202" spans="2:42">
      <c r="B202" s="6">
        <v>39</v>
      </c>
      <c r="C202" s="58"/>
      <c r="D202" s="127" t="s">
        <v>167</v>
      </c>
      <c r="F202" s="29">
        <v>0</v>
      </c>
      <c r="G202" s="29"/>
      <c r="H202" s="29">
        <v>0</v>
      </c>
      <c r="I202" s="29"/>
      <c r="J202" s="29">
        <v>0</v>
      </c>
      <c r="K202" s="29"/>
      <c r="L202" s="29"/>
      <c r="M202" s="29"/>
      <c r="N202" s="29">
        <v>0</v>
      </c>
      <c r="O202" s="29"/>
      <c r="P202" s="29">
        <v>0</v>
      </c>
      <c r="Q202" s="29"/>
      <c r="R202" s="29">
        <v>0</v>
      </c>
      <c r="S202" s="63"/>
      <c r="T202" s="64">
        <f>F202-SUM(H202:R202)</f>
        <v>0</v>
      </c>
      <c r="U202" s="64"/>
      <c r="V202" s="29">
        <v>0</v>
      </c>
      <c r="X202" s="29">
        <v>0</v>
      </c>
      <c r="AB202" s="29">
        <v>0</v>
      </c>
      <c r="AD202" s="29">
        <v>0</v>
      </c>
      <c r="AF202" s="29">
        <v>0</v>
      </c>
      <c r="AH202" s="29">
        <v>0</v>
      </c>
      <c r="AJ202" s="64">
        <f>SUM(T202:AH202)</f>
        <v>0</v>
      </c>
      <c r="AK202" s="64"/>
      <c r="AL202" s="1139"/>
      <c r="AP202" s="388"/>
    </row>
    <row r="203" spans="2:42">
      <c r="S203" s="394"/>
      <c r="T203" s="6"/>
      <c r="AJ203" s="64"/>
      <c r="AK203" s="64"/>
      <c r="AL203" s="1139"/>
      <c r="AP203" s="388"/>
    </row>
    <row r="204" spans="2:42" ht="14.45" thickBot="1">
      <c r="B204" s="6">
        <v>40</v>
      </c>
      <c r="C204" s="58"/>
      <c r="D204" s="3" t="s">
        <v>8</v>
      </c>
      <c r="F204" s="439">
        <f>ROUND(F189+F200+F202,0)</f>
        <v>3137863</v>
      </c>
      <c r="G204" s="438"/>
      <c r="H204" s="439">
        <f>ROUND(H189+H200+H202,0)</f>
        <v>0</v>
      </c>
      <c r="I204" s="438"/>
      <c r="J204" s="439">
        <f>ROUND(J189+J200+J202,0)</f>
        <v>0</v>
      </c>
      <c r="K204" s="438"/>
      <c r="L204" s="438"/>
      <c r="M204" s="132"/>
      <c r="N204" s="439">
        <f>ROUND(N189+N200+N202,0)</f>
        <v>4279</v>
      </c>
      <c r="O204" s="438"/>
      <c r="P204" s="439">
        <f>ROUND(P189+P200+P202,0)</f>
        <v>44447</v>
      </c>
      <c r="Q204" s="438"/>
      <c r="R204" s="439">
        <f>ROUND(R189+R200+R202,0)</f>
        <v>36593</v>
      </c>
      <c r="S204" s="438"/>
      <c r="T204" s="439">
        <f>ROUND(T189+T200+T202,0)</f>
        <v>3052544</v>
      </c>
      <c r="V204" s="439">
        <f>ROUND(V189+V200+V202,0)</f>
        <v>0</v>
      </c>
      <c r="W204" s="30"/>
      <c r="X204" s="439">
        <f>ROUND(X189+X200+X202,0)</f>
        <v>0</v>
      </c>
      <c r="AB204" s="439">
        <f>ROUND(AB189+AB200+AB202,0)</f>
        <v>0</v>
      </c>
      <c r="AD204" s="439">
        <f>ROUND(AD189+AD200+AD202,0)</f>
        <v>3884</v>
      </c>
      <c r="AF204" s="439">
        <f>ROUND(AF189+AF200+AF202,0)</f>
        <v>50562</v>
      </c>
      <c r="AH204" s="439">
        <f>ROUND(AH189+AH200+AH202,0)</f>
        <v>35305</v>
      </c>
      <c r="AJ204" s="439">
        <f>ROUND(AJ189+AJ200+AJ202,0)</f>
        <v>3142295</v>
      </c>
      <c r="AK204" s="132"/>
      <c r="AL204" s="1142">
        <f t="shared" si="26"/>
        <v>1.4124262276587602E-3</v>
      </c>
      <c r="AP204" s="388"/>
    </row>
    <row r="205" spans="2:42" ht="12.95" thickTop="1">
      <c r="E205" s="58"/>
      <c r="F205" s="58"/>
      <c r="G205" s="16"/>
      <c r="H205" s="16"/>
      <c r="I205" s="16"/>
      <c r="J205" s="16"/>
      <c r="K205" s="16"/>
      <c r="L205" s="16"/>
      <c r="M205" s="16"/>
      <c r="N205" s="16"/>
      <c r="O205" s="134"/>
      <c r="P205" s="16"/>
      <c r="Q205" s="16"/>
      <c r="R205" s="16"/>
      <c r="S205" s="16"/>
      <c r="T205" s="16"/>
      <c r="V205" s="64"/>
      <c r="AP205" s="388"/>
    </row>
    <row r="206" spans="2:42">
      <c r="B206" s="47" t="s">
        <v>80</v>
      </c>
      <c r="C206" s="58"/>
      <c r="D206" s="58"/>
      <c r="E206" s="16"/>
      <c r="F206" s="134"/>
      <c r="G206" s="16"/>
      <c r="H206" s="16"/>
      <c r="I206" s="16"/>
      <c r="J206" s="16"/>
      <c r="K206" s="16"/>
      <c r="L206" s="16"/>
      <c r="M206" s="16"/>
      <c r="N206" s="16"/>
      <c r="O206" s="16"/>
      <c r="P206" s="16"/>
      <c r="Q206" s="16"/>
      <c r="R206" s="16"/>
      <c r="S206" s="16"/>
      <c r="T206" s="16"/>
    </row>
    <row r="207" spans="2:42">
      <c r="B207" s="65" t="s">
        <v>169</v>
      </c>
      <c r="C207" s="58"/>
      <c r="D207" s="58" t="s">
        <v>170</v>
      </c>
      <c r="E207" s="16"/>
      <c r="F207" s="134"/>
      <c r="G207" s="16"/>
      <c r="I207" s="16"/>
      <c r="J207" s="16"/>
      <c r="K207" s="16"/>
      <c r="L207" s="16"/>
      <c r="M207" s="16"/>
      <c r="N207" s="16"/>
      <c r="O207" s="16"/>
      <c r="P207" s="16"/>
      <c r="Q207" s="16"/>
      <c r="R207" s="16"/>
      <c r="S207" s="16"/>
      <c r="T207" s="16"/>
    </row>
    <row r="208" spans="2:42" ht="14.1">
      <c r="B208" s="65" t="s">
        <v>171</v>
      </c>
      <c r="D208" s="16" t="s">
        <v>172</v>
      </c>
      <c r="E208" s="16"/>
      <c r="F208" s="16"/>
      <c r="V208" s="438"/>
      <c r="W208" s="438"/>
      <c r="X208" s="438"/>
      <c r="Y208" s="438"/>
      <c r="Z208" s="438"/>
      <c r="AA208" s="438"/>
      <c r="AB208" s="438"/>
      <c r="AC208" s="438"/>
      <c r="AD208" s="438"/>
      <c r="AE208" s="438"/>
      <c r="AF208" s="438"/>
      <c r="AN208" s="64">
        <f>AJ204-F204</f>
        <v>4432</v>
      </c>
    </row>
    <row r="209" spans="2:37" ht="14.1">
      <c r="B209" s="65" t="s">
        <v>173</v>
      </c>
      <c r="D209" s="2" t="s">
        <v>174</v>
      </c>
      <c r="V209" s="438"/>
      <c r="W209" s="438"/>
      <c r="X209" s="438"/>
      <c r="Y209" s="438"/>
      <c r="Z209" s="438"/>
      <c r="AA209" s="438"/>
      <c r="AB209" s="438"/>
      <c r="AC209" s="438"/>
      <c r="AD209" s="438"/>
      <c r="AE209" s="438"/>
      <c r="AF209" s="438"/>
    </row>
    <row r="210" spans="2:37" ht="14.1">
      <c r="B210" s="65" t="s">
        <v>175</v>
      </c>
      <c r="D210" s="16" t="s">
        <v>176</v>
      </c>
      <c r="V210" s="438"/>
      <c r="W210" s="438"/>
      <c r="X210" s="438"/>
      <c r="Y210" s="438"/>
      <c r="Z210" s="438"/>
      <c r="AA210" s="438"/>
      <c r="AB210" s="438"/>
      <c r="AC210" s="438"/>
      <c r="AD210" s="438"/>
      <c r="AE210" s="438"/>
      <c r="AF210" s="438"/>
    </row>
    <row r="211" spans="2:37" ht="14.1">
      <c r="B211" s="65" t="s">
        <v>177</v>
      </c>
      <c r="C211" s="16"/>
      <c r="D211" s="16" t="s">
        <v>178</v>
      </c>
      <c r="V211" s="438"/>
      <c r="W211" s="438"/>
      <c r="X211" s="438"/>
      <c r="Y211" s="438"/>
      <c r="Z211" s="438"/>
      <c r="AA211" s="438"/>
      <c r="AB211" s="438"/>
      <c r="AC211" s="438"/>
      <c r="AD211" s="438"/>
      <c r="AE211" s="438"/>
      <c r="AF211" s="438"/>
    </row>
    <row r="212" spans="2:37">
      <c r="B212" s="65" t="s">
        <v>179</v>
      </c>
      <c r="C212" s="16"/>
      <c r="D212" s="16" t="s">
        <v>188</v>
      </c>
    </row>
    <row r="213" spans="2:37">
      <c r="B213" s="65"/>
      <c r="D213" s="16"/>
    </row>
    <row r="215" spans="2:37" ht="14.1">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row>
    <row r="318" spans="21:21">
      <c r="U318" s="64"/>
    </row>
    <row r="329" spans="21:21" ht="14.1">
      <c r="U329"/>
    </row>
    <row r="330" spans="21:21">
      <c r="U330" s="64"/>
    </row>
  </sheetData>
  <mergeCells count="16">
    <mergeCell ref="H151:S151"/>
    <mergeCell ref="V151:AH151"/>
    <mergeCell ref="V150:AH150"/>
    <mergeCell ref="H150:S150"/>
    <mergeCell ref="F150:G150"/>
    <mergeCell ref="B148:AJ148"/>
    <mergeCell ref="B147:AJ147"/>
    <mergeCell ref="B4:AJ4"/>
    <mergeCell ref="B72:AJ73"/>
    <mergeCell ref="H7:S7"/>
    <mergeCell ref="B5:AJ5"/>
    <mergeCell ref="B74:AJ74"/>
    <mergeCell ref="F76:G76"/>
    <mergeCell ref="H77:S77"/>
    <mergeCell ref="V77:AH77"/>
    <mergeCell ref="V7:AH7"/>
  </mergeCells>
  <pageMargins left="0.7" right="0.7" top="0.75" bottom="0.75" header="0.3" footer="0.3"/>
  <pageSetup scale="52" fitToHeight="3" orientation="landscape" blackAndWhite="1" r:id="rId1"/>
  <headerFooter alignWithMargins="0">
    <oddHeader>&amp;R&amp;10Filed: 2024-02-16
EB-2022-0200
Rate Order
Working Papers
Schedule 18
Page &amp;P of 4</oddHeader>
  </headerFooter>
  <rowBreaks count="2" manualBreakCount="2">
    <brk id="69" min="1" max="35" man="1"/>
    <brk id="142" min="1"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470CA-F395-4220-8F78-2D4F04757181}">
  <sheetPr>
    <pageSetUpPr fitToPage="1"/>
  </sheetPr>
  <dimension ref="A1:O60"/>
  <sheetViews>
    <sheetView topLeftCell="A28" zoomScaleNormal="100" zoomScaleSheetLayoutView="100" workbookViewId="0"/>
  </sheetViews>
  <sheetFormatPr defaultColWidth="8.625" defaultRowHeight="12.6"/>
  <cols>
    <col min="1" max="1" width="4.5" style="335" customWidth="1"/>
    <col min="2" max="2" width="2" style="335" customWidth="1"/>
    <col min="3" max="3" width="47.5" style="335" customWidth="1"/>
    <col min="4" max="4" width="2" style="335" customWidth="1"/>
    <col min="5" max="5" width="8.625" style="335"/>
    <col min="6" max="6" width="2" style="335" customWidth="1"/>
    <col min="7" max="7" width="12.125" style="335" customWidth="1"/>
    <col min="8" max="8" width="2" style="335" customWidth="1"/>
    <col min="9" max="9" width="12.125" style="335" customWidth="1"/>
    <col min="10" max="10" width="2" style="335" customWidth="1"/>
    <col min="11" max="11" width="13.125" style="335" bestFit="1" customWidth="1"/>
    <col min="12" max="14" width="8.625" style="335"/>
    <col min="15" max="15" width="9" style="335" bestFit="1" customWidth="1"/>
    <col min="16" max="16384" width="8.625" style="335"/>
  </cols>
  <sheetData>
    <row r="1" spans="1:15">
      <c r="A1" s="355"/>
      <c r="B1" s="355"/>
      <c r="C1" s="355"/>
      <c r="D1" s="355"/>
      <c r="E1" s="355"/>
      <c r="F1" s="355"/>
      <c r="G1" s="355"/>
      <c r="H1" s="355"/>
      <c r="I1" s="355"/>
      <c r="J1" s="355"/>
      <c r="K1" s="355"/>
      <c r="L1" s="355"/>
    </row>
    <row r="2" spans="1:15">
      <c r="A2" s="355"/>
      <c r="B2" s="355"/>
      <c r="C2" s="355"/>
      <c r="D2" s="355"/>
      <c r="E2" s="355"/>
      <c r="F2" s="355"/>
      <c r="G2" s="355"/>
      <c r="H2" s="355"/>
      <c r="I2" s="355"/>
      <c r="J2" s="355"/>
      <c r="K2" s="355"/>
      <c r="L2" s="355"/>
    </row>
    <row r="3" spans="1:15">
      <c r="A3" s="355"/>
      <c r="B3" s="355"/>
      <c r="C3" s="355"/>
      <c r="D3" s="355"/>
      <c r="E3" s="355"/>
      <c r="F3" s="355"/>
      <c r="G3" s="355"/>
      <c r="H3" s="355"/>
      <c r="I3" s="355"/>
      <c r="J3" s="355"/>
      <c r="K3" s="355"/>
      <c r="L3" s="355"/>
    </row>
    <row r="4" spans="1:15">
      <c r="A4" s="355"/>
      <c r="B4" s="355"/>
      <c r="C4" s="355"/>
      <c r="D4" s="355"/>
      <c r="E4" s="355"/>
      <c r="F4" s="355"/>
      <c r="G4" s="355"/>
      <c r="H4" s="355"/>
      <c r="I4" s="355"/>
      <c r="J4" s="355"/>
      <c r="K4" s="355"/>
      <c r="L4" s="355"/>
    </row>
    <row r="5" spans="1:15">
      <c r="A5" s="1199" t="s">
        <v>1383</v>
      </c>
      <c r="B5" s="1187"/>
      <c r="C5" s="1187"/>
      <c r="D5" s="1187"/>
      <c r="E5" s="1187"/>
      <c r="F5" s="1187"/>
      <c r="G5" s="1187"/>
      <c r="H5" s="1187"/>
      <c r="I5" s="1187"/>
      <c r="J5" s="1187"/>
      <c r="K5" s="1187"/>
      <c r="L5" s="1207"/>
    </row>
    <row r="6" spans="1:15">
      <c r="A6" s="355"/>
      <c r="B6" s="248"/>
      <c r="C6" s="355"/>
      <c r="D6" s="355"/>
      <c r="E6" s="355"/>
      <c r="F6" s="355"/>
      <c r="G6" s="355"/>
      <c r="H6" s="355"/>
      <c r="I6" s="355"/>
      <c r="J6" s="355"/>
      <c r="K6" s="355"/>
      <c r="L6" s="355"/>
    </row>
    <row r="7" spans="1:15">
      <c r="A7" s="249" t="s">
        <v>56</v>
      </c>
      <c r="B7" s="248"/>
      <c r="C7" s="248"/>
      <c r="D7" s="248"/>
      <c r="E7" s="248"/>
      <c r="F7" s="248"/>
      <c r="G7" s="248"/>
      <c r="H7" s="248"/>
      <c r="I7" s="248"/>
      <c r="J7" s="248"/>
      <c r="K7" s="248"/>
      <c r="L7" s="355"/>
    </row>
    <row r="8" spans="1:15">
      <c r="A8" s="432" t="s">
        <v>57</v>
      </c>
      <c r="B8" s="248"/>
      <c r="C8" s="250" t="s">
        <v>194</v>
      </c>
      <c r="D8" s="248"/>
      <c r="E8" s="432" t="s">
        <v>245</v>
      </c>
      <c r="F8" s="248"/>
      <c r="G8" s="491" t="s">
        <v>1144</v>
      </c>
      <c r="H8" s="355"/>
      <c r="I8" s="432" t="s">
        <v>102</v>
      </c>
      <c r="J8" s="248"/>
      <c r="K8" s="250" t="s">
        <v>1384</v>
      </c>
      <c r="L8" s="355"/>
    </row>
    <row r="9" spans="1:15">
      <c r="A9" s="355"/>
      <c r="B9" s="248"/>
      <c r="C9" s="248"/>
      <c r="D9" s="248"/>
      <c r="E9" s="248"/>
      <c r="F9" s="248"/>
      <c r="G9" s="249" t="s">
        <v>9</v>
      </c>
      <c r="H9" s="355"/>
      <c r="I9" s="249" t="s">
        <v>10</v>
      </c>
      <c r="J9" s="248"/>
      <c r="K9" s="265" t="s">
        <v>846</v>
      </c>
      <c r="L9" s="355"/>
    </row>
    <row r="10" spans="1:15">
      <c r="A10" s="355"/>
      <c r="B10" s="248"/>
      <c r="C10" s="336" t="s">
        <v>125</v>
      </c>
      <c r="D10" s="248"/>
      <c r="E10" s="248"/>
      <c r="F10" s="248"/>
      <c r="G10" s="248"/>
      <c r="H10" s="248"/>
      <c r="I10" s="248"/>
      <c r="J10" s="248"/>
      <c r="K10" s="248"/>
      <c r="L10" s="355"/>
    </row>
    <row r="11" spans="1:15">
      <c r="A11" s="248"/>
      <c r="B11" s="248"/>
      <c r="C11" s="248" t="s">
        <v>1385</v>
      </c>
      <c r="D11" s="248"/>
      <c r="E11" s="248"/>
      <c r="F11" s="248"/>
      <c r="G11" s="248"/>
      <c r="H11" s="248"/>
      <c r="I11" s="248"/>
      <c r="J11" s="248"/>
      <c r="K11" s="248"/>
      <c r="L11" s="355"/>
    </row>
    <row r="12" spans="1:15" ht="14.45">
      <c r="A12" s="249">
        <v>1</v>
      </c>
      <c r="B12" s="248"/>
      <c r="C12" s="492" t="s">
        <v>1386</v>
      </c>
      <c r="D12" s="248"/>
      <c r="E12" s="249" t="s">
        <v>1387</v>
      </c>
      <c r="F12" s="248"/>
      <c r="G12" s="493">
        <v>231.041</v>
      </c>
      <c r="H12" s="494"/>
      <c r="I12" s="493">
        <v>207.49299999999999</v>
      </c>
      <c r="J12" s="248"/>
      <c r="K12" s="495">
        <f>I12-G12</f>
        <v>-23.548000000000002</v>
      </c>
      <c r="L12" s="355"/>
    </row>
    <row r="13" spans="1:15" ht="14.45">
      <c r="A13" s="249">
        <f>A12+1</f>
        <v>2</v>
      </c>
      <c r="B13" s="248"/>
      <c r="C13" s="492" t="s">
        <v>1388</v>
      </c>
      <c r="D13" s="248"/>
      <c r="E13" s="249" t="s">
        <v>1387</v>
      </c>
      <c r="F13" s="248"/>
      <c r="G13" s="493">
        <v>178.27099999999999</v>
      </c>
      <c r="H13" s="494"/>
      <c r="I13" s="493">
        <f>ROUND('Sch. 28 p.4'!K35,3)</f>
        <v>154.84800000000001</v>
      </c>
      <c r="J13" s="248"/>
      <c r="K13" s="496">
        <f>I13-G13</f>
        <v>-23.422999999999973</v>
      </c>
      <c r="L13" s="355"/>
    </row>
    <row r="14" spans="1:15" ht="14.45">
      <c r="A14" s="249">
        <f>A13+1</f>
        <v>3</v>
      </c>
      <c r="B14" s="248"/>
      <c r="C14" s="248" t="s">
        <v>1389</v>
      </c>
      <c r="D14" s="248"/>
      <c r="E14" s="249" t="s">
        <v>1387</v>
      </c>
      <c r="F14" s="248"/>
      <c r="G14" s="337">
        <f>G13-G12</f>
        <v>-52.77000000000001</v>
      </c>
      <c r="H14" s="248"/>
      <c r="I14" s="337">
        <f>I13-I12</f>
        <v>-52.644999999999982</v>
      </c>
      <c r="J14" s="248"/>
      <c r="K14" s="359">
        <f>I14-G14</f>
        <v>0.12500000000002842</v>
      </c>
      <c r="L14" s="355"/>
    </row>
    <row r="15" spans="1:15">
      <c r="A15" s="248"/>
      <c r="B15" s="248"/>
      <c r="C15" s="249"/>
      <c r="D15" s="248"/>
      <c r="E15" s="249"/>
      <c r="F15" s="248"/>
      <c r="G15" s="248"/>
      <c r="H15" s="248"/>
      <c r="I15" s="248"/>
      <c r="J15" s="248"/>
      <c r="K15" s="248"/>
      <c r="L15" s="355"/>
    </row>
    <row r="16" spans="1:15" ht="14.45">
      <c r="A16" s="249">
        <f>A14+1</f>
        <v>4</v>
      </c>
      <c r="B16" s="248"/>
      <c r="C16" s="248" t="s">
        <v>1390</v>
      </c>
      <c r="D16" s="248"/>
      <c r="E16" s="249" t="s">
        <v>1391</v>
      </c>
      <c r="F16" s="248"/>
      <c r="G16" s="253">
        <v>186528.82731527116</v>
      </c>
      <c r="H16" s="248"/>
      <c r="I16" s="253">
        <v>215076.86573148883</v>
      </c>
      <c r="J16" s="248"/>
      <c r="K16" s="253">
        <f>I16-G16</f>
        <v>28548.038416217663</v>
      </c>
      <c r="L16" s="355"/>
      <c r="M16" s="264"/>
      <c r="O16" s="264"/>
    </row>
    <row r="17" spans="1:14">
      <c r="A17" s="249">
        <f>A16+1</f>
        <v>5</v>
      </c>
      <c r="B17" s="248"/>
      <c r="C17" s="248" t="s">
        <v>1392</v>
      </c>
      <c r="D17" s="248"/>
      <c r="E17" s="249" t="s">
        <v>248</v>
      </c>
      <c r="F17" s="248"/>
      <c r="G17" s="497">
        <f>G14*G16/1000</f>
        <v>-9843.1262174268613</v>
      </c>
      <c r="H17" s="248"/>
      <c r="I17" s="497">
        <f>I14*I16/1000</f>
        <v>-11322.721596434227</v>
      </c>
      <c r="J17" s="248"/>
      <c r="K17" s="497">
        <f>I17-G17</f>
        <v>-1479.5953790073654</v>
      </c>
      <c r="L17" s="355"/>
    </row>
    <row r="18" spans="1:14">
      <c r="A18" s="249"/>
      <c r="B18" s="248"/>
      <c r="C18" s="248"/>
      <c r="D18" s="248"/>
      <c r="E18" s="249"/>
      <c r="F18" s="248"/>
      <c r="G18" s="248"/>
      <c r="H18" s="248"/>
      <c r="I18" s="248"/>
      <c r="J18" s="248"/>
      <c r="K18" s="248"/>
      <c r="L18" s="355"/>
    </row>
    <row r="19" spans="1:14">
      <c r="A19" s="248"/>
      <c r="B19" s="248"/>
      <c r="C19" s="248" t="s">
        <v>1393</v>
      </c>
      <c r="D19" s="248"/>
      <c r="E19" s="249"/>
      <c r="F19" s="248"/>
      <c r="G19" s="248"/>
      <c r="H19" s="248"/>
      <c r="I19" s="248"/>
      <c r="J19" s="248"/>
      <c r="K19" s="248"/>
      <c r="L19" s="355"/>
    </row>
    <row r="20" spans="1:14" ht="14.45">
      <c r="A20" s="249">
        <f>A17+1</f>
        <v>6</v>
      </c>
      <c r="B20" s="248"/>
      <c r="C20" s="248" t="s">
        <v>1394</v>
      </c>
      <c r="D20" s="248"/>
      <c r="E20" s="249" t="s">
        <v>1391</v>
      </c>
      <c r="F20" s="248"/>
      <c r="G20" s="253">
        <v>1854217.7499535654</v>
      </c>
      <c r="H20" s="248"/>
      <c r="I20" s="253">
        <v>2067598.4164612738</v>
      </c>
      <c r="J20" s="248"/>
      <c r="K20" s="253">
        <f>I20-G20</f>
        <v>213380.66650770837</v>
      </c>
      <c r="L20" s="355"/>
    </row>
    <row r="21" spans="1:14">
      <c r="A21" s="249">
        <f>A20+1</f>
        <v>7</v>
      </c>
      <c r="B21" s="248"/>
      <c r="C21" s="248" t="s">
        <v>1395</v>
      </c>
      <c r="D21" s="248"/>
      <c r="E21" s="249" t="s">
        <v>248</v>
      </c>
      <c r="F21" s="248"/>
      <c r="G21" s="338">
        <f>G20*G14/1000</f>
        <v>-97847.070665049672</v>
      </c>
      <c r="H21" s="248"/>
      <c r="I21" s="338">
        <f>I20*I14/1000</f>
        <v>-108848.71863460372</v>
      </c>
      <c r="J21" s="248"/>
      <c r="K21" s="338">
        <f t="shared" ref="K21:K25" si="0">I21-G21</f>
        <v>-11001.647969554047</v>
      </c>
      <c r="L21" s="355"/>
    </row>
    <row r="22" spans="1:14">
      <c r="A22" s="249">
        <f>A21+1</f>
        <v>8</v>
      </c>
      <c r="B22" s="248"/>
      <c r="C22" s="248" t="s">
        <v>1396</v>
      </c>
      <c r="D22" s="248"/>
      <c r="E22" s="249"/>
      <c r="F22" s="248"/>
      <c r="G22" s="255">
        <v>7.3800000000000004E-2</v>
      </c>
      <c r="H22" s="248"/>
      <c r="I22" s="255">
        <v>7.3439648337628755E-2</v>
      </c>
      <c r="J22" s="248"/>
      <c r="K22" s="498">
        <f t="shared" si="0"/>
        <v>-3.6035166237124994E-4</v>
      </c>
      <c r="L22" s="355"/>
    </row>
    <row r="23" spans="1:14">
      <c r="A23" s="249">
        <f>A22+1</f>
        <v>9</v>
      </c>
      <c r="B23" s="248"/>
      <c r="C23" s="248" t="s">
        <v>1397</v>
      </c>
      <c r="D23" s="248"/>
      <c r="E23" s="249" t="s">
        <v>248</v>
      </c>
      <c r="F23" s="248"/>
      <c r="G23" s="339">
        <f>G22*G21</f>
        <v>-7221.1138150806664</v>
      </c>
      <c r="H23" s="248"/>
      <c r="I23" s="339">
        <f>I22*I21</f>
        <v>-7993.8116185267954</v>
      </c>
      <c r="J23" s="248"/>
      <c r="K23" s="497">
        <f>I23-G23</f>
        <v>-772.697803446129</v>
      </c>
      <c r="L23" s="355"/>
    </row>
    <row r="24" spans="1:14">
      <c r="A24" s="249"/>
      <c r="B24" s="248"/>
      <c r="C24" s="248"/>
      <c r="D24" s="248"/>
      <c r="E24" s="249"/>
      <c r="F24" s="248"/>
      <c r="G24" s="248"/>
      <c r="H24" s="248"/>
      <c r="I24" s="248"/>
      <c r="J24" s="248"/>
      <c r="K24" s="248"/>
      <c r="L24" s="355"/>
    </row>
    <row r="25" spans="1:14" ht="12.95" thickBot="1">
      <c r="A25" s="249">
        <f>A23+1</f>
        <v>10</v>
      </c>
      <c r="B25" s="248"/>
      <c r="C25" s="248" t="s">
        <v>1398</v>
      </c>
      <c r="D25" s="248"/>
      <c r="E25" s="249" t="s">
        <v>248</v>
      </c>
      <c r="F25" s="248"/>
      <c r="G25" s="340">
        <f>G17+G23</f>
        <v>-17064.240032507529</v>
      </c>
      <c r="H25" s="248"/>
      <c r="I25" s="340">
        <f>I17+I23</f>
        <v>-19316.533214961022</v>
      </c>
      <c r="J25" s="248"/>
      <c r="K25" s="340">
        <f t="shared" si="0"/>
        <v>-2252.2931824534935</v>
      </c>
      <c r="L25" s="355"/>
    </row>
    <row r="26" spans="1:14" ht="12.95" thickTop="1">
      <c r="A26" s="355"/>
      <c r="B26" s="355"/>
      <c r="C26" s="355"/>
      <c r="D26" s="355"/>
      <c r="E26" s="355"/>
      <c r="F26" s="355"/>
      <c r="G26" s="355"/>
      <c r="H26" s="355"/>
      <c r="I26" s="355"/>
      <c r="J26" s="355"/>
      <c r="K26" s="355"/>
      <c r="L26" s="355"/>
    </row>
    <row r="27" spans="1:14">
      <c r="A27" s="355"/>
      <c r="B27" s="355"/>
      <c r="C27" s="336" t="s">
        <v>682</v>
      </c>
      <c r="D27" s="248"/>
      <c r="E27" s="248"/>
      <c r="F27" s="248"/>
      <c r="G27" s="248"/>
      <c r="H27" s="248"/>
      <c r="I27" s="248"/>
      <c r="J27" s="248"/>
      <c r="K27" s="248"/>
      <c r="L27" s="355"/>
    </row>
    <row r="28" spans="1:14">
      <c r="A28" s="355"/>
      <c r="B28" s="355"/>
      <c r="C28" s="248" t="s">
        <v>1385</v>
      </c>
      <c r="D28" s="248"/>
      <c r="E28" s="248"/>
      <c r="F28" s="248"/>
      <c r="G28" s="248"/>
      <c r="H28" s="248"/>
      <c r="I28" s="248"/>
      <c r="J28" s="248"/>
      <c r="K28" s="248"/>
      <c r="L28" s="355"/>
    </row>
    <row r="29" spans="1:14" ht="14.45">
      <c r="A29" s="499">
        <v>11</v>
      </c>
      <c r="B29" s="355"/>
      <c r="C29" s="492" t="s">
        <v>1399</v>
      </c>
      <c r="D29" s="248"/>
      <c r="E29" s="249" t="s">
        <v>1387</v>
      </c>
      <c r="F29" s="248"/>
      <c r="G29" s="248">
        <v>206.12299999999999</v>
      </c>
      <c r="H29" s="248"/>
      <c r="I29" s="248">
        <v>207.49299999999999</v>
      </c>
      <c r="J29" s="248"/>
      <c r="K29" s="495">
        <f>I29-G29</f>
        <v>1.3700000000000045</v>
      </c>
      <c r="L29" s="355"/>
      <c r="N29" s="341"/>
    </row>
    <row r="30" spans="1:14" ht="14.45">
      <c r="A30" s="499">
        <v>12</v>
      </c>
      <c r="B30" s="355"/>
      <c r="C30" s="492" t="s">
        <v>1400</v>
      </c>
      <c r="D30" s="248"/>
      <c r="E30" s="249" t="s">
        <v>1387</v>
      </c>
      <c r="F30" s="248"/>
      <c r="G30" s="493">
        <v>154.761</v>
      </c>
      <c r="H30" s="248"/>
      <c r="I30" s="493">
        <f>'Sch. 28 p.4'!K35</f>
        <v>154.8482646996799</v>
      </c>
      <c r="J30" s="248"/>
      <c r="K30" s="496">
        <f>I30-G30</f>
        <v>8.7264699679906244E-2</v>
      </c>
      <c r="L30" s="355"/>
      <c r="N30" s="341"/>
    </row>
    <row r="31" spans="1:14" ht="14.45">
      <c r="A31" s="499">
        <v>13</v>
      </c>
      <c r="B31" s="355"/>
      <c r="C31" s="248" t="s">
        <v>1401</v>
      </c>
      <c r="D31" s="248"/>
      <c r="E31" s="249" t="s">
        <v>1387</v>
      </c>
      <c r="F31" s="248"/>
      <c r="G31" s="337">
        <f>G30-G29</f>
        <v>-51.361999999999995</v>
      </c>
      <c r="H31" s="248"/>
      <c r="I31" s="337">
        <f>I30-I29</f>
        <v>-52.644735300320093</v>
      </c>
      <c r="J31" s="248"/>
      <c r="K31" s="500">
        <f>I31-G31</f>
        <v>-1.2827353003200983</v>
      </c>
      <c r="L31" s="355"/>
    </row>
    <row r="32" spans="1:14">
      <c r="A32" s="499"/>
      <c r="B32" s="355"/>
      <c r="C32" s="249"/>
      <c r="D32" s="248"/>
      <c r="E32" s="249"/>
      <c r="F32" s="248"/>
      <c r="G32" s="248"/>
      <c r="H32" s="248"/>
      <c r="I32" s="248"/>
      <c r="J32" s="248"/>
      <c r="K32" s="248"/>
      <c r="L32" s="355"/>
    </row>
    <row r="33" spans="1:15" ht="14.45">
      <c r="A33" s="499">
        <v>14</v>
      </c>
      <c r="B33" s="355"/>
      <c r="C33" s="248" t="s">
        <v>1402</v>
      </c>
      <c r="D33" s="248"/>
      <c r="E33" s="249" t="s">
        <v>1391</v>
      </c>
      <c r="F33" s="248"/>
      <c r="G33" s="253">
        <v>204356.91397261334</v>
      </c>
      <c r="H33" s="248"/>
      <c r="I33" s="253">
        <v>217478.49214445145</v>
      </c>
      <c r="J33" s="248"/>
      <c r="K33" s="253">
        <f>I33-G33</f>
        <v>13121.578171838104</v>
      </c>
      <c r="L33" s="355"/>
      <c r="O33" s="342"/>
    </row>
    <row r="34" spans="1:15">
      <c r="A34" s="499">
        <v>15</v>
      </c>
      <c r="B34" s="355"/>
      <c r="C34" s="248" t="s">
        <v>1403</v>
      </c>
      <c r="D34" s="248"/>
      <c r="E34" s="249" t="s">
        <v>248</v>
      </c>
      <c r="F34" s="248"/>
      <c r="G34" s="497">
        <f>G31*G33/1000</f>
        <v>-10496.179815461366</v>
      </c>
      <c r="H34" s="248"/>
      <c r="I34" s="497">
        <f>I31*I33/1000</f>
        <v>-11449.097652457391</v>
      </c>
      <c r="J34" s="248"/>
      <c r="K34" s="497">
        <f>I34-G34</f>
        <v>-952.91783699602456</v>
      </c>
      <c r="L34" s="355"/>
    </row>
    <row r="35" spans="1:15">
      <c r="A35" s="499"/>
      <c r="B35" s="355"/>
      <c r="C35" s="248"/>
      <c r="D35" s="248"/>
      <c r="E35" s="249"/>
      <c r="F35" s="248"/>
      <c r="G35" s="248"/>
      <c r="H35" s="248"/>
      <c r="I35" s="248"/>
      <c r="J35" s="248"/>
      <c r="K35" s="248"/>
      <c r="L35" s="355"/>
    </row>
    <row r="36" spans="1:15">
      <c r="A36" s="499"/>
      <c r="B36" s="355"/>
      <c r="C36" s="248" t="s">
        <v>1393</v>
      </c>
      <c r="D36" s="248"/>
      <c r="E36" s="249"/>
      <c r="F36" s="248"/>
      <c r="G36" s="248"/>
      <c r="H36" s="248"/>
      <c r="I36" s="248"/>
      <c r="J36" s="248"/>
      <c r="K36" s="248"/>
      <c r="L36" s="355"/>
    </row>
    <row r="37" spans="1:15" ht="14.45">
      <c r="A37" s="499">
        <v>16</v>
      </c>
      <c r="B37" s="355"/>
      <c r="C37" s="248" t="s">
        <v>1404</v>
      </c>
      <c r="D37" s="248"/>
      <c r="E37" s="249" t="s">
        <v>1391</v>
      </c>
      <c r="F37" s="248"/>
      <c r="G37" s="253">
        <v>875962.76931340666</v>
      </c>
      <c r="H37" s="248"/>
      <c r="I37" s="253">
        <v>976767.28353872523</v>
      </c>
      <c r="J37" s="248"/>
      <c r="K37" s="253">
        <f>I37-G37</f>
        <v>100804.51422531856</v>
      </c>
      <c r="L37" s="355"/>
      <c r="O37" s="342"/>
    </row>
    <row r="38" spans="1:15">
      <c r="A38" s="499">
        <v>17</v>
      </c>
      <c r="B38" s="355"/>
      <c r="C38" s="248" t="s">
        <v>1405</v>
      </c>
      <c r="D38" s="248"/>
      <c r="E38" s="249" t="s">
        <v>248</v>
      </c>
      <c r="F38" s="248"/>
      <c r="G38" s="338">
        <f>G37*G31/1000</f>
        <v>-44991.199757475188</v>
      </c>
      <c r="H38" s="248"/>
      <c r="I38" s="338">
        <f>I37*I31/1000</f>
        <v>-51421.655091908891</v>
      </c>
      <c r="J38" s="248"/>
      <c r="K38" s="338">
        <f t="shared" ref="K38:K42" si="1">I38-G38</f>
        <v>-6430.4553344337037</v>
      </c>
      <c r="L38" s="355"/>
    </row>
    <row r="39" spans="1:15">
      <c r="A39" s="499">
        <v>18</v>
      </c>
      <c r="B39" s="355"/>
      <c r="C39" s="248" t="s">
        <v>1396</v>
      </c>
      <c r="D39" s="248"/>
      <c r="E39" s="249"/>
      <c r="F39" s="248"/>
      <c r="G39" s="354">
        <v>8.4785522310397349E-2</v>
      </c>
      <c r="H39" s="248"/>
      <c r="I39" s="354">
        <v>7.3439648337628755E-2</v>
      </c>
      <c r="J39" s="248"/>
      <c r="K39" s="498">
        <f t="shared" si="1"/>
        <v>-1.1345873972768594E-2</v>
      </c>
      <c r="L39" s="355"/>
    </row>
    <row r="40" spans="1:15">
      <c r="A40" s="499">
        <v>19</v>
      </c>
      <c r="B40" s="355"/>
      <c r="C40" s="248" t="s">
        <v>1406</v>
      </c>
      <c r="D40" s="248"/>
      <c r="E40" s="249" t="s">
        <v>248</v>
      </c>
      <c r="F40" s="248"/>
      <c r="G40" s="339">
        <f>G39*G38</f>
        <v>-3814.6023708089565</v>
      </c>
      <c r="H40" s="248"/>
      <c r="I40" s="339">
        <f>I39*I38</f>
        <v>-3776.3882668886258</v>
      </c>
      <c r="J40" s="248"/>
      <c r="K40" s="497">
        <f>I40-G40</f>
        <v>38.214103920330672</v>
      </c>
      <c r="L40" s="355"/>
    </row>
    <row r="41" spans="1:15">
      <c r="A41" s="499"/>
      <c r="B41" s="355"/>
      <c r="C41" s="248"/>
      <c r="D41" s="248"/>
      <c r="E41" s="249"/>
      <c r="F41" s="248"/>
      <c r="G41" s="248"/>
      <c r="H41" s="248"/>
      <c r="I41" s="248"/>
      <c r="J41" s="248"/>
      <c r="K41" s="248"/>
      <c r="L41" s="355"/>
    </row>
    <row r="42" spans="1:15" ht="12.95" thickBot="1">
      <c r="A42" s="499">
        <v>20</v>
      </c>
      <c r="B42" s="355"/>
      <c r="C42" s="248" t="s">
        <v>1407</v>
      </c>
      <c r="D42" s="248"/>
      <c r="E42" s="249" t="s">
        <v>248</v>
      </c>
      <c r="F42" s="248"/>
      <c r="G42" s="340">
        <f>G34+G40</f>
        <v>-14310.782186270322</v>
      </c>
      <c r="H42" s="248"/>
      <c r="I42" s="340">
        <f>I34+I40</f>
        <v>-15225.485919346016</v>
      </c>
      <c r="J42" s="248"/>
      <c r="K42" s="340">
        <f t="shared" si="1"/>
        <v>-914.70373307569389</v>
      </c>
      <c r="L42" s="355"/>
    </row>
    <row r="43" spans="1:15" ht="12.95" thickTop="1">
      <c r="A43" s="499"/>
      <c r="B43" s="355"/>
      <c r="C43" s="355"/>
      <c r="D43" s="355"/>
      <c r="E43" s="355"/>
      <c r="F43" s="355"/>
      <c r="G43" s="355"/>
      <c r="H43" s="355"/>
      <c r="I43" s="355"/>
      <c r="J43" s="355"/>
      <c r="K43" s="355"/>
      <c r="L43" s="355"/>
    </row>
    <row r="44" spans="1:15" ht="12.95" thickBot="1">
      <c r="A44" s="499">
        <v>21</v>
      </c>
      <c r="B44" s="355"/>
      <c r="C44" s="248" t="s">
        <v>1408</v>
      </c>
      <c r="D44" s="355"/>
      <c r="E44" s="249" t="s">
        <v>248</v>
      </c>
      <c r="F44" s="355"/>
      <c r="G44" s="358">
        <f>G42+G25</f>
        <v>-31375.022218777849</v>
      </c>
      <c r="H44" s="355"/>
      <c r="I44" s="358">
        <f>I42+I25</f>
        <v>-34542.01913430704</v>
      </c>
      <c r="J44" s="355"/>
      <c r="K44" s="358">
        <f t="shared" ref="K44" si="2">I44-G44</f>
        <v>-3166.996915529191</v>
      </c>
      <c r="L44" s="355"/>
    </row>
    <row r="45" spans="1:15" ht="12.95" thickTop="1">
      <c r="A45" s="355"/>
      <c r="B45" s="355"/>
      <c r="C45" s="355"/>
      <c r="D45" s="355"/>
      <c r="E45" s="355"/>
      <c r="F45" s="355"/>
      <c r="G45" s="355"/>
      <c r="H45" s="355"/>
      <c r="I45" s="355"/>
      <c r="J45" s="355"/>
      <c r="K45" s="355"/>
      <c r="L45" s="355"/>
    </row>
    <row r="46" spans="1:15">
      <c r="A46" s="355"/>
      <c r="B46" s="355"/>
      <c r="C46" s="355"/>
      <c r="D46" s="355"/>
      <c r="E46" s="355"/>
      <c r="F46" s="355"/>
      <c r="G46" s="355" t="s">
        <v>168</v>
      </c>
      <c r="H46" s="355"/>
      <c r="I46" s="355"/>
      <c r="J46" s="355"/>
      <c r="K46" s="355"/>
      <c r="L46" s="355"/>
    </row>
    <row r="47" spans="1:15">
      <c r="A47" s="188" t="s">
        <v>80</v>
      </c>
    </row>
    <row r="48" spans="1:15">
      <c r="A48" s="190" t="s">
        <v>40</v>
      </c>
      <c r="C48" s="1200" t="s">
        <v>1409</v>
      </c>
      <c r="D48" s="1200"/>
      <c r="E48" s="1200"/>
      <c r="F48" s="1200"/>
      <c r="G48" s="1200"/>
      <c r="H48" s="1200"/>
      <c r="I48" s="1200"/>
      <c r="J48" s="1200"/>
      <c r="K48" s="1200"/>
    </row>
    <row r="49" spans="1:11">
      <c r="A49" s="190"/>
      <c r="C49" s="1200"/>
      <c r="D49" s="1200"/>
      <c r="E49" s="1200"/>
      <c r="F49" s="1200"/>
      <c r="G49" s="1200"/>
      <c r="H49" s="1200"/>
      <c r="I49" s="1200"/>
      <c r="J49" s="1200"/>
      <c r="K49" s="1200"/>
    </row>
    <row r="50" spans="1:11">
      <c r="A50" s="190" t="s">
        <v>20</v>
      </c>
      <c r="C50" s="1200" t="s">
        <v>1410</v>
      </c>
      <c r="D50" s="1200"/>
      <c r="E50" s="1200"/>
      <c r="F50" s="1200"/>
      <c r="G50" s="1200"/>
      <c r="H50" s="1200"/>
      <c r="I50" s="1200"/>
      <c r="J50" s="1200"/>
      <c r="K50" s="1200"/>
    </row>
    <row r="51" spans="1:11">
      <c r="A51" s="190"/>
      <c r="C51" s="1200"/>
      <c r="D51" s="1200"/>
      <c r="E51" s="1200"/>
      <c r="F51" s="1200"/>
      <c r="G51" s="1200"/>
      <c r="H51" s="1200"/>
      <c r="I51" s="1200"/>
      <c r="J51" s="1200"/>
      <c r="K51" s="1200"/>
    </row>
    <row r="52" spans="1:11">
      <c r="A52" s="191" t="s">
        <v>21</v>
      </c>
      <c r="C52" s="355" t="s">
        <v>1411</v>
      </c>
      <c r="D52" s="355"/>
      <c r="E52" s="355"/>
      <c r="F52" s="355"/>
      <c r="G52" s="355"/>
      <c r="H52" s="355"/>
      <c r="I52" s="355"/>
      <c r="J52" s="355"/>
      <c r="K52" s="355"/>
    </row>
    <row r="53" spans="1:11">
      <c r="A53" s="191" t="s">
        <v>28</v>
      </c>
      <c r="C53" s="355" t="s">
        <v>1412</v>
      </c>
      <c r="D53" s="355"/>
      <c r="E53" s="355"/>
      <c r="F53" s="355"/>
      <c r="G53" s="355"/>
      <c r="H53" s="355"/>
      <c r="I53" s="355"/>
      <c r="J53" s="355"/>
      <c r="K53" s="355"/>
    </row>
    <row r="54" spans="1:11">
      <c r="A54" s="191" t="s">
        <v>85</v>
      </c>
      <c r="C54" s="355" t="s">
        <v>1413</v>
      </c>
      <c r="D54" s="355"/>
      <c r="E54" s="355"/>
      <c r="F54" s="355"/>
      <c r="G54" s="355"/>
      <c r="H54" s="355"/>
      <c r="I54" s="355"/>
      <c r="J54" s="355"/>
      <c r="K54" s="355"/>
    </row>
    <row r="55" spans="1:11">
      <c r="A55" s="191" t="s">
        <v>87</v>
      </c>
      <c r="C55" s="1200" t="s">
        <v>1414</v>
      </c>
      <c r="D55" s="1200"/>
      <c r="E55" s="1200"/>
      <c r="F55" s="1200"/>
      <c r="G55" s="1200"/>
      <c r="H55" s="1200"/>
      <c r="I55" s="1200"/>
      <c r="J55" s="1200"/>
      <c r="K55" s="1200"/>
    </row>
    <row r="56" spans="1:11">
      <c r="A56" s="191"/>
      <c r="C56" s="1200"/>
      <c r="D56" s="1200"/>
      <c r="E56" s="1200"/>
      <c r="F56" s="1200"/>
      <c r="G56" s="1200"/>
      <c r="H56" s="1200"/>
      <c r="I56" s="1200"/>
      <c r="J56" s="1200"/>
      <c r="K56" s="1200"/>
    </row>
    <row r="57" spans="1:11">
      <c r="A57" s="191" t="s">
        <v>89</v>
      </c>
      <c r="C57" s="1201" t="s">
        <v>1415</v>
      </c>
      <c r="D57" s="1201"/>
      <c r="E57" s="1201"/>
      <c r="F57" s="1201"/>
      <c r="G57" s="1201"/>
      <c r="H57" s="1201"/>
      <c r="I57" s="1201"/>
      <c r="J57" s="1201"/>
      <c r="K57" s="1201"/>
    </row>
    <row r="58" spans="1:11">
      <c r="A58" s="191"/>
      <c r="C58" s="1201"/>
      <c r="D58" s="1201"/>
      <c r="E58" s="1201"/>
      <c r="F58" s="1201"/>
      <c r="G58" s="1201"/>
      <c r="H58" s="1201"/>
      <c r="I58" s="1201"/>
      <c r="J58" s="1201"/>
      <c r="K58" s="1201"/>
    </row>
    <row r="59" spans="1:11">
      <c r="A59" s="191" t="s">
        <v>838</v>
      </c>
      <c r="C59" s="335" t="s">
        <v>1416</v>
      </c>
    </row>
    <row r="60" spans="1:11">
      <c r="A60" s="191" t="s">
        <v>840</v>
      </c>
      <c r="C60" s="335" t="s">
        <v>1417</v>
      </c>
    </row>
  </sheetData>
  <mergeCells count="5">
    <mergeCell ref="A5:L5"/>
    <mergeCell ref="C48:K49"/>
    <mergeCell ref="C50:K51"/>
    <mergeCell ref="C55:K56"/>
    <mergeCell ref="C57:K58"/>
  </mergeCells>
  <pageMargins left="0.7" right="0.7" top="0.75" bottom="0.75" header="0.3" footer="0.3"/>
  <pageSetup scale="71" orientation="portrait" useFirstPageNumber="1" r:id="rId1"/>
  <headerFooter>
    <oddHeader>&amp;R&amp;10Filed: 2024-02-16
EB-2022-0200
Rate Order
Working Papers
Schedule 28
Page &amp;P of 4</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E719-E117-4AA6-BD4B-13FE86A8E68E}">
  <sheetPr>
    <pageSetUpPr fitToPage="1"/>
  </sheetPr>
  <dimension ref="A5:W46"/>
  <sheetViews>
    <sheetView zoomScaleNormal="100" zoomScaleSheetLayoutView="100" workbookViewId="0"/>
  </sheetViews>
  <sheetFormatPr defaultColWidth="8.625" defaultRowHeight="12.6"/>
  <cols>
    <col min="1" max="1" width="5.625" style="252" customWidth="1"/>
    <col min="2" max="2" width="1.75" style="252" customWidth="1"/>
    <col min="3" max="3" width="10.125" style="252" customWidth="1"/>
    <col min="4" max="4" width="2" style="252" customWidth="1"/>
    <col min="5" max="5" width="19.625" style="252" bestFit="1" customWidth="1"/>
    <col min="6" max="6" width="2" style="252" customWidth="1"/>
    <col min="7" max="7" width="8.625" style="252"/>
    <col min="8" max="8" width="2" style="252" customWidth="1"/>
    <col min="9" max="9" width="10.625" style="252" bestFit="1" customWidth="1"/>
    <col min="10" max="10" width="2" style="252" customWidth="1"/>
    <col min="11" max="11" width="14.5" style="252" customWidth="1"/>
    <col min="12" max="12" width="2" style="252" customWidth="1"/>
    <col min="13" max="13" width="14.125" style="252" bestFit="1" customWidth="1"/>
    <col min="14" max="14" width="2" style="252" customWidth="1"/>
    <col min="15" max="15" width="12.125" style="252" bestFit="1" customWidth="1"/>
    <col min="16" max="16" width="2" style="252" customWidth="1"/>
    <col min="17" max="17" width="8.625" style="252" customWidth="1"/>
    <col min="18" max="18" width="2" style="252" customWidth="1"/>
    <col min="19" max="19" width="9.125" style="252" customWidth="1"/>
    <col min="20" max="20" width="2" style="252" customWidth="1"/>
    <col min="21" max="21" width="13.125" style="252" customWidth="1"/>
    <col min="22" max="22" width="2" style="252" customWidth="1"/>
    <col min="23" max="23" width="13.5" style="252" customWidth="1"/>
    <col min="24" max="16384" width="8.625" style="252"/>
  </cols>
  <sheetData>
    <row r="5" spans="1:23">
      <c r="A5" s="1204" t="s">
        <v>1418</v>
      </c>
      <c r="B5" s="1204"/>
      <c r="C5" s="1177"/>
      <c r="D5" s="1177"/>
      <c r="E5" s="1177"/>
      <c r="F5" s="1177"/>
      <c r="G5" s="1177"/>
      <c r="H5" s="1177"/>
      <c r="I5" s="1177"/>
      <c r="J5" s="1177"/>
      <c r="K5" s="1177"/>
      <c r="L5" s="1177"/>
      <c r="M5" s="1177"/>
      <c r="N5" s="1177"/>
      <c r="O5" s="1177"/>
      <c r="P5" s="1177"/>
      <c r="Q5" s="1177"/>
      <c r="R5" s="1177"/>
      <c r="S5" s="1177"/>
      <c r="T5" s="1177"/>
      <c r="U5" s="1177"/>
      <c r="V5" s="1177"/>
      <c r="W5" s="1177"/>
    </row>
    <row r="6" spans="1:23">
      <c r="A6" s="303"/>
      <c r="B6" s="303"/>
      <c r="C6" s="303"/>
      <c r="D6" s="248"/>
      <c r="E6" s="248"/>
      <c r="F6" s="248"/>
      <c r="G6" s="248"/>
      <c r="H6" s="248"/>
      <c r="I6" s="248"/>
      <c r="J6" s="248"/>
      <c r="K6" s="249"/>
      <c r="L6" s="248"/>
      <c r="M6" s="248"/>
      <c r="N6" s="248"/>
      <c r="O6" s="249"/>
      <c r="P6" s="248"/>
      <c r="Q6" s="249"/>
      <c r="R6" s="248"/>
      <c r="S6" s="249"/>
      <c r="T6" s="248"/>
      <c r="U6" s="249"/>
      <c r="V6" s="248"/>
      <c r="W6" s="249"/>
    </row>
    <row r="7" spans="1:23">
      <c r="A7" s="248"/>
      <c r="B7" s="248"/>
      <c r="C7" s="248"/>
      <c r="D7" s="248"/>
      <c r="E7" s="1202" t="s">
        <v>1419</v>
      </c>
      <c r="F7" s="1202"/>
      <c r="G7" s="1202"/>
      <c r="H7" s="1202"/>
      <c r="I7" s="1202"/>
      <c r="J7" s="249"/>
      <c r="K7" s="249"/>
      <c r="L7" s="248"/>
      <c r="M7" s="248"/>
      <c r="N7" s="248"/>
      <c r="O7" s="1202" t="s">
        <v>1420</v>
      </c>
      <c r="P7" s="1202"/>
      <c r="Q7" s="1202"/>
      <c r="R7" s="1202"/>
      <c r="S7" s="1202"/>
      <c r="T7" s="248"/>
      <c r="U7" s="249"/>
      <c r="V7" s="248"/>
      <c r="W7" s="249"/>
    </row>
    <row r="8" spans="1:23">
      <c r="A8" s="248"/>
      <c r="B8" s="248"/>
      <c r="C8" s="248"/>
      <c r="D8" s="248"/>
      <c r="E8" s="249" t="s">
        <v>1421</v>
      </c>
      <c r="F8" s="249"/>
      <c r="G8" s="249" t="s">
        <v>1267</v>
      </c>
      <c r="H8" s="249"/>
      <c r="I8" s="249" t="s">
        <v>1422</v>
      </c>
      <c r="J8" s="249"/>
      <c r="K8" s="249" t="s">
        <v>1423</v>
      </c>
      <c r="L8" s="248"/>
      <c r="M8" s="249" t="s">
        <v>1295</v>
      </c>
      <c r="N8" s="249"/>
      <c r="O8" s="249" t="s">
        <v>1424</v>
      </c>
      <c r="P8" s="249"/>
      <c r="Q8" s="249" t="s">
        <v>1267</v>
      </c>
      <c r="R8" s="249"/>
      <c r="S8" s="249" t="s">
        <v>1422</v>
      </c>
      <c r="T8" s="248"/>
      <c r="U8" s="249" t="s">
        <v>1423</v>
      </c>
      <c r="V8" s="248"/>
      <c r="W8" s="249" t="s">
        <v>479</v>
      </c>
    </row>
    <row r="9" spans="1:23">
      <c r="A9" s="249" t="s">
        <v>56</v>
      </c>
      <c r="B9" s="249"/>
      <c r="C9" s="248"/>
      <c r="D9" s="248"/>
      <c r="E9" s="249" t="s">
        <v>1425</v>
      </c>
      <c r="F9" s="248"/>
      <c r="G9" s="249" t="s">
        <v>1426</v>
      </c>
      <c r="H9" s="248"/>
      <c r="I9" s="249" t="s">
        <v>1427</v>
      </c>
      <c r="J9" s="249"/>
      <c r="K9" s="249" t="s">
        <v>1428</v>
      </c>
      <c r="L9" s="248"/>
      <c r="M9" s="249" t="s">
        <v>1429</v>
      </c>
      <c r="N9" s="249"/>
      <c r="O9" s="249" t="s">
        <v>1430</v>
      </c>
      <c r="P9" s="248"/>
      <c r="Q9" s="249" t="s">
        <v>1426</v>
      </c>
      <c r="R9" s="248"/>
      <c r="S9" s="249" t="s">
        <v>1431</v>
      </c>
      <c r="T9" s="248"/>
      <c r="U9" s="249" t="s">
        <v>1428</v>
      </c>
      <c r="V9" s="248"/>
      <c r="W9" s="249" t="s">
        <v>1429</v>
      </c>
    </row>
    <row r="10" spans="1:23" ht="14.45">
      <c r="A10" s="432" t="s">
        <v>57</v>
      </c>
      <c r="B10" s="249"/>
      <c r="C10" s="250" t="s">
        <v>955</v>
      </c>
      <c r="D10" s="248"/>
      <c r="E10" s="432" t="s">
        <v>1391</v>
      </c>
      <c r="F10" s="249"/>
      <c r="G10" s="432" t="s">
        <v>249</v>
      </c>
      <c r="H10" s="249"/>
      <c r="I10" s="305" t="s">
        <v>248</v>
      </c>
      <c r="J10" s="304"/>
      <c r="K10" s="432" t="s">
        <v>1391</v>
      </c>
      <c r="L10" s="249"/>
      <c r="M10" s="432" t="s">
        <v>247</v>
      </c>
      <c r="N10" s="432"/>
      <c r="O10" s="432" t="s">
        <v>1391</v>
      </c>
      <c r="P10" s="249"/>
      <c r="Q10" s="432" t="s">
        <v>249</v>
      </c>
      <c r="R10" s="249"/>
      <c r="S10" s="305" t="s">
        <v>248</v>
      </c>
      <c r="T10" s="249"/>
      <c r="U10" s="432" t="s">
        <v>1391</v>
      </c>
      <c r="V10" s="249"/>
      <c r="W10" s="432" t="s">
        <v>247</v>
      </c>
    </row>
    <row r="11" spans="1:23">
      <c r="A11" s="248"/>
      <c r="B11" s="248"/>
      <c r="C11" s="248"/>
      <c r="D11" s="248"/>
      <c r="E11" s="249" t="s">
        <v>9</v>
      </c>
      <c r="F11" s="249"/>
      <c r="G11" s="249" t="s">
        <v>10</v>
      </c>
      <c r="H11" s="249"/>
      <c r="I11" s="249" t="s">
        <v>1432</v>
      </c>
      <c r="J11" s="249"/>
      <c r="K11" s="249" t="s">
        <v>12</v>
      </c>
      <c r="L11" s="249"/>
      <c r="M11" s="249" t="s">
        <v>1433</v>
      </c>
      <c r="N11" s="249"/>
      <c r="O11" s="249" t="s">
        <v>115</v>
      </c>
      <c r="P11" s="249"/>
      <c r="Q11" s="249" t="s">
        <v>209</v>
      </c>
      <c r="R11" s="249"/>
      <c r="S11" s="304" t="s">
        <v>1434</v>
      </c>
      <c r="T11" s="249"/>
      <c r="U11" s="249" t="s">
        <v>118</v>
      </c>
      <c r="V11" s="249"/>
      <c r="W11" s="249" t="s">
        <v>1435</v>
      </c>
    </row>
    <row r="12" spans="1:23">
      <c r="A12" s="248"/>
      <c r="B12" s="248"/>
      <c r="C12" s="248"/>
      <c r="D12" s="248"/>
      <c r="E12" s="248"/>
      <c r="F12" s="248"/>
      <c r="G12" s="248"/>
      <c r="H12" s="248"/>
      <c r="I12" s="248"/>
      <c r="J12" s="248"/>
      <c r="K12" s="248"/>
      <c r="L12" s="248"/>
      <c r="M12" s="248"/>
      <c r="N12" s="248"/>
      <c r="O12" s="248"/>
      <c r="P12" s="248"/>
      <c r="Q12" s="248"/>
      <c r="R12" s="248"/>
      <c r="S12" s="248"/>
      <c r="T12" s="248"/>
      <c r="U12" s="248"/>
      <c r="V12" s="248"/>
      <c r="W12" s="248"/>
    </row>
    <row r="13" spans="1:23">
      <c r="A13" s="249">
        <v>1</v>
      </c>
      <c r="B13" s="249"/>
      <c r="C13" s="501" t="s">
        <v>910</v>
      </c>
      <c r="D13" s="248"/>
      <c r="E13" s="502">
        <v>96706.925364375216</v>
      </c>
      <c r="F13" s="248"/>
      <c r="G13" s="503">
        <f t="shared" ref="G13:G26" si="0">E13/$E$28</f>
        <v>0.44963890019258651</v>
      </c>
      <c r="H13" s="248"/>
      <c r="I13" s="253">
        <f t="shared" ref="I13:I26" si="1">G13*I$28</f>
        <v>-665.28363894690494</v>
      </c>
      <c r="J13" s="253"/>
      <c r="K13" s="253">
        <v>5011587.6267347429</v>
      </c>
      <c r="L13" s="248"/>
      <c r="M13" s="254">
        <f>ROUND(I13/K13*100,4)</f>
        <v>-1.3299999999999999E-2</v>
      </c>
      <c r="N13" s="254"/>
      <c r="O13" s="253">
        <v>1032479.2396820309</v>
      </c>
      <c r="P13" s="248"/>
      <c r="Q13" s="503">
        <f>O13/$O$28</f>
        <v>0.49936159336450586</v>
      </c>
      <c r="R13" s="248"/>
      <c r="S13" s="253">
        <f>Q13*S$28</f>
        <v>-385.85560631811273</v>
      </c>
      <c r="T13" s="248"/>
      <c r="U13" s="253">
        <f>K13</f>
        <v>5011587.6267347429</v>
      </c>
      <c r="V13" s="248"/>
      <c r="W13" s="254">
        <f>ROUND(S13/U13*100,4)</f>
        <v>-7.7000000000000002E-3</v>
      </c>
    </row>
    <row r="14" spans="1:23">
      <c r="A14" s="249">
        <f>A13+1</f>
        <v>2</v>
      </c>
      <c r="B14" s="249"/>
      <c r="C14" s="501" t="s">
        <v>911</v>
      </c>
      <c r="D14" s="248"/>
      <c r="E14" s="504">
        <v>88100.918603125523</v>
      </c>
      <c r="F14" s="248"/>
      <c r="G14" s="503">
        <f t="shared" si="0"/>
        <v>0.40962526724336079</v>
      </c>
      <c r="H14" s="248"/>
      <c r="I14" s="253">
        <f t="shared" si="1"/>
        <v>-606.07965253793373</v>
      </c>
      <c r="J14" s="253"/>
      <c r="K14" s="253">
        <v>4799239.8721003952</v>
      </c>
      <c r="L14" s="248"/>
      <c r="M14" s="254">
        <f>ROUND(I14/K14*100,4)</f>
        <v>-1.26E-2</v>
      </c>
      <c r="N14" s="254"/>
      <c r="O14" s="253">
        <v>929910.204529176</v>
      </c>
      <c r="P14" s="248"/>
      <c r="Q14" s="503">
        <f>O14/$O$28</f>
        <v>0.44975378058217491</v>
      </c>
      <c r="R14" s="248"/>
      <c r="S14" s="253">
        <f>Q14*S$28</f>
        <v>-347.52375834743884</v>
      </c>
      <c r="T14" s="248"/>
      <c r="U14" s="253">
        <f t="shared" ref="U14:U26" si="2">K14</f>
        <v>4799239.8721003952</v>
      </c>
      <c r="V14" s="248"/>
      <c r="W14" s="254">
        <f t="shared" ref="W14:W22" si="3">ROUND(S14/U14*100,4)</f>
        <v>-7.1999999999999998E-3</v>
      </c>
    </row>
    <row r="15" spans="1:23">
      <c r="A15" s="249">
        <f t="shared" ref="A15:A23" si="4">A14+1</f>
        <v>3</v>
      </c>
      <c r="B15" s="249"/>
      <c r="C15" s="501" t="s">
        <v>912</v>
      </c>
      <c r="D15" s="248"/>
      <c r="E15" s="504">
        <v>319.46237999375199</v>
      </c>
      <c r="F15" s="248"/>
      <c r="G15" s="503">
        <f t="shared" si="0"/>
        <v>1.485340503299795E-3</v>
      </c>
      <c r="H15" s="248"/>
      <c r="I15" s="253">
        <f t="shared" si="1"/>
        <v>-2.1977029449348509</v>
      </c>
      <c r="J15" s="253"/>
      <c r="K15" s="253">
        <v>27429.148000000001</v>
      </c>
      <c r="L15" s="248"/>
      <c r="M15" s="254">
        <f>ROUND(I15/K15*100,4)</f>
        <v>-8.0000000000000002E-3</v>
      </c>
      <c r="N15" s="254"/>
      <c r="O15" s="253">
        <v>0</v>
      </c>
      <c r="P15" s="248"/>
      <c r="Q15" s="503">
        <f>O15/$O$28</f>
        <v>0</v>
      </c>
      <c r="R15" s="248"/>
      <c r="S15" s="253">
        <f>Q15*S$28</f>
        <v>0</v>
      </c>
      <c r="T15" s="248"/>
      <c r="U15" s="253">
        <f t="shared" si="2"/>
        <v>27429.148000000001</v>
      </c>
      <c r="V15" s="248"/>
      <c r="W15" s="254">
        <f t="shared" si="3"/>
        <v>0</v>
      </c>
    </row>
    <row r="16" spans="1:23">
      <c r="A16" s="249">
        <f t="shared" si="4"/>
        <v>4</v>
      </c>
      <c r="B16" s="249"/>
      <c r="C16" s="501" t="s">
        <v>913</v>
      </c>
      <c r="D16" s="248"/>
      <c r="E16" s="504">
        <v>13656.545643626812</v>
      </c>
      <c r="F16" s="248"/>
      <c r="G16" s="503">
        <f t="shared" si="0"/>
        <v>6.3496116131226452E-2</v>
      </c>
      <c r="H16" s="248"/>
      <c r="I16" s="253">
        <f t="shared" si="1"/>
        <v>-93.948560012677689</v>
      </c>
      <c r="J16" s="253"/>
      <c r="K16" s="253">
        <v>1068281.1669999999</v>
      </c>
      <c r="L16" s="248"/>
      <c r="M16" s="254">
        <f>ROUND(I16/K16*100,4)</f>
        <v>-8.8000000000000005E-3</v>
      </c>
      <c r="N16" s="254"/>
      <c r="O16" s="253">
        <v>47780.520141325243</v>
      </c>
      <c r="P16" s="248"/>
      <c r="Q16" s="503">
        <f>O16/$O$28</f>
        <v>2.3109187819510102E-2</v>
      </c>
      <c r="R16" s="248"/>
      <c r="S16" s="253">
        <f>Q16*S$28</f>
        <v>-17.856418667559495</v>
      </c>
      <c r="T16" s="248"/>
      <c r="U16" s="253">
        <f t="shared" si="2"/>
        <v>1068281.1669999999</v>
      </c>
      <c r="V16" s="248"/>
      <c r="W16" s="254">
        <f t="shared" si="3"/>
        <v>-1.6999999999999999E-3</v>
      </c>
    </row>
    <row r="17" spans="1:23">
      <c r="A17" s="249">
        <f t="shared" si="4"/>
        <v>5</v>
      </c>
      <c r="B17" s="249"/>
      <c r="C17" s="501" t="s">
        <v>914</v>
      </c>
      <c r="D17" s="248"/>
      <c r="E17" s="504">
        <v>4595.7465424640204</v>
      </c>
      <c r="F17" s="248"/>
      <c r="G17" s="503">
        <f t="shared" si="0"/>
        <v>2.1367925959091982E-2</v>
      </c>
      <c r="H17" s="248"/>
      <c r="I17" s="253">
        <f t="shared" si="1"/>
        <v>-31.615884508044022</v>
      </c>
      <c r="J17" s="253"/>
      <c r="K17" s="253">
        <v>381872.95299999998</v>
      </c>
      <c r="L17" s="248"/>
      <c r="M17" s="254">
        <f>ROUND(I17/K17*100,4)</f>
        <v>-8.3000000000000001E-3</v>
      </c>
      <c r="N17" s="254"/>
      <c r="O17" s="253">
        <v>5758.8072835451803</v>
      </c>
      <c r="P17" s="248"/>
      <c r="Q17" s="503">
        <f>O17/$O$28</f>
        <v>2.7852639263486506E-3</v>
      </c>
      <c r="R17" s="248"/>
      <c r="S17" s="253">
        <f>Q17*S$28</f>
        <v>-2.1521673179073431</v>
      </c>
      <c r="T17" s="248"/>
      <c r="U17" s="253">
        <f t="shared" si="2"/>
        <v>381872.95299999998</v>
      </c>
      <c r="V17" s="248"/>
      <c r="W17" s="254">
        <f t="shared" si="3"/>
        <v>-5.9999999999999995E-4</v>
      </c>
    </row>
    <row r="18" spans="1:23">
      <c r="A18" s="249">
        <f t="shared" si="4"/>
        <v>6</v>
      </c>
      <c r="B18" s="249"/>
      <c r="C18" s="501" t="s">
        <v>915</v>
      </c>
      <c r="D18" s="248"/>
      <c r="E18" s="504">
        <v>3459.5359405275321</v>
      </c>
      <c r="F18" s="248"/>
      <c r="G18" s="503">
        <f t="shared" si="0"/>
        <v>1.6085114169585146E-2</v>
      </c>
      <c r="H18" s="248"/>
      <c r="I18" s="253">
        <f t="shared" si="1"/>
        <v>-23.799460596124078</v>
      </c>
      <c r="J18" s="253"/>
      <c r="K18" s="253">
        <v>0</v>
      </c>
      <c r="L18" s="248"/>
      <c r="M18" s="254"/>
      <c r="N18" s="254"/>
      <c r="O18" s="253">
        <v>0</v>
      </c>
      <c r="P18" s="248"/>
      <c r="Q18" s="255"/>
      <c r="R18" s="248"/>
      <c r="S18" s="253"/>
      <c r="T18" s="248"/>
      <c r="U18" s="253"/>
      <c r="V18" s="248"/>
      <c r="W18" s="254"/>
    </row>
    <row r="19" spans="1:23">
      <c r="A19" s="249">
        <f t="shared" si="4"/>
        <v>7</v>
      </c>
      <c r="B19" s="249"/>
      <c r="C19" s="501" t="s">
        <v>916</v>
      </c>
      <c r="D19" s="248"/>
      <c r="E19" s="504">
        <v>613.16435599380202</v>
      </c>
      <c r="F19" s="248"/>
      <c r="G19" s="503">
        <f t="shared" si="0"/>
        <v>2.8509079947226994E-3</v>
      </c>
      <c r="H19" s="248"/>
      <c r="I19" s="253">
        <f t="shared" si="1"/>
        <v>-4.2181902949668606</v>
      </c>
      <c r="J19" s="253"/>
      <c r="K19" s="253">
        <v>52646.499000000003</v>
      </c>
      <c r="L19" s="248"/>
      <c r="M19" s="254">
        <f t="shared" ref="M19:M22" si="5">ROUND(I19/K19*100,4)</f>
        <v>-8.0000000000000002E-3</v>
      </c>
      <c r="N19" s="254"/>
      <c r="O19" s="253">
        <v>0</v>
      </c>
      <c r="P19" s="248"/>
      <c r="Q19" s="503">
        <f t="shared" ref="Q19:Q26" si="6">O19/$O$28</f>
        <v>0</v>
      </c>
      <c r="R19" s="248"/>
      <c r="S19" s="253">
        <f t="shared" ref="S19:S26" si="7">Q19*S$28</f>
        <v>0</v>
      </c>
      <c r="T19" s="248"/>
      <c r="U19" s="253">
        <f t="shared" si="2"/>
        <v>52646.499000000003</v>
      </c>
      <c r="V19" s="248"/>
      <c r="W19" s="254">
        <f t="shared" si="3"/>
        <v>0</v>
      </c>
    </row>
    <row r="20" spans="1:23">
      <c r="A20" s="249">
        <f t="shared" si="4"/>
        <v>8</v>
      </c>
      <c r="B20" s="249"/>
      <c r="C20" s="501" t="s">
        <v>917</v>
      </c>
      <c r="D20" s="248"/>
      <c r="E20" s="504">
        <v>221.09810291802668</v>
      </c>
      <c r="F20" s="248"/>
      <c r="G20" s="503">
        <f t="shared" si="0"/>
        <v>1.0279957454562086E-3</v>
      </c>
      <c r="H20" s="248"/>
      <c r="I20" s="253">
        <f t="shared" si="1"/>
        <v>-1.521017754616238</v>
      </c>
      <c r="J20" s="253"/>
      <c r="K20" s="253">
        <v>15713.662</v>
      </c>
      <c r="L20" s="248"/>
      <c r="M20" s="254">
        <f t="shared" si="5"/>
        <v>-9.7000000000000003E-3</v>
      </c>
      <c r="N20" s="254"/>
      <c r="O20" s="253">
        <v>1563.679712744675</v>
      </c>
      <c r="P20" s="248"/>
      <c r="Q20" s="503">
        <f t="shared" si="6"/>
        <v>7.5627825030981442E-4</v>
      </c>
      <c r="R20" s="248"/>
      <c r="S20" s="253">
        <f t="shared" si="7"/>
        <v>-0.58437454280847534</v>
      </c>
      <c r="T20" s="248"/>
      <c r="U20" s="253">
        <f t="shared" si="2"/>
        <v>15713.662</v>
      </c>
      <c r="V20" s="248"/>
      <c r="W20" s="254">
        <f t="shared" si="3"/>
        <v>-3.7000000000000002E-3</v>
      </c>
    </row>
    <row r="21" spans="1:23">
      <c r="A21" s="249">
        <f t="shared" si="4"/>
        <v>9</v>
      </c>
      <c r="B21" s="249"/>
      <c r="C21" s="501" t="s">
        <v>918</v>
      </c>
      <c r="D21" s="248"/>
      <c r="E21" s="504">
        <v>4116.0808060767786</v>
      </c>
      <c r="F21" s="248"/>
      <c r="G21" s="503">
        <f t="shared" si="0"/>
        <v>1.9137719866233641E-2</v>
      </c>
      <c r="H21" s="248"/>
      <c r="I21" s="253">
        <f t="shared" si="1"/>
        <v>-28.31608187881675</v>
      </c>
      <c r="J21" s="253"/>
      <c r="K21" s="253">
        <v>323253.728</v>
      </c>
      <c r="L21" s="248"/>
      <c r="M21" s="254">
        <f t="shared" si="5"/>
        <v>-8.8000000000000005E-3</v>
      </c>
      <c r="N21" s="254"/>
      <c r="O21" s="253">
        <v>14115.935875941192</v>
      </c>
      <c r="P21" s="248"/>
      <c r="Q21" s="503">
        <f t="shared" si="6"/>
        <v>6.8272135263581944E-3</v>
      </c>
      <c r="R21" s="248"/>
      <c r="S21" s="253">
        <f t="shared" si="7"/>
        <v>-5.2753728954746775</v>
      </c>
      <c r="T21" s="248"/>
      <c r="U21" s="253">
        <f t="shared" si="2"/>
        <v>323253.728</v>
      </c>
      <c r="V21" s="248"/>
      <c r="W21" s="254">
        <f t="shared" si="3"/>
        <v>-1.6000000000000001E-3</v>
      </c>
    </row>
    <row r="22" spans="1:23">
      <c r="A22" s="249">
        <f t="shared" si="4"/>
        <v>10</v>
      </c>
      <c r="B22" s="249"/>
      <c r="C22" s="501" t="s">
        <v>919</v>
      </c>
      <c r="D22" s="248"/>
      <c r="E22" s="504">
        <v>3287.3879923873546</v>
      </c>
      <c r="F22" s="248"/>
      <c r="G22" s="503">
        <f t="shared" si="0"/>
        <v>1.52847121944369E-2</v>
      </c>
      <c r="H22" s="248"/>
      <c r="I22" s="253">
        <f t="shared" si="1"/>
        <v>-22.615189532346363</v>
      </c>
      <c r="J22" s="253"/>
      <c r="K22" s="253">
        <v>188852.1</v>
      </c>
      <c r="L22" s="248"/>
      <c r="M22" s="254">
        <f t="shared" si="5"/>
        <v>-1.2E-2</v>
      </c>
      <c r="N22" s="254"/>
      <c r="O22" s="253">
        <v>35990.029236510592</v>
      </c>
      <c r="P22" s="248"/>
      <c r="Q22" s="503">
        <f t="shared" si="6"/>
        <v>1.7406682530792451E-2</v>
      </c>
      <c r="R22" s="248"/>
      <c r="S22" s="253">
        <f t="shared" si="7"/>
        <v>-13.450105356827432</v>
      </c>
      <c r="T22" s="248"/>
      <c r="U22" s="253">
        <f t="shared" si="2"/>
        <v>188852.1</v>
      </c>
      <c r="V22" s="248"/>
      <c r="W22" s="254">
        <f t="shared" si="3"/>
        <v>-7.1000000000000004E-3</v>
      </c>
    </row>
    <row r="23" spans="1:23">
      <c r="A23" s="249">
        <f t="shared" si="4"/>
        <v>11</v>
      </c>
      <c r="B23" s="249"/>
      <c r="C23" s="501" t="s">
        <v>920</v>
      </c>
      <c r="D23" s="248"/>
      <c r="E23" s="504">
        <v>0</v>
      </c>
      <c r="F23" s="248"/>
      <c r="G23" s="253">
        <f t="shared" si="0"/>
        <v>0</v>
      </c>
      <c r="H23" s="248"/>
      <c r="I23" s="253">
        <f t="shared" si="1"/>
        <v>0</v>
      </c>
      <c r="J23" s="253"/>
      <c r="K23" s="253">
        <v>0</v>
      </c>
      <c r="L23" s="248"/>
      <c r="M23" s="253">
        <v>0</v>
      </c>
      <c r="N23" s="254"/>
      <c r="O23" s="253">
        <v>0</v>
      </c>
      <c r="P23" s="248"/>
      <c r="Q23" s="253">
        <f t="shared" si="6"/>
        <v>0</v>
      </c>
      <c r="R23" s="248"/>
      <c r="S23" s="253">
        <f t="shared" si="7"/>
        <v>0</v>
      </c>
      <c r="T23" s="248"/>
      <c r="U23" s="253">
        <f t="shared" si="2"/>
        <v>0</v>
      </c>
      <c r="V23" s="248"/>
      <c r="W23" s="253">
        <v>0</v>
      </c>
    </row>
    <row r="24" spans="1:23">
      <c r="A24" s="249">
        <f>A23+1</f>
        <v>12</v>
      </c>
      <c r="B24" s="249"/>
      <c r="C24" s="501" t="s">
        <v>937</v>
      </c>
      <c r="D24" s="248"/>
      <c r="E24" s="504">
        <v>0</v>
      </c>
      <c r="F24" s="248"/>
      <c r="G24" s="253">
        <f t="shared" si="0"/>
        <v>0</v>
      </c>
      <c r="H24" s="248"/>
      <c r="I24" s="253">
        <f t="shared" si="1"/>
        <v>0</v>
      </c>
      <c r="J24" s="253"/>
      <c r="K24" s="253">
        <v>0</v>
      </c>
      <c r="L24" s="248"/>
      <c r="M24" s="253">
        <v>0</v>
      </c>
      <c r="N24" s="254"/>
      <c r="O24" s="253">
        <v>0</v>
      </c>
      <c r="P24" s="248"/>
      <c r="Q24" s="253">
        <f t="shared" si="6"/>
        <v>0</v>
      </c>
      <c r="R24" s="248"/>
      <c r="S24" s="253">
        <f t="shared" si="7"/>
        <v>0</v>
      </c>
      <c r="T24" s="248"/>
      <c r="U24" s="253">
        <f t="shared" si="2"/>
        <v>0</v>
      </c>
      <c r="V24" s="248"/>
      <c r="W24" s="253">
        <v>0</v>
      </c>
    </row>
    <row r="25" spans="1:23">
      <c r="A25" s="249">
        <f>A24+1</f>
        <v>13</v>
      </c>
      <c r="B25" s="249"/>
      <c r="C25" s="501" t="s">
        <v>938</v>
      </c>
      <c r="D25" s="248"/>
      <c r="E25" s="504">
        <v>0</v>
      </c>
      <c r="F25" s="248"/>
      <c r="G25" s="253">
        <f t="shared" si="0"/>
        <v>0</v>
      </c>
      <c r="H25" s="248"/>
      <c r="I25" s="253">
        <f t="shared" si="1"/>
        <v>0</v>
      </c>
      <c r="J25" s="253"/>
      <c r="K25" s="253">
        <v>0</v>
      </c>
      <c r="L25" s="248"/>
      <c r="M25" s="253">
        <v>0</v>
      </c>
      <c r="N25" s="254"/>
      <c r="O25" s="253">
        <v>0</v>
      </c>
      <c r="P25" s="248"/>
      <c r="Q25" s="253">
        <f t="shared" si="6"/>
        <v>0</v>
      </c>
      <c r="R25" s="248"/>
      <c r="S25" s="253">
        <f t="shared" si="7"/>
        <v>0</v>
      </c>
      <c r="T25" s="248"/>
      <c r="U25" s="253">
        <f t="shared" si="2"/>
        <v>0</v>
      </c>
      <c r="V25" s="248"/>
      <c r="W25" s="253">
        <v>0</v>
      </c>
    </row>
    <row r="26" spans="1:23">
      <c r="A26" s="249">
        <f>A25+1</f>
        <v>14</v>
      </c>
      <c r="B26" s="249"/>
      <c r="C26" s="501" t="s">
        <v>939</v>
      </c>
      <c r="D26" s="248"/>
      <c r="E26" s="504">
        <v>0</v>
      </c>
      <c r="F26" s="248"/>
      <c r="G26" s="253">
        <f t="shared" si="0"/>
        <v>0</v>
      </c>
      <c r="H26" s="248"/>
      <c r="I26" s="253">
        <f t="shared" si="1"/>
        <v>0</v>
      </c>
      <c r="J26" s="253"/>
      <c r="K26" s="253">
        <v>0</v>
      </c>
      <c r="L26" s="248"/>
      <c r="M26" s="253">
        <v>0</v>
      </c>
      <c r="N26" s="254"/>
      <c r="O26" s="253">
        <v>0</v>
      </c>
      <c r="P26" s="248"/>
      <c r="Q26" s="253">
        <f t="shared" si="6"/>
        <v>0</v>
      </c>
      <c r="R26" s="248"/>
      <c r="S26" s="253">
        <f t="shared" si="7"/>
        <v>0</v>
      </c>
      <c r="T26" s="248"/>
      <c r="U26" s="253">
        <f t="shared" si="2"/>
        <v>0</v>
      </c>
      <c r="V26" s="248"/>
      <c r="W26" s="253">
        <v>0</v>
      </c>
    </row>
    <row r="27" spans="1:23">
      <c r="A27" s="249"/>
      <c r="B27" s="249"/>
      <c r="C27" s="501"/>
      <c r="D27" s="248"/>
      <c r="E27" s="504"/>
      <c r="F27" s="248"/>
      <c r="G27" s="503"/>
      <c r="H27" s="248"/>
      <c r="I27" s="253"/>
      <c r="J27" s="253"/>
      <c r="K27" s="253"/>
      <c r="L27" s="248"/>
      <c r="M27" s="345"/>
      <c r="N27" s="254"/>
      <c r="O27" s="253"/>
      <c r="P27" s="248"/>
      <c r="Q27" s="503"/>
      <c r="R27" s="248"/>
      <c r="S27" s="253"/>
      <c r="T27" s="248"/>
      <c r="U27" s="253"/>
      <c r="V27" s="248"/>
      <c r="W27" s="254"/>
    </row>
    <row r="28" spans="1:23" ht="12.95" thickBot="1">
      <c r="A28" s="249">
        <f>A26+1</f>
        <v>15</v>
      </c>
      <c r="B28" s="249"/>
      <c r="C28" s="248" t="s">
        <v>8</v>
      </c>
      <c r="D28" s="248"/>
      <c r="E28" s="346">
        <f>SUM(E13:E27)</f>
        <v>215076.8657314888</v>
      </c>
      <c r="F28" s="248"/>
      <c r="G28" s="256">
        <f>SUM(G13:G27)</f>
        <v>1.0000000000000002</v>
      </c>
      <c r="H28" s="248"/>
      <c r="I28" s="257">
        <f>'Sch. 28 p.1'!K17</f>
        <v>-1479.5953790073654</v>
      </c>
      <c r="J28" s="251"/>
      <c r="K28" s="346">
        <f>SUM(K13:K27)</f>
        <v>11868876.755835138</v>
      </c>
      <c r="L28" s="248"/>
      <c r="M28" s="248"/>
      <c r="N28" s="248"/>
      <c r="O28" s="258">
        <f>SUM(O13:O27)</f>
        <v>2067598.4164612738</v>
      </c>
      <c r="P28" s="248"/>
      <c r="Q28" s="256">
        <f>SUM(Q13:Q27)</f>
        <v>1</v>
      </c>
      <c r="R28" s="248"/>
      <c r="S28" s="257">
        <f>'Sch. 28 p.1'!K23</f>
        <v>-772.697803446129</v>
      </c>
      <c r="T28" s="259"/>
      <c r="U28" s="258">
        <f>SUM(U13:U27)</f>
        <v>11868876.755835138</v>
      </c>
      <c r="V28" s="248"/>
      <c r="W28" s="248"/>
    </row>
    <row r="29" spans="1:23" ht="12.95" thickTop="1">
      <c r="A29" s="248"/>
      <c r="B29" s="248"/>
      <c r="C29" s="248"/>
      <c r="D29" s="248"/>
      <c r="E29" s="248"/>
      <c r="F29" s="248"/>
      <c r="G29" s="248"/>
      <c r="H29" s="248"/>
      <c r="I29" s="248"/>
      <c r="J29" s="248"/>
      <c r="K29" s="248"/>
      <c r="L29" s="248"/>
      <c r="M29" s="248"/>
      <c r="N29" s="248"/>
      <c r="O29" s="248"/>
      <c r="P29" s="248"/>
      <c r="Q29" s="248"/>
      <c r="R29" s="248"/>
      <c r="S29" s="248"/>
      <c r="T29" s="248"/>
      <c r="U29" s="260"/>
      <c r="V29" s="248"/>
      <c r="W29" s="248"/>
    </row>
    <row r="30" spans="1:23">
      <c r="A30" s="197" t="s">
        <v>80</v>
      </c>
      <c r="B30" s="197"/>
      <c r="C30" s="248"/>
      <c r="D30" s="248"/>
      <c r="E30" s="248"/>
      <c r="F30" s="248"/>
      <c r="G30" s="248"/>
      <c r="H30" s="248"/>
      <c r="I30" s="248"/>
      <c r="J30" s="248"/>
      <c r="K30" s="248"/>
      <c r="L30" s="248"/>
      <c r="M30" s="248"/>
      <c r="N30" s="248"/>
      <c r="O30" s="248"/>
      <c r="P30" s="248"/>
      <c r="Q30" s="248"/>
      <c r="R30" s="248"/>
      <c r="S30" s="248"/>
      <c r="T30" s="248"/>
      <c r="U30" s="248"/>
      <c r="V30" s="248"/>
      <c r="W30" s="248"/>
    </row>
    <row r="31" spans="1:23">
      <c r="A31" s="190" t="s">
        <v>40</v>
      </c>
      <c r="B31" s="190"/>
      <c r="C31" s="262" t="s">
        <v>1436</v>
      </c>
      <c r="D31" s="261"/>
      <c r="E31" s="347"/>
      <c r="F31" s="343"/>
      <c r="G31" s="343"/>
      <c r="H31" s="343"/>
      <c r="I31" s="343"/>
      <c r="J31" s="343"/>
      <c r="K31" s="343"/>
      <c r="L31" s="343"/>
      <c r="M31" s="343"/>
      <c r="N31" s="343"/>
      <c r="O31" s="248"/>
      <c r="P31" s="248"/>
      <c r="Q31" s="306"/>
      <c r="R31" s="262"/>
      <c r="S31" s="248"/>
      <c r="T31" s="248"/>
      <c r="U31" s="248"/>
      <c r="V31" s="248"/>
      <c r="W31" s="248"/>
    </row>
    <row r="32" spans="1:23">
      <c r="A32" s="190" t="s">
        <v>20</v>
      </c>
      <c r="B32" s="190"/>
      <c r="C32" s="262" t="s">
        <v>1437</v>
      </c>
      <c r="D32" s="261"/>
      <c r="E32" s="263"/>
      <c r="F32" s="343"/>
      <c r="G32" s="263"/>
      <c r="H32" s="343"/>
      <c r="I32" s="263"/>
      <c r="J32" s="263"/>
      <c r="K32" s="263"/>
      <c r="L32" s="263"/>
      <c r="M32" s="248"/>
      <c r="N32" s="248"/>
      <c r="O32" s="248"/>
      <c r="P32" s="248"/>
      <c r="Q32" s="307"/>
      <c r="R32" s="262"/>
      <c r="S32" s="248"/>
      <c r="T32" s="248"/>
      <c r="U32" s="248"/>
      <c r="V32" s="248"/>
      <c r="W32" s="248"/>
    </row>
    <row r="33" spans="1:23">
      <c r="A33" s="191" t="s">
        <v>21</v>
      </c>
      <c r="B33" s="191"/>
      <c r="C33" s="262" t="s">
        <v>1438</v>
      </c>
      <c r="D33" s="261"/>
      <c r="E33" s="343"/>
      <c r="F33" s="343"/>
      <c r="G33" s="343"/>
      <c r="H33" s="343"/>
      <c r="I33" s="348"/>
      <c r="J33" s="348"/>
      <c r="K33" s="348"/>
      <c r="L33" s="348"/>
      <c r="M33" s="248"/>
      <c r="N33" s="248"/>
      <c r="O33" s="248"/>
      <c r="P33" s="262"/>
      <c r="Q33" s="308"/>
      <c r="R33" s="308"/>
      <c r="S33" s="248"/>
      <c r="T33" s="248"/>
      <c r="U33" s="248"/>
      <c r="V33" s="248"/>
      <c r="W33" s="248"/>
    </row>
    <row r="34" spans="1:23">
      <c r="A34" s="191" t="s">
        <v>28</v>
      </c>
      <c r="B34" s="191"/>
      <c r="C34" s="262" t="s">
        <v>1439</v>
      </c>
      <c r="D34" s="261"/>
      <c r="E34" s="343"/>
      <c r="F34" s="343"/>
      <c r="G34" s="343"/>
      <c r="H34" s="343"/>
      <c r="I34" s="263"/>
      <c r="J34" s="263"/>
      <c r="K34" s="263"/>
      <c r="L34" s="263"/>
      <c r="M34" s="248"/>
      <c r="N34" s="248"/>
      <c r="O34" s="248"/>
      <c r="P34" s="262"/>
      <c r="Q34" s="309"/>
      <c r="S34" s="248"/>
      <c r="T34" s="248"/>
      <c r="U34" s="310"/>
      <c r="W34" s="311"/>
    </row>
    <row r="35" spans="1:23">
      <c r="A35" s="191" t="s">
        <v>85</v>
      </c>
      <c r="B35" s="191"/>
      <c r="C35" s="262" t="s">
        <v>1440</v>
      </c>
      <c r="D35" s="261"/>
      <c r="E35" s="263"/>
      <c r="F35" s="343"/>
      <c r="G35" s="263"/>
      <c r="H35" s="343"/>
      <c r="I35" s="348"/>
      <c r="J35" s="263"/>
      <c r="K35" s="263"/>
      <c r="L35" s="263"/>
      <c r="M35" s="248"/>
      <c r="N35" s="248"/>
      <c r="O35" s="248"/>
      <c r="P35" s="262"/>
      <c r="Q35" s="308"/>
      <c r="S35" s="248"/>
      <c r="T35" s="248"/>
      <c r="U35" s="310"/>
      <c r="W35" s="249"/>
    </row>
    <row r="36" spans="1:23">
      <c r="A36" s="349"/>
      <c r="B36" s="349"/>
      <c r="C36" s="347"/>
      <c r="D36" s="261"/>
      <c r="E36" s="263"/>
      <c r="F36" s="343"/>
      <c r="G36" s="263"/>
      <c r="H36" s="343"/>
      <c r="I36" s="348"/>
      <c r="J36" s="348"/>
      <c r="K36" s="348"/>
      <c r="L36" s="348"/>
      <c r="M36" s="248"/>
      <c r="N36" s="248"/>
      <c r="O36" s="248"/>
      <c r="P36" s="350"/>
      <c r="Q36" s="312"/>
      <c r="R36" s="308"/>
      <c r="S36" s="248"/>
      <c r="T36" s="248"/>
      <c r="U36" s="310"/>
      <c r="W36" s="249"/>
    </row>
    <row r="37" spans="1:23">
      <c r="A37" s="248"/>
      <c r="B37" s="248"/>
      <c r="C37" s="351"/>
      <c r="D37" s="264"/>
      <c r="E37" s="351"/>
      <c r="F37" s="264"/>
      <c r="G37" s="248"/>
      <c r="H37" s="264"/>
      <c r="I37" s="248"/>
      <c r="J37" s="248"/>
      <c r="K37" s="248"/>
      <c r="L37" s="248"/>
      <c r="M37" s="344"/>
      <c r="N37" s="344"/>
      <c r="O37" s="248"/>
      <c r="P37" s="262"/>
      <c r="Q37" s="312"/>
      <c r="R37" s="312"/>
      <c r="S37" s="248"/>
      <c r="T37" s="248"/>
      <c r="U37" s="313"/>
      <c r="W37" s="311"/>
    </row>
    <row r="38" spans="1:23">
      <c r="A38" s="349"/>
      <c r="B38" s="349"/>
      <c r="C38" s="248"/>
      <c r="D38" s="248"/>
      <c r="E38" s="248"/>
      <c r="F38" s="248"/>
      <c r="G38" s="248"/>
      <c r="H38" s="248"/>
      <c r="I38" s="248"/>
      <c r="J38" s="248"/>
      <c r="K38" s="248"/>
      <c r="L38" s="248"/>
      <c r="M38" s="248"/>
      <c r="N38" s="248"/>
      <c r="O38" s="248"/>
      <c r="P38" s="262"/>
      <c r="Q38" s="308"/>
      <c r="R38" s="312"/>
      <c r="S38" s="248"/>
      <c r="T38" s="248"/>
      <c r="U38" s="313"/>
      <c r="W38" s="311"/>
    </row>
    <row r="39" spans="1:23">
      <c r="A39" s="349"/>
      <c r="B39" s="349"/>
      <c r="C39" s="248"/>
      <c r="D39" s="248"/>
      <c r="E39" s="248"/>
      <c r="F39" s="248"/>
      <c r="G39" s="248"/>
      <c r="H39" s="248"/>
      <c r="I39" s="248"/>
      <c r="J39" s="248"/>
      <c r="K39" s="248"/>
      <c r="L39" s="248"/>
      <c r="M39" s="248"/>
      <c r="N39" s="248"/>
      <c r="O39" s="248"/>
      <c r="P39" s="262"/>
      <c r="Q39" s="312"/>
      <c r="R39" s="308"/>
      <c r="S39" s="248"/>
      <c r="T39" s="248"/>
      <c r="U39" s="313"/>
      <c r="W39" s="311"/>
    </row>
    <row r="40" spans="1:23">
      <c r="A40" s="349"/>
      <c r="B40" s="349"/>
      <c r="C40" s="248"/>
      <c r="D40" s="248"/>
      <c r="E40" s="248"/>
      <c r="F40" s="248"/>
      <c r="G40" s="248"/>
      <c r="H40" s="248"/>
      <c r="I40" s="248"/>
      <c r="J40" s="248"/>
      <c r="K40" s="248"/>
      <c r="L40" s="248"/>
      <c r="M40" s="248"/>
      <c r="N40" s="248"/>
      <c r="O40" s="248"/>
      <c r="P40" s="262"/>
      <c r="Q40" s="312"/>
      <c r="R40" s="312"/>
      <c r="S40" s="248"/>
      <c r="T40" s="248"/>
      <c r="U40" s="313"/>
      <c r="W40" s="311"/>
    </row>
    <row r="41" spans="1:23">
      <c r="A41" s="349"/>
      <c r="B41" s="349"/>
      <c r="C41" s="248"/>
      <c r="D41" s="248"/>
      <c r="E41" s="248"/>
      <c r="F41" s="248"/>
      <c r="G41" s="248"/>
      <c r="H41" s="248"/>
      <c r="I41" s="248"/>
      <c r="J41" s="248"/>
      <c r="K41" s="248"/>
      <c r="L41" s="248"/>
      <c r="M41" s="248"/>
      <c r="N41" s="248"/>
      <c r="O41" s="248"/>
      <c r="P41" s="262"/>
      <c r="Q41" s="312"/>
      <c r="R41" s="312"/>
      <c r="S41" s="248"/>
      <c r="T41" s="248"/>
      <c r="U41" s="313"/>
      <c r="W41" s="311"/>
    </row>
    <row r="42" spans="1:23" ht="12.95">
      <c r="A42" s="349"/>
      <c r="B42" s="349"/>
      <c r="C42" s="248"/>
      <c r="D42" s="248"/>
      <c r="E42" s="248"/>
      <c r="F42" s="248"/>
      <c r="G42" s="248"/>
      <c r="H42" s="248"/>
      <c r="I42" s="248"/>
      <c r="J42" s="248"/>
      <c r="K42" s="248"/>
      <c r="L42" s="248"/>
      <c r="M42" s="248"/>
      <c r="N42" s="248"/>
      <c r="O42" s="248"/>
      <c r="P42" s="248"/>
      <c r="Q42" s="308"/>
      <c r="R42" s="308"/>
      <c r="S42" s="248"/>
      <c r="T42" s="248"/>
      <c r="W42" s="352"/>
    </row>
    <row r="43" spans="1:23">
      <c r="A43" s="1203"/>
      <c r="B43" s="1203"/>
      <c r="C43" s="1203"/>
      <c r="D43" s="1203"/>
      <c r="E43" s="1203"/>
      <c r="F43" s="1203"/>
      <c r="G43" s="1203"/>
      <c r="H43" s="1203"/>
      <c r="I43" s="1203"/>
      <c r="J43" s="353"/>
      <c r="K43" s="353"/>
      <c r="L43" s="353"/>
      <c r="M43" s="248"/>
      <c r="N43" s="248"/>
      <c r="O43" s="248"/>
      <c r="P43" s="248"/>
      <c r="Q43" s="248"/>
      <c r="R43" s="248"/>
      <c r="S43" s="248"/>
      <c r="T43" s="248"/>
      <c r="U43" s="248"/>
      <c r="V43" s="248"/>
      <c r="W43" s="248"/>
    </row>
    <row r="44" spans="1:23">
      <c r="A44" s="1203"/>
      <c r="B44" s="1203"/>
      <c r="C44" s="1203"/>
      <c r="D44" s="1203"/>
      <c r="E44" s="1203"/>
      <c r="F44" s="1203"/>
      <c r="G44" s="1203"/>
      <c r="H44" s="1203"/>
      <c r="I44" s="1203"/>
      <c r="J44" s="353"/>
      <c r="K44" s="353"/>
      <c r="L44" s="353"/>
      <c r="M44" s="248"/>
      <c r="N44" s="248"/>
      <c r="O44" s="248"/>
      <c r="P44" s="248"/>
      <c r="Q44" s="248"/>
      <c r="R44" s="248"/>
      <c r="S44" s="248"/>
      <c r="T44" s="248"/>
      <c r="U44" s="248"/>
      <c r="V44" s="248"/>
      <c r="W44" s="248"/>
    </row>
    <row r="45" spans="1:23">
      <c r="A45" s="1203"/>
      <c r="B45" s="1203"/>
      <c r="C45" s="1203"/>
      <c r="D45" s="1203"/>
      <c r="E45" s="1203"/>
      <c r="F45" s="1203"/>
      <c r="G45" s="1203"/>
      <c r="H45" s="1203"/>
      <c r="I45" s="1203"/>
      <c r="J45" s="353"/>
      <c r="K45" s="353"/>
      <c r="L45" s="353"/>
      <c r="M45" s="248"/>
      <c r="N45" s="248"/>
      <c r="O45" s="248"/>
      <c r="P45" s="248"/>
      <c r="Q45" s="248"/>
      <c r="R45" s="248"/>
      <c r="S45" s="248"/>
      <c r="T45" s="248"/>
      <c r="U45" s="248"/>
      <c r="V45" s="248"/>
      <c r="W45" s="248"/>
    </row>
    <row r="46" spans="1:23">
      <c r="A46" s="1203"/>
      <c r="B46" s="1203"/>
      <c r="C46" s="1203"/>
      <c r="D46" s="1203"/>
      <c r="E46" s="1203"/>
      <c r="F46" s="1203"/>
      <c r="G46" s="1203"/>
      <c r="H46" s="1203"/>
      <c r="I46" s="1203"/>
      <c r="J46" s="353"/>
      <c r="K46" s="353"/>
      <c r="L46" s="353"/>
      <c r="M46" s="248"/>
      <c r="N46" s="248"/>
      <c r="O46" s="248"/>
      <c r="P46" s="248"/>
      <c r="Q46" s="248"/>
      <c r="R46" s="248"/>
      <c r="S46" s="248"/>
      <c r="T46" s="248"/>
      <c r="U46" s="248"/>
      <c r="V46" s="248"/>
      <c r="W46" s="248"/>
    </row>
  </sheetData>
  <mergeCells count="4">
    <mergeCell ref="E7:I7"/>
    <mergeCell ref="O7:S7"/>
    <mergeCell ref="A43:I46"/>
    <mergeCell ref="A5:W5"/>
  </mergeCells>
  <printOptions horizontalCentered="1"/>
  <pageMargins left="0.7" right="0.7" top="0.75" bottom="0.75" header="0.3" footer="0.3"/>
  <pageSetup scale="70" firstPageNumber="2" fitToHeight="0" orientation="landscape" useFirstPageNumber="1" r:id="rId1"/>
  <headerFooter>
    <oddHeader>&amp;R&amp;10Filed: 2024-02-16
EB-2022-0200
Rate Order
Working Papers
Schedule 28
Page &amp;P of 4</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7F30-0F27-45EB-BECC-43B35B334BBA}">
  <sheetPr>
    <pageSetUpPr fitToPage="1"/>
  </sheetPr>
  <dimension ref="A2:AY61"/>
  <sheetViews>
    <sheetView view="pageBreakPreview" topLeftCell="A17" zoomScaleNormal="85" zoomScaleSheetLayoutView="100" workbookViewId="0"/>
  </sheetViews>
  <sheetFormatPr defaultColWidth="8.625" defaultRowHeight="12.6"/>
  <cols>
    <col min="1" max="1" width="4.625" style="252" customWidth="1"/>
    <col min="2" max="2" width="2" style="252" customWidth="1"/>
    <col min="3" max="3" width="11.125" style="252" customWidth="1"/>
    <col min="4" max="4" width="2" style="252" customWidth="1"/>
    <col min="5" max="5" width="19.625" style="252" bestFit="1" customWidth="1"/>
    <col min="6" max="6" width="2" style="252" customWidth="1"/>
    <col min="7" max="7" width="8.625" style="252"/>
    <col min="8" max="8" width="2" style="252" customWidth="1"/>
    <col min="9" max="9" width="9.625" style="252" customWidth="1"/>
    <col min="10" max="10" width="2" style="252" customWidth="1"/>
    <col min="11" max="11" width="12.125" style="252" customWidth="1"/>
    <col min="12" max="12" width="2" style="252" customWidth="1"/>
    <col min="13" max="13" width="8.625" style="252"/>
    <col min="14" max="14" width="2" style="252" customWidth="1"/>
    <col min="15" max="15" width="9.25" style="252" customWidth="1"/>
    <col min="16" max="16" width="2" style="252" customWidth="1"/>
    <col min="17" max="17" width="19" style="252" customWidth="1"/>
    <col min="18" max="18" width="2.75" style="252" customWidth="1"/>
    <col min="19" max="19" width="17.125" style="252" customWidth="1"/>
    <col min="20" max="20" width="2" style="252" customWidth="1"/>
    <col min="21" max="21" width="11.625" style="252" customWidth="1"/>
    <col min="22" max="22" width="5" style="252" customWidth="1"/>
    <col min="23" max="26" width="8.625" style="252"/>
    <col min="27" max="27" width="3" style="252" customWidth="1"/>
    <col min="28" max="28" width="13.125" style="252" customWidth="1"/>
    <col min="29" max="29" width="3" style="252" customWidth="1"/>
    <col min="30" max="30" width="16.5" style="252" customWidth="1"/>
    <col min="31" max="31" width="3" style="252" customWidth="1"/>
    <col min="32" max="32" width="14.5" style="252" customWidth="1"/>
    <col min="33" max="33" width="3" style="252" customWidth="1"/>
    <col min="34" max="34" width="14.5" style="252" customWidth="1"/>
    <col min="35" max="35" width="3" style="252" customWidth="1"/>
    <col min="36" max="36" width="10.5" style="252" customWidth="1"/>
    <col min="37" max="37" width="2.625" style="252" customWidth="1"/>
    <col min="38" max="38" width="12.125" style="252" bestFit="1" customWidth="1"/>
    <col min="39" max="16384" width="8.625" style="252"/>
  </cols>
  <sheetData>
    <row r="2" spans="1:49">
      <c r="A2" s="501"/>
      <c r="B2" s="501"/>
      <c r="C2" s="501"/>
      <c r="D2" s="501"/>
      <c r="E2" s="501"/>
      <c r="F2" s="501"/>
      <c r="G2" s="501"/>
      <c r="H2" s="501"/>
      <c r="I2" s="501"/>
      <c r="J2" s="501"/>
      <c r="K2" s="501"/>
      <c r="L2" s="501"/>
      <c r="M2" s="501"/>
      <c r="N2" s="501"/>
      <c r="O2" s="501"/>
      <c r="P2" s="501"/>
      <c r="Q2" s="501"/>
      <c r="R2" s="501"/>
      <c r="S2" s="501"/>
      <c r="T2" s="501"/>
      <c r="U2" s="501"/>
      <c r="AD2" s="314"/>
      <c r="AF2" s="511"/>
    </row>
    <row r="3" spans="1:49">
      <c r="A3" s="501"/>
      <c r="B3" s="501"/>
      <c r="C3" s="501"/>
      <c r="D3" s="501"/>
      <c r="E3" s="501"/>
      <c r="F3" s="501"/>
      <c r="G3" s="501"/>
      <c r="H3" s="501"/>
      <c r="I3" s="501"/>
      <c r="J3" s="501"/>
      <c r="K3" s="501"/>
      <c r="L3" s="501"/>
      <c r="M3" s="501"/>
      <c r="N3" s="501"/>
      <c r="O3" s="501"/>
      <c r="P3" s="501"/>
      <c r="Q3" s="501"/>
      <c r="R3" s="501"/>
      <c r="S3" s="501"/>
      <c r="T3" s="501"/>
      <c r="U3" s="501"/>
      <c r="AD3" s="314"/>
    </row>
    <row r="4" spans="1:49">
      <c r="A4" s="501"/>
      <c r="B4" s="501"/>
      <c r="C4" s="501"/>
      <c r="D4" s="501"/>
      <c r="E4" s="501"/>
      <c r="F4" s="501"/>
      <c r="G4" s="501"/>
      <c r="H4" s="501"/>
      <c r="I4" s="501"/>
      <c r="J4" s="501"/>
      <c r="K4" s="501"/>
      <c r="L4" s="501"/>
      <c r="M4" s="501"/>
      <c r="N4" s="501"/>
      <c r="O4" s="501"/>
      <c r="P4" s="501"/>
      <c r="Q4" s="501"/>
      <c r="R4" s="501"/>
      <c r="S4" s="501"/>
      <c r="T4" s="501"/>
      <c r="U4" s="501"/>
    </row>
    <row r="5" spans="1:49">
      <c r="A5" s="1204" t="s">
        <v>1441</v>
      </c>
      <c r="B5" s="1187"/>
      <c r="C5" s="1187"/>
      <c r="D5" s="1187"/>
      <c r="E5" s="1187"/>
      <c r="F5" s="1187"/>
      <c r="G5" s="1187"/>
      <c r="H5" s="1187"/>
      <c r="I5" s="1187"/>
      <c r="J5" s="1187"/>
      <c r="K5" s="1187"/>
      <c r="L5" s="1187"/>
      <c r="M5" s="1187"/>
      <c r="N5" s="1187"/>
      <c r="O5" s="1187"/>
      <c r="P5" s="1187"/>
      <c r="Q5" s="1187"/>
      <c r="R5" s="1187"/>
      <c r="S5" s="1187"/>
      <c r="T5" s="1187"/>
      <c r="U5" s="1187"/>
    </row>
    <row r="6" spans="1:49">
      <c r="A6" s="303"/>
      <c r="B6" s="303"/>
      <c r="C6" s="303"/>
      <c r="D6" s="248"/>
      <c r="E6" s="248"/>
      <c r="F6" s="248"/>
      <c r="G6" s="248"/>
      <c r="H6" s="248"/>
      <c r="I6" s="248"/>
      <c r="J6" s="248"/>
      <c r="K6" s="249"/>
      <c r="L6" s="248"/>
      <c r="M6" s="249"/>
      <c r="N6" s="248"/>
      <c r="O6" s="249"/>
      <c r="P6" s="248"/>
      <c r="Q6" s="304"/>
      <c r="R6" s="248"/>
      <c r="S6" s="249"/>
      <c r="T6" s="248"/>
      <c r="U6" s="248"/>
    </row>
    <row r="7" spans="1:49">
      <c r="A7" s="249"/>
      <c r="B7" s="248"/>
      <c r="C7" s="248"/>
      <c r="D7" s="248"/>
      <c r="E7" s="1202" t="s">
        <v>1419</v>
      </c>
      <c r="F7" s="1202"/>
      <c r="G7" s="1202"/>
      <c r="H7" s="1202"/>
      <c r="I7" s="1202"/>
      <c r="J7" s="248"/>
      <c r="K7" s="1202" t="s">
        <v>1420</v>
      </c>
      <c r="L7" s="1202"/>
      <c r="M7" s="1202"/>
      <c r="N7" s="1202"/>
      <c r="O7" s="1202"/>
      <c r="P7" s="248"/>
      <c r="Q7" s="304"/>
      <c r="R7" s="248"/>
      <c r="S7" s="249"/>
      <c r="T7" s="248"/>
      <c r="U7" s="248"/>
    </row>
    <row r="8" spans="1:49">
      <c r="A8" s="249"/>
      <c r="B8" s="248"/>
      <c r="C8" s="248"/>
      <c r="D8" s="248"/>
      <c r="E8" s="249" t="s">
        <v>1442</v>
      </c>
      <c r="F8" s="249"/>
      <c r="G8" s="249" t="s">
        <v>1267</v>
      </c>
      <c r="H8" s="249"/>
      <c r="I8" s="249" t="s">
        <v>1422</v>
      </c>
      <c r="J8" s="248"/>
      <c r="K8" s="249" t="s">
        <v>1424</v>
      </c>
      <c r="L8" s="249"/>
      <c r="M8" s="249" t="s">
        <v>1267</v>
      </c>
      <c r="N8" s="249"/>
      <c r="O8" s="249" t="s">
        <v>1422</v>
      </c>
      <c r="P8" s="248"/>
      <c r="Q8" s="304" t="s">
        <v>1443</v>
      </c>
      <c r="R8" s="248"/>
      <c r="S8" s="249" t="s">
        <v>1144</v>
      </c>
      <c r="T8" s="248"/>
      <c r="U8" s="249" t="s">
        <v>991</v>
      </c>
    </row>
    <row r="9" spans="1:49">
      <c r="A9" s="298" t="s">
        <v>56</v>
      </c>
      <c r="B9" s="248"/>
      <c r="C9" s="248"/>
      <c r="D9" s="248"/>
      <c r="E9" s="249" t="s">
        <v>1425</v>
      </c>
      <c r="F9" s="248"/>
      <c r="G9" s="249" t="s">
        <v>1426</v>
      </c>
      <c r="H9" s="248"/>
      <c r="I9" s="249" t="s">
        <v>1427</v>
      </c>
      <c r="J9" s="248"/>
      <c r="K9" s="249" t="s">
        <v>953</v>
      </c>
      <c r="L9" s="248"/>
      <c r="M9" s="249" t="s">
        <v>1426</v>
      </c>
      <c r="N9" s="248"/>
      <c r="O9" s="249" t="s">
        <v>1444</v>
      </c>
      <c r="P9" s="248"/>
      <c r="Q9" s="304" t="s">
        <v>1445</v>
      </c>
      <c r="R9" s="248"/>
      <c r="S9" s="249" t="s">
        <v>1446</v>
      </c>
      <c r="T9" s="248"/>
      <c r="U9" s="249" t="s">
        <v>845</v>
      </c>
    </row>
    <row r="10" spans="1:49" ht="14.45">
      <c r="A10" s="302" t="s">
        <v>57</v>
      </c>
      <c r="B10" s="248"/>
      <c r="C10" s="250" t="s">
        <v>955</v>
      </c>
      <c r="D10" s="248"/>
      <c r="E10" s="432" t="s">
        <v>1391</v>
      </c>
      <c r="F10" s="249"/>
      <c r="G10" s="432" t="s">
        <v>249</v>
      </c>
      <c r="H10" s="249"/>
      <c r="I10" s="305" t="s">
        <v>248</v>
      </c>
      <c r="J10" s="249"/>
      <c r="K10" s="432" t="s">
        <v>1391</v>
      </c>
      <c r="L10" s="249"/>
      <c r="M10" s="432" t="s">
        <v>249</v>
      </c>
      <c r="N10" s="249"/>
      <c r="O10" s="305" t="s">
        <v>248</v>
      </c>
      <c r="P10" s="249"/>
      <c r="Q10" s="305" t="s">
        <v>248</v>
      </c>
      <c r="R10" s="249"/>
      <c r="S10" s="432" t="s">
        <v>1391</v>
      </c>
      <c r="T10" s="249"/>
      <c r="U10" s="432" t="s">
        <v>247</v>
      </c>
    </row>
    <row r="11" spans="1:49">
      <c r="A11" s="248"/>
      <c r="B11" s="248"/>
      <c r="C11" s="248"/>
      <c r="D11" s="248"/>
      <c r="E11" s="249" t="s">
        <v>9</v>
      </c>
      <c r="F11" s="249"/>
      <c r="G11" s="249" t="s">
        <v>10</v>
      </c>
      <c r="H11" s="249"/>
      <c r="I11" s="249" t="s">
        <v>1432</v>
      </c>
      <c r="J11" s="249"/>
      <c r="K11" s="249" t="s">
        <v>12</v>
      </c>
      <c r="L11" s="249"/>
      <c r="M11" s="249" t="s">
        <v>13</v>
      </c>
      <c r="N11" s="249"/>
      <c r="O11" s="304" t="s">
        <v>1447</v>
      </c>
      <c r="P11" s="249"/>
      <c r="Q11" s="249" t="s">
        <v>1448</v>
      </c>
      <c r="R11" s="249"/>
      <c r="S11" s="249" t="s">
        <v>210</v>
      </c>
      <c r="T11" s="249"/>
      <c r="U11" s="249" t="s">
        <v>1449</v>
      </c>
      <c r="Z11" s="18"/>
      <c r="AH11" s="430"/>
    </row>
    <row r="12" spans="1:49">
      <c r="A12" s="248"/>
      <c r="B12" s="248"/>
      <c r="C12" s="248"/>
      <c r="D12" s="248"/>
      <c r="E12" s="248"/>
      <c r="F12" s="248"/>
      <c r="G12" s="248"/>
      <c r="H12" s="248"/>
      <c r="I12" s="248"/>
      <c r="J12" s="248"/>
      <c r="K12" s="248"/>
      <c r="L12" s="248"/>
      <c r="M12" s="248"/>
      <c r="N12" s="248"/>
      <c r="O12" s="248"/>
      <c r="P12" s="248"/>
      <c r="Q12" s="248"/>
      <c r="R12" s="248"/>
      <c r="S12" s="248"/>
      <c r="T12" s="248"/>
      <c r="U12" s="248"/>
    </row>
    <row r="13" spans="1:49">
      <c r="A13" s="249">
        <v>1</v>
      </c>
      <c r="B13" s="248"/>
      <c r="C13" s="501" t="s">
        <v>921</v>
      </c>
      <c r="D13" s="248"/>
      <c r="E13" s="514">
        <v>14301.180075638529</v>
      </c>
      <c r="F13" s="248"/>
      <c r="G13" s="503">
        <f>E13/$E$36</f>
        <v>0.186550005840358</v>
      </c>
      <c r="H13" s="248"/>
      <c r="I13" s="253">
        <f>G13*($I$36-($I$32+$I$33))</f>
        <v>-178.13249905686632</v>
      </c>
      <c r="J13" s="248"/>
      <c r="K13" s="253">
        <v>178715.8098598345</v>
      </c>
      <c r="L13" s="248"/>
      <c r="M13" s="503">
        <f>K13/$K$36</f>
        <v>0.18296662149899806</v>
      </c>
      <c r="N13" s="248"/>
      <c r="O13" s="253">
        <f>M13*(O$36-SUM($O$26:$O$27))</f>
        <v>6.4297892124801708</v>
      </c>
      <c r="P13" s="248"/>
      <c r="Q13" s="251">
        <f>O13+I13</f>
        <v>-171.70270984438616</v>
      </c>
      <c r="R13" s="248"/>
      <c r="S13" s="253">
        <v>976879.860067136</v>
      </c>
      <c r="T13" s="248"/>
      <c r="U13" s="254">
        <f>ROUND(Q13/S13*100,4)</f>
        <v>-1.7600000000000001E-2</v>
      </c>
      <c r="AL13" s="269"/>
      <c r="AP13" s="505"/>
      <c r="AQ13" s="315"/>
      <c r="AR13" s="315"/>
      <c r="AS13" s="315"/>
      <c r="AT13" s="315"/>
      <c r="AU13" s="315"/>
      <c r="AV13" s="315"/>
      <c r="AW13" s="506"/>
    </row>
    <row r="14" spans="1:49">
      <c r="A14" s="249">
        <f>MAX($A$13:A13)+1</f>
        <v>2</v>
      </c>
      <c r="B14" s="248"/>
      <c r="C14" s="501" t="s">
        <v>922</v>
      </c>
      <c r="D14" s="248"/>
      <c r="E14" s="514">
        <v>3798.5836444982524</v>
      </c>
      <c r="F14" s="248"/>
      <c r="G14" s="503">
        <f>E14/$E$36</f>
        <v>4.9550162806029703E-2</v>
      </c>
      <c r="H14" s="248"/>
      <c r="I14" s="253">
        <f>G14*($I$36-($I$32+$I$33))</f>
        <v>-47.314361045188164</v>
      </c>
      <c r="J14" s="248"/>
      <c r="K14" s="253">
        <v>46860.907652444825</v>
      </c>
      <c r="L14" s="248"/>
      <c r="M14" s="503">
        <f>K14/$K$36</f>
        <v>4.7975509051319441E-2</v>
      </c>
      <c r="N14" s="248"/>
      <c r="O14" s="253">
        <f>M14*(O$36-SUM($O$26:$O$27))</f>
        <v>1.6859490984431156</v>
      </c>
      <c r="P14" s="248"/>
      <c r="Q14" s="251">
        <f t="shared" ref="Q14:Q31" si="0">O14+I14</f>
        <v>-45.628411946745047</v>
      </c>
      <c r="R14" s="248"/>
      <c r="S14" s="253">
        <v>341663.84388774872</v>
      </c>
      <c r="T14" s="248"/>
      <c r="U14" s="254">
        <f>ROUND(Q14/S14*100,4)</f>
        <v>-1.34E-2</v>
      </c>
      <c r="AB14" s="18"/>
      <c r="AC14" s="18"/>
      <c r="AD14" s="269"/>
      <c r="AE14" s="18"/>
      <c r="AF14" s="18"/>
      <c r="AG14" s="18"/>
      <c r="AH14" s="18"/>
      <c r="AI14" s="18"/>
      <c r="AJ14" s="269"/>
      <c r="AL14" s="269"/>
      <c r="AP14" s="315"/>
      <c r="AQ14" s="315"/>
      <c r="AR14" s="315"/>
      <c r="AS14" s="315"/>
      <c r="AT14" s="315"/>
      <c r="AU14" s="315"/>
      <c r="AV14" s="315"/>
      <c r="AW14" s="506"/>
    </row>
    <row r="15" spans="1:49">
      <c r="A15" s="249">
        <f>MAX($A$13:A14)+1</f>
        <v>3</v>
      </c>
      <c r="B15" s="248"/>
      <c r="C15" s="501" t="s">
        <v>923</v>
      </c>
      <c r="D15" s="248"/>
      <c r="E15" s="514">
        <v>1349.3974698234451</v>
      </c>
      <c r="F15" s="248"/>
      <c r="G15" s="503">
        <f>E15/$E$36</f>
        <v>1.7602051337381582E-2</v>
      </c>
      <c r="H15" s="248"/>
      <c r="I15" s="253">
        <f>G15*($I$36-($I$32+$I$33))</f>
        <v>-16.807811820377374</v>
      </c>
      <c r="J15" s="248"/>
      <c r="K15" s="253">
        <v>12563.482442233153</v>
      </c>
      <c r="L15" s="248"/>
      <c r="M15" s="503">
        <f>K15/$K$36</f>
        <v>1.2862308815992457E-2</v>
      </c>
      <c r="N15" s="248"/>
      <c r="O15" s="253">
        <f>M15*(O$36-SUM($O$26:$O$27))</f>
        <v>0.45200558328672957</v>
      </c>
      <c r="P15" s="248"/>
      <c r="Q15" s="251">
        <f t="shared" si="0"/>
        <v>-16.355806237090643</v>
      </c>
      <c r="R15" s="248"/>
      <c r="S15" s="253">
        <v>929101.10525000002</v>
      </c>
      <c r="T15" s="248"/>
      <c r="U15" s="254">
        <f>ROUND(Q15/S15*100,4)</f>
        <v>-1.8E-3</v>
      </c>
      <c r="AB15" s="18"/>
      <c r="AC15" s="18"/>
      <c r="AD15" s="269"/>
      <c r="AE15" s="18"/>
      <c r="AF15" s="269"/>
      <c r="AG15" s="18"/>
      <c r="AH15" s="269"/>
      <c r="AI15" s="18"/>
      <c r="AJ15" s="269"/>
      <c r="AL15" s="269"/>
      <c r="AP15" s="315"/>
      <c r="AQ15" s="315"/>
      <c r="AR15" s="315"/>
      <c r="AS15" s="315"/>
      <c r="AT15" s="315"/>
      <c r="AU15" s="315"/>
      <c r="AV15" s="315"/>
      <c r="AW15" s="315"/>
    </row>
    <row r="16" spans="1:49">
      <c r="A16" s="249">
        <f>MAX($A$13:A15)+1</f>
        <v>4</v>
      </c>
      <c r="B16" s="248"/>
      <c r="C16" s="501" t="s">
        <v>924</v>
      </c>
      <c r="D16" s="248"/>
      <c r="E16" s="514">
        <v>66.579153630822091</v>
      </c>
      <c r="F16" s="248"/>
      <c r="G16" s="503">
        <f>E16/$E$36</f>
        <v>8.6848367987712376E-4</v>
      </c>
      <c r="H16" s="248"/>
      <c r="I16" s="253">
        <f>G16*($I$36-($I$32+$I$33))</f>
        <v>-0.82929597128507204</v>
      </c>
      <c r="J16" s="248"/>
      <c r="K16" s="253">
        <v>0</v>
      </c>
      <c r="L16" s="248"/>
      <c r="M16" s="503">
        <f>K16/$K$36</f>
        <v>0</v>
      </c>
      <c r="N16" s="248"/>
      <c r="O16" s="253">
        <f>M16*(O$36-SUM($O$26:$O$27))</f>
        <v>0</v>
      </c>
      <c r="P16" s="248"/>
      <c r="Q16" s="251">
        <f t="shared" si="0"/>
        <v>-0.82929597128507204</v>
      </c>
      <c r="R16" s="248"/>
      <c r="S16" s="253">
        <v>126830.75640999997</v>
      </c>
      <c r="T16" s="248"/>
      <c r="U16" s="254">
        <f>ROUND(Q16/S16*100,4)</f>
        <v>-6.9999999999999999E-4</v>
      </c>
      <c r="AB16" s="269"/>
      <c r="AC16" s="18"/>
      <c r="AD16" s="269"/>
      <c r="AE16" s="18"/>
      <c r="AF16" s="269"/>
      <c r="AG16" s="269"/>
      <c r="AH16" s="269"/>
      <c r="AI16" s="18"/>
      <c r="AJ16" s="269"/>
      <c r="AL16" s="269"/>
      <c r="AP16" s="507"/>
      <c r="AQ16" s="315"/>
      <c r="AR16" s="315"/>
      <c r="AS16" s="315"/>
      <c r="AT16" s="315"/>
      <c r="AU16" s="315"/>
      <c r="AV16" s="315"/>
      <c r="AW16" s="508"/>
    </row>
    <row r="17" spans="1:51">
      <c r="A17" s="249">
        <f>MAX($A$13:A16)+1</f>
        <v>5</v>
      </c>
      <c r="B17" s="248"/>
      <c r="C17" s="501" t="s">
        <v>912</v>
      </c>
      <c r="D17" s="248"/>
      <c r="E17" s="514">
        <v>104.78171606204629</v>
      </c>
      <c r="F17" s="248"/>
      <c r="G17" s="503">
        <f>E17/$E$36</f>
        <v>1.3668123637317893E-3</v>
      </c>
      <c r="H17" s="248"/>
      <c r="I17" s="253">
        <f>G17*($I$36-($I$32+$I$33))</f>
        <v>-1.3051390751588676</v>
      </c>
      <c r="J17" s="248"/>
      <c r="K17" s="253">
        <v>878.00550636534024</v>
      </c>
      <c r="L17" s="248"/>
      <c r="M17" s="503">
        <f>K17/$K$36</f>
        <v>8.9888914295370166E-4</v>
      </c>
      <c r="N17" s="248"/>
      <c r="O17" s="253">
        <f>M17*(O$36-SUM($O$26:$O$27))</f>
        <v>3.1588645334476521E-2</v>
      </c>
      <c r="P17" s="248"/>
      <c r="Q17" s="251">
        <f t="shared" si="0"/>
        <v>-1.2735504298243912</v>
      </c>
      <c r="R17" s="248"/>
      <c r="S17" s="253">
        <v>1076377.9679700001</v>
      </c>
      <c r="T17" s="248"/>
      <c r="U17" s="254">
        <f>ROUND(Q17/S17*100,4)</f>
        <v>-1E-4</v>
      </c>
      <c r="AP17" s="509"/>
      <c r="AQ17" s="315"/>
      <c r="AR17" s="315"/>
      <c r="AS17" s="315"/>
      <c r="AT17" s="315"/>
      <c r="AU17" s="315"/>
      <c r="AV17" s="315"/>
      <c r="AW17" s="315"/>
    </row>
    <row r="18" spans="1:51">
      <c r="A18" s="249"/>
      <c r="B18" s="248"/>
      <c r="C18" s="248"/>
      <c r="D18" s="248"/>
      <c r="E18" s="514"/>
      <c r="F18" s="248"/>
      <c r="G18" s="255"/>
      <c r="H18" s="248"/>
      <c r="I18" s="253"/>
      <c r="J18" s="248"/>
      <c r="K18" s="253"/>
      <c r="L18" s="248"/>
      <c r="M18" s="255"/>
      <c r="N18" s="248"/>
      <c r="O18" s="253"/>
      <c r="P18" s="248"/>
      <c r="Q18" s="251"/>
      <c r="R18" s="248"/>
      <c r="S18" s="253"/>
      <c r="T18" s="248"/>
      <c r="U18" s="254"/>
      <c r="AF18" s="430"/>
      <c r="AP18" s="509"/>
      <c r="AQ18" s="315"/>
      <c r="AR18" s="315"/>
      <c r="AS18" s="315"/>
      <c r="AT18" s="315"/>
      <c r="AU18" s="315"/>
      <c r="AV18" s="315"/>
      <c r="AW18" s="315"/>
    </row>
    <row r="19" spans="1:51">
      <c r="A19" s="249">
        <f>MAX($A$13:A18)+1</f>
        <v>6</v>
      </c>
      <c r="B19" s="248"/>
      <c r="C19" s="501" t="s">
        <v>925</v>
      </c>
      <c r="D19" s="248"/>
      <c r="E19" s="514">
        <v>30078.632908403524</v>
      </c>
      <c r="F19" s="248"/>
      <c r="G19" s="503">
        <f t="shared" ref="G19:G24" si="1">E19/$E$36</f>
        <v>0.39235707228741612</v>
      </c>
      <c r="H19" s="248"/>
      <c r="I19" s="253">
        <f t="shared" ref="I19:I24" si="2">G19*($I$36-($I$32+$I$33))</f>
        <v>-374.65314189806764</v>
      </c>
      <c r="J19" s="248"/>
      <c r="K19" s="253">
        <v>496836.70523252152</v>
      </c>
      <c r="L19" s="248"/>
      <c r="M19" s="503">
        <f t="shared" ref="M19:M24" si="3">K19/$K$36</f>
        <v>0.5086541222311769</v>
      </c>
      <c r="N19" s="248"/>
      <c r="O19" s="253">
        <f t="shared" ref="O19:O24" si="4">M19*(O$36-SUM($O$26:$O$27))</f>
        <v>17.875056997888006</v>
      </c>
      <c r="P19" s="248"/>
      <c r="Q19" s="251">
        <f t="shared" si="0"/>
        <v>-356.77808490017964</v>
      </c>
      <c r="R19" s="248"/>
      <c r="S19" s="253">
        <v>3238864.4996673875</v>
      </c>
      <c r="T19" s="248"/>
      <c r="U19" s="254">
        <f t="shared" ref="U19:U24" si="5">ROUND(Q19/S19*100,4)</f>
        <v>-1.0999999999999999E-2</v>
      </c>
      <c r="AP19" s="507"/>
      <c r="AQ19" s="315"/>
      <c r="AR19" s="315"/>
      <c r="AS19" s="315"/>
      <c r="AT19" s="315"/>
      <c r="AU19" s="315"/>
      <c r="AV19" s="315"/>
      <c r="AW19" s="316"/>
    </row>
    <row r="20" spans="1:51">
      <c r="A20" s="249">
        <f>MAX($A$13:A19)+1</f>
        <v>7</v>
      </c>
      <c r="B20" s="248"/>
      <c r="C20" s="501" t="s">
        <v>926</v>
      </c>
      <c r="D20" s="248"/>
      <c r="E20" s="514">
        <v>9673.3710977964638</v>
      </c>
      <c r="F20" s="248"/>
      <c r="G20" s="503">
        <f t="shared" si="1"/>
        <v>0.12618311392805176</v>
      </c>
      <c r="H20" s="248"/>
      <c r="I20" s="253">
        <f t="shared" si="2"/>
        <v>-120.48948120653675</v>
      </c>
      <c r="J20" s="248"/>
      <c r="K20" s="253">
        <v>169398.87511490131</v>
      </c>
      <c r="L20" s="248"/>
      <c r="M20" s="503">
        <f t="shared" si="3"/>
        <v>0.17342808053642722</v>
      </c>
      <c r="N20" s="248"/>
      <c r="O20" s="253">
        <f t="shared" si="4"/>
        <v>6.0945870467437606</v>
      </c>
      <c r="P20" s="248"/>
      <c r="Q20" s="251">
        <f t="shared" si="0"/>
        <v>-114.394894159793</v>
      </c>
      <c r="R20" s="248"/>
      <c r="S20" s="253">
        <v>1343314.2587384542</v>
      </c>
      <c r="T20" s="248"/>
      <c r="U20" s="254">
        <f t="shared" si="5"/>
        <v>-8.5000000000000006E-3</v>
      </c>
      <c r="AF20" s="430"/>
      <c r="AH20" s="317"/>
      <c r="AJ20" s="318"/>
      <c r="AL20" s="430"/>
      <c r="AP20" s="507"/>
      <c r="AQ20" s="315"/>
      <c r="AR20" s="315"/>
      <c r="AS20" s="315"/>
      <c r="AT20" s="315"/>
      <c r="AU20" s="315"/>
      <c r="AV20" s="315"/>
      <c r="AW20" s="319"/>
    </row>
    <row r="21" spans="1:51">
      <c r="A21" s="249">
        <f>MAX($A$13:A20)+1</f>
        <v>8</v>
      </c>
      <c r="B21" s="248"/>
      <c r="C21" s="501" t="s">
        <v>1450</v>
      </c>
      <c r="D21" s="248"/>
      <c r="E21" s="514">
        <v>7003.5165089432876</v>
      </c>
      <c r="F21" s="248"/>
      <c r="G21" s="503">
        <f t="shared" si="1"/>
        <v>9.1356520142837239E-2</v>
      </c>
      <c r="H21" s="248"/>
      <c r="I21" s="253">
        <f t="shared" si="2"/>
        <v>-87.234332504437489</v>
      </c>
      <c r="J21" s="248"/>
      <c r="K21" s="253">
        <v>24775.666207810355</v>
      </c>
      <c r="L21" s="248"/>
      <c r="M21" s="503">
        <f t="shared" si="3"/>
        <v>2.5364963206026634E-2</v>
      </c>
      <c r="N21" s="248"/>
      <c r="O21" s="253">
        <f t="shared" si="4"/>
        <v>0.89137223752016215</v>
      </c>
      <c r="P21" s="248"/>
      <c r="Q21" s="251">
        <f t="shared" si="0"/>
        <v>-86.342960266917331</v>
      </c>
      <c r="R21" s="248"/>
      <c r="S21" s="253">
        <v>592384.97535999969</v>
      </c>
      <c r="T21" s="248"/>
      <c r="U21" s="254">
        <f t="shared" si="5"/>
        <v>-1.46E-2</v>
      </c>
      <c r="AP21" s="507"/>
      <c r="AQ21" s="315"/>
      <c r="AR21" s="315"/>
      <c r="AS21" s="315"/>
      <c r="AT21" s="315"/>
      <c r="AU21" s="315"/>
      <c r="AV21" s="315"/>
      <c r="AW21" s="512"/>
    </row>
    <row r="22" spans="1:51">
      <c r="A22" s="249">
        <f>MAX($A$13:A21)+1</f>
        <v>9</v>
      </c>
      <c r="B22" s="248"/>
      <c r="C22" s="501" t="s">
        <v>1451</v>
      </c>
      <c r="D22" s="248"/>
      <c r="E22" s="514">
        <v>503.79084078258501</v>
      </c>
      <c r="F22" s="248"/>
      <c r="G22" s="503">
        <f t="shared" si="1"/>
        <v>6.5716384097844393E-3</v>
      </c>
      <c r="H22" s="248"/>
      <c r="I22" s="253">
        <f t="shared" si="2"/>
        <v>-6.2751130323456801</v>
      </c>
      <c r="J22" s="248"/>
      <c r="K22" s="253">
        <v>33425.440078214953</v>
      </c>
      <c r="L22" s="248"/>
      <c r="M22" s="503">
        <f t="shared" si="3"/>
        <v>3.4220474663236147E-2</v>
      </c>
      <c r="N22" s="248"/>
      <c r="O22" s="253">
        <f t="shared" si="4"/>
        <v>1.202571469227417</v>
      </c>
      <c r="P22" s="248"/>
      <c r="Q22" s="251">
        <f t="shared" si="0"/>
        <v>-5.0725415631182633</v>
      </c>
      <c r="R22" s="248"/>
      <c r="S22" s="253">
        <v>59730.91068999999</v>
      </c>
      <c r="T22" s="248"/>
      <c r="U22" s="254">
        <f t="shared" si="5"/>
        <v>-8.5000000000000006E-3</v>
      </c>
      <c r="AP22" s="509"/>
      <c r="AQ22" s="315"/>
      <c r="AR22" s="315"/>
      <c r="AS22" s="315"/>
      <c r="AT22" s="315"/>
      <c r="AU22" s="315"/>
      <c r="AV22" s="315"/>
      <c r="AW22" s="315"/>
    </row>
    <row r="23" spans="1:51">
      <c r="A23" s="249">
        <f>MAX($A$13:A22)+1</f>
        <v>10</v>
      </c>
      <c r="B23" s="248"/>
      <c r="C23" s="501" t="s">
        <v>1452</v>
      </c>
      <c r="D23" s="248"/>
      <c r="E23" s="514">
        <v>9085.1758354969279</v>
      </c>
      <c r="F23" s="248"/>
      <c r="G23" s="503">
        <f t="shared" si="1"/>
        <v>0.11851047229729808</v>
      </c>
      <c r="H23" s="248"/>
      <c r="I23" s="253">
        <f t="shared" si="2"/>
        <v>-113.16304440533123</v>
      </c>
      <c r="J23" s="248"/>
      <c r="K23" s="253">
        <v>9125.9038428513322</v>
      </c>
      <c r="L23" s="248"/>
      <c r="M23" s="503">
        <f t="shared" si="3"/>
        <v>9.3429663305154322E-3</v>
      </c>
      <c r="N23" s="248"/>
      <c r="O23" s="253">
        <f t="shared" si="4"/>
        <v>0.32832930745700267</v>
      </c>
      <c r="P23" s="248"/>
      <c r="Q23" s="251">
        <f t="shared" si="0"/>
        <v>-112.83471509787424</v>
      </c>
      <c r="R23" s="248"/>
      <c r="S23" s="253">
        <v>789736.67052000004</v>
      </c>
      <c r="T23" s="248"/>
      <c r="U23" s="254">
        <f t="shared" si="5"/>
        <v>-1.43E-2</v>
      </c>
      <c r="AP23" s="507"/>
      <c r="AQ23" s="315"/>
      <c r="AR23" s="315"/>
      <c r="AS23" s="315"/>
      <c r="AT23" s="315"/>
      <c r="AU23" s="315"/>
      <c r="AV23" s="315"/>
      <c r="AW23" s="513"/>
    </row>
    <row r="24" spans="1:51">
      <c r="A24" s="249">
        <f>MAX($A$13:A23)+1</f>
        <v>11</v>
      </c>
      <c r="B24" s="248"/>
      <c r="C24" s="501" t="s">
        <v>933</v>
      </c>
      <c r="D24" s="248"/>
      <c r="E24" s="514">
        <v>696.36640107447943</v>
      </c>
      <c r="F24" s="248"/>
      <c r="G24" s="503">
        <f t="shared" si="1"/>
        <v>9.0836669072340889E-3</v>
      </c>
      <c r="H24" s="248"/>
      <c r="I24" s="253">
        <f t="shared" si="2"/>
        <v>-8.6737938146754399</v>
      </c>
      <c r="J24" s="248"/>
      <c r="K24" s="253">
        <v>4186.4876015481168</v>
      </c>
      <c r="L24" s="248"/>
      <c r="M24" s="503">
        <f t="shared" si="3"/>
        <v>4.2860645233539262E-3</v>
      </c>
      <c r="N24" s="248"/>
      <c r="O24" s="253">
        <f t="shared" si="4"/>
        <v>0.15062032194984784</v>
      </c>
      <c r="P24" s="248"/>
      <c r="Q24" s="251">
        <f t="shared" si="0"/>
        <v>-8.5231734927255918</v>
      </c>
      <c r="R24" s="248"/>
      <c r="S24" s="253">
        <v>90073.425800000012</v>
      </c>
      <c r="T24" s="248"/>
      <c r="U24" s="254">
        <f t="shared" si="5"/>
        <v>-9.4999999999999998E-3</v>
      </c>
      <c r="AP24" s="507"/>
      <c r="AQ24" s="315"/>
      <c r="AR24" s="315"/>
      <c r="AS24" s="315"/>
      <c r="AT24" s="315"/>
      <c r="AU24" s="315"/>
      <c r="AV24" s="315"/>
      <c r="AW24" s="320"/>
    </row>
    <row r="25" spans="1:51">
      <c r="A25" s="249"/>
      <c r="B25" s="248"/>
      <c r="C25" s="248"/>
      <c r="D25" s="248"/>
      <c r="E25" s="514"/>
      <c r="F25" s="248"/>
      <c r="G25" s="255"/>
      <c r="H25" s="248"/>
      <c r="I25" s="253"/>
      <c r="J25" s="248"/>
      <c r="K25" s="253"/>
      <c r="L25" s="248"/>
      <c r="M25" s="255"/>
      <c r="N25" s="248"/>
      <c r="O25" s="253"/>
      <c r="P25" s="248"/>
      <c r="Q25" s="251"/>
      <c r="R25" s="248"/>
      <c r="S25" s="432" t="s">
        <v>1453</v>
      </c>
      <c r="T25" s="249"/>
      <c r="U25" s="432" t="s">
        <v>397</v>
      </c>
      <c r="Z25" s="18"/>
      <c r="AH25" s="430"/>
      <c r="AP25" s="507"/>
      <c r="AQ25" s="315"/>
      <c r="AR25" s="315"/>
      <c r="AS25" s="315"/>
      <c r="AT25" s="315"/>
      <c r="AU25" s="315"/>
      <c r="AV25" s="315"/>
      <c r="AW25" s="512"/>
    </row>
    <row r="26" spans="1:51">
      <c r="A26" s="249">
        <f>MAX($A$13:A25)+1</f>
        <v>12</v>
      </c>
      <c r="B26" s="248"/>
      <c r="C26" s="501" t="s">
        <v>1454</v>
      </c>
      <c r="D26" s="248"/>
      <c r="E26" s="514">
        <v>0</v>
      </c>
      <c r="F26" s="248"/>
      <c r="G26" s="503">
        <f>E26/$E$36</f>
        <v>0</v>
      </c>
      <c r="H26" s="248"/>
      <c r="I26" s="253">
        <f>G26*I$36</f>
        <v>0</v>
      </c>
      <c r="J26" s="248"/>
      <c r="K26" s="253">
        <v>0</v>
      </c>
      <c r="L26" s="248"/>
      <c r="M26" s="503">
        <f>K26/$K$36</f>
        <v>0</v>
      </c>
      <c r="N26" s="248"/>
      <c r="O26" s="253">
        <f>Q26</f>
        <v>0.67417199999977129</v>
      </c>
      <c r="P26" s="248"/>
      <c r="Q26" s="251">
        <v>0.67417199999977129</v>
      </c>
      <c r="R26" s="265" t="s">
        <v>87</v>
      </c>
      <c r="S26" s="253">
        <v>674172</v>
      </c>
      <c r="T26" s="248"/>
      <c r="U26" s="426">
        <f>ROUND(Q26/S26*1000,3)</f>
        <v>1E-3</v>
      </c>
      <c r="AP26" s="509"/>
      <c r="AQ26" s="315"/>
      <c r="AR26" s="315"/>
      <c r="AS26" s="315"/>
      <c r="AT26" s="315"/>
      <c r="AU26" s="315"/>
      <c r="AV26" s="315"/>
      <c r="AW26" s="315"/>
    </row>
    <row r="27" spans="1:51">
      <c r="A27" s="249">
        <f>MAX($A$13:A26)+1</f>
        <v>13</v>
      </c>
      <c r="B27" s="248"/>
      <c r="C27" s="501" t="s">
        <v>970</v>
      </c>
      <c r="D27" s="248"/>
      <c r="E27" s="514">
        <v>0</v>
      </c>
      <c r="F27" s="248"/>
      <c r="G27" s="503">
        <f>E27/$E$36</f>
        <v>0</v>
      </c>
      <c r="H27" s="248"/>
      <c r="I27" s="253">
        <f>G27*I$36</f>
        <v>0</v>
      </c>
      <c r="J27" s="248"/>
      <c r="K27" s="253">
        <v>0</v>
      </c>
      <c r="L27" s="248"/>
      <c r="M27" s="503">
        <f>K27/$K$36</f>
        <v>0</v>
      </c>
      <c r="N27" s="248"/>
      <c r="O27" s="253">
        <f>Q27</f>
        <v>2.3980620000002091</v>
      </c>
      <c r="P27" s="248"/>
      <c r="Q27" s="251">
        <v>2.3980620000002091</v>
      </c>
      <c r="R27" s="265" t="s">
        <v>87</v>
      </c>
      <c r="S27" s="253">
        <v>2398062</v>
      </c>
      <c r="T27" s="248"/>
      <c r="U27" s="426">
        <f>ROUND(Q27/S27*1000,3)</f>
        <v>1E-3</v>
      </c>
      <c r="AL27" s="269"/>
      <c r="AP27" s="507"/>
      <c r="AQ27" s="315"/>
      <c r="AR27" s="315"/>
      <c r="AS27" s="315"/>
      <c r="AT27" s="315"/>
      <c r="AU27" s="315"/>
      <c r="AV27" s="315"/>
      <c r="AW27" s="316"/>
    </row>
    <row r="28" spans="1:51" s="384" customFormat="1" ht="14.25" customHeight="1">
      <c r="A28" s="249">
        <f>MAX($A$13:A27)+1</f>
        <v>14</v>
      </c>
      <c r="B28" s="248"/>
      <c r="C28" s="501" t="s">
        <v>936</v>
      </c>
      <c r="D28" s="248"/>
      <c r="E28" s="514">
        <v>0</v>
      </c>
      <c r="F28" s="248"/>
      <c r="G28" s="503">
        <f>E28/$E$36</f>
        <v>0</v>
      </c>
      <c r="H28" s="248"/>
      <c r="I28" s="253">
        <f>G28*I$36</f>
        <v>0</v>
      </c>
      <c r="J28" s="248"/>
      <c r="K28" s="253">
        <v>0</v>
      </c>
      <c r="L28" s="248"/>
      <c r="M28" s="503">
        <f>K28/$K$36</f>
        <v>0</v>
      </c>
      <c r="N28" s="248"/>
      <c r="O28" s="253">
        <f>M28*O$36</f>
        <v>0</v>
      </c>
      <c r="P28" s="248"/>
      <c r="Q28" s="251"/>
      <c r="R28" s="265"/>
      <c r="S28" s="253"/>
      <c r="T28" s="248"/>
      <c r="U28" s="426"/>
      <c r="V28" s="252"/>
      <c r="W28" s="252"/>
      <c r="X28" s="252"/>
      <c r="Y28" s="252"/>
      <c r="Z28" s="252"/>
      <c r="AA28" s="252"/>
      <c r="AB28" s="18"/>
      <c r="AC28" s="18"/>
      <c r="AD28" s="269"/>
      <c r="AE28" s="18"/>
      <c r="AF28" s="18"/>
      <c r="AG28" s="18"/>
      <c r="AH28" s="18"/>
      <c r="AI28" s="18"/>
      <c r="AJ28" s="269"/>
      <c r="AK28" s="252"/>
      <c r="AL28" s="269"/>
      <c r="AM28" s="252"/>
      <c r="AN28" s="252"/>
      <c r="AO28" s="252"/>
      <c r="AP28" s="509"/>
      <c r="AQ28" s="315"/>
      <c r="AR28" s="315"/>
      <c r="AS28" s="315"/>
      <c r="AT28" s="315"/>
      <c r="AU28" s="315"/>
      <c r="AV28" s="315"/>
      <c r="AW28" s="315"/>
      <c r="AX28" s="252"/>
      <c r="AY28" s="252"/>
    </row>
    <row r="29" spans="1:51">
      <c r="A29" s="249"/>
      <c r="B29" s="248"/>
      <c r="C29" s="248"/>
      <c r="D29" s="248"/>
      <c r="E29" s="514"/>
      <c r="F29" s="248"/>
      <c r="G29" s="515"/>
      <c r="H29" s="248"/>
      <c r="I29" s="253"/>
      <c r="J29" s="248"/>
      <c r="K29" s="253"/>
      <c r="L29" s="248"/>
      <c r="M29" s="255"/>
      <c r="N29" s="248"/>
      <c r="O29" s="253"/>
      <c r="P29" s="248"/>
      <c r="Q29" s="251"/>
      <c r="R29" s="265"/>
      <c r="S29" s="253"/>
      <c r="T29" s="253"/>
      <c r="U29" s="426"/>
      <c r="AB29" s="18"/>
      <c r="AC29" s="18"/>
      <c r="AD29" s="269"/>
      <c r="AE29" s="18"/>
      <c r="AF29" s="269"/>
      <c r="AG29" s="18"/>
      <c r="AH29" s="269"/>
      <c r="AI29" s="18"/>
      <c r="AJ29" s="269"/>
      <c r="AL29" s="269"/>
      <c r="AP29" s="507"/>
      <c r="AQ29" s="315"/>
      <c r="AR29" s="315"/>
      <c r="AS29" s="315"/>
      <c r="AT29" s="315"/>
      <c r="AU29" s="315"/>
      <c r="AV29" s="315"/>
      <c r="AW29" s="321"/>
    </row>
    <row r="30" spans="1:51">
      <c r="A30" s="249">
        <f>MAX($A$13:A29)+1</f>
        <v>15</v>
      </c>
      <c r="B30" s="248"/>
      <c r="C30" s="501" t="s">
        <v>1455</v>
      </c>
      <c r="D30" s="248"/>
      <c r="E30" s="514">
        <v>0</v>
      </c>
      <c r="F30" s="248"/>
      <c r="G30" s="503">
        <f>E30/$E$36</f>
        <v>0</v>
      </c>
      <c r="H30" s="248"/>
      <c r="I30" s="253">
        <f>G30*I$36</f>
        <v>0</v>
      </c>
      <c r="J30" s="248"/>
      <c r="K30" s="253">
        <v>0</v>
      </c>
      <c r="L30" s="248"/>
      <c r="M30" s="503">
        <f>K30/$K$36</f>
        <v>0</v>
      </c>
      <c r="N30" s="248"/>
      <c r="O30" s="253">
        <f>M30*O$36</f>
        <v>0</v>
      </c>
      <c r="P30" s="248"/>
      <c r="Q30" s="251"/>
      <c r="R30" s="265"/>
      <c r="S30" s="253"/>
      <c r="T30" s="248"/>
      <c r="U30" s="426"/>
      <c r="AB30" s="269"/>
      <c r="AC30" s="18"/>
      <c r="AD30" s="269"/>
      <c r="AE30" s="18"/>
      <c r="AF30" s="269"/>
      <c r="AG30" s="269"/>
      <c r="AH30" s="269"/>
      <c r="AI30" s="18"/>
      <c r="AJ30" s="269"/>
      <c r="AL30" s="269"/>
      <c r="AP30" s="509"/>
      <c r="AQ30" s="315"/>
      <c r="AR30" s="315"/>
      <c r="AS30" s="315"/>
      <c r="AT30" s="315"/>
      <c r="AU30" s="315"/>
      <c r="AV30" s="315"/>
      <c r="AW30" s="315"/>
    </row>
    <row r="31" spans="1:51">
      <c r="A31" s="249">
        <f>MAX($A$13:A30)+1</f>
        <v>16</v>
      </c>
      <c r="B31" s="248"/>
      <c r="C31" s="501" t="s">
        <v>942</v>
      </c>
      <c r="D31" s="248"/>
      <c r="E31" s="514">
        <v>0</v>
      </c>
      <c r="F31" s="248"/>
      <c r="G31" s="503">
        <f>E31/$E$36</f>
        <v>0</v>
      </c>
      <c r="H31" s="248"/>
      <c r="I31" s="253">
        <f>G31*I$36</f>
        <v>0</v>
      </c>
      <c r="J31" s="248"/>
      <c r="K31" s="253">
        <v>0</v>
      </c>
      <c r="L31" s="248"/>
      <c r="M31" s="503">
        <f>K31/$K$36</f>
        <v>0</v>
      </c>
      <c r="N31" s="248"/>
      <c r="O31" s="253">
        <f>M31*O$36</f>
        <v>0</v>
      </c>
      <c r="P31" s="248"/>
      <c r="Q31" s="251">
        <f t="shared" si="0"/>
        <v>0</v>
      </c>
      <c r="R31" s="265"/>
      <c r="S31" s="253"/>
      <c r="T31" s="248"/>
      <c r="U31" s="426"/>
      <c r="AP31" s="507"/>
      <c r="AQ31" s="315"/>
      <c r="AR31" s="315"/>
      <c r="AS31" s="315"/>
      <c r="AT31" s="315"/>
      <c r="AU31" s="315"/>
      <c r="AV31" s="315"/>
      <c r="AW31" s="321"/>
    </row>
    <row r="32" spans="1:51">
      <c r="A32" s="249">
        <f>MAX($A$13:A31)+1</f>
        <v>17</v>
      </c>
      <c r="B32" s="248"/>
      <c r="C32" s="501" t="s">
        <v>943</v>
      </c>
      <c r="D32" s="248"/>
      <c r="E32" s="514">
        <v>0</v>
      </c>
      <c r="F32" s="248"/>
      <c r="G32" s="503">
        <f>E32/$E$36</f>
        <v>0</v>
      </c>
      <c r="H32" s="248"/>
      <c r="I32" s="253">
        <v>-1.52854009295044E-3</v>
      </c>
      <c r="J32" s="248"/>
      <c r="K32" s="253">
        <v>0</v>
      </c>
      <c r="L32" s="248"/>
      <c r="M32" s="503">
        <f>K32/$K$36</f>
        <v>0</v>
      </c>
      <c r="N32" s="248"/>
      <c r="O32" s="253">
        <f>M32*O$36</f>
        <v>0</v>
      </c>
      <c r="P32" s="248"/>
      <c r="Q32" s="251">
        <f>O32+I32</f>
        <v>-1.52854009295044E-3</v>
      </c>
      <c r="R32" s="265" t="s">
        <v>87</v>
      </c>
      <c r="S32" s="253">
        <v>4791112.166666666</v>
      </c>
      <c r="T32" s="248"/>
      <c r="U32" s="426">
        <f>Q32/S32*1000</f>
        <v>-3.1903659104142732E-7</v>
      </c>
      <c r="AF32" s="430"/>
    </row>
    <row r="33" spans="1:38">
      <c r="A33" s="249">
        <f>MAX($A$13:A32)+1</f>
        <v>18</v>
      </c>
      <c r="B33" s="248"/>
      <c r="C33" s="501" t="s">
        <v>944</v>
      </c>
      <c r="D33" s="248"/>
      <c r="E33" s="514">
        <v>0</v>
      </c>
      <c r="F33" s="248"/>
      <c r="G33" s="503">
        <f>E33/$E$36</f>
        <v>0</v>
      </c>
      <c r="H33" s="248"/>
      <c r="I33" s="253">
        <f>$U$51</f>
        <v>1.9617053743384736</v>
      </c>
      <c r="J33" s="248"/>
      <c r="K33" s="253">
        <v>0</v>
      </c>
      <c r="L33" s="248"/>
      <c r="M33" s="503">
        <f>K33/$K$36</f>
        <v>0</v>
      </c>
      <c r="N33" s="248"/>
      <c r="O33" s="253">
        <f>M33*O$36</f>
        <v>0</v>
      </c>
      <c r="P33" s="248"/>
      <c r="Q33" s="251">
        <f>O33+I33</f>
        <v>1.9617053743384736</v>
      </c>
      <c r="R33" s="259" t="s">
        <v>1456</v>
      </c>
      <c r="S33" s="259"/>
      <c r="T33" s="260"/>
      <c r="U33" s="426"/>
    </row>
    <row r="34" spans="1:38">
      <c r="A34" s="249">
        <f>MAX($A$13:A33)+1</f>
        <v>19</v>
      </c>
      <c r="B34" s="248"/>
      <c r="C34" s="501" t="s">
        <v>945</v>
      </c>
      <c r="D34" s="248"/>
      <c r="E34" s="514">
        <v>0</v>
      </c>
      <c r="F34" s="248"/>
      <c r="G34" s="503">
        <f>E34/$E$36</f>
        <v>0</v>
      </c>
      <c r="H34" s="248"/>
      <c r="I34" s="253">
        <f>G34*I$36</f>
        <v>0</v>
      </c>
      <c r="J34" s="248"/>
      <c r="K34" s="253">
        <v>0</v>
      </c>
      <c r="L34" s="248"/>
      <c r="M34" s="503">
        <f>K34/$K$36</f>
        <v>0</v>
      </c>
      <c r="N34" s="248"/>
      <c r="O34" s="253">
        <f>M34*O$36</f>
        <v>0</v>
      </c>
      <c r="P34" s="248"/>
      <c r="Q34" s="251">
        <f>O34+I34</f>
        <v>0</v>
      </c>
      <c r="R34" s="265"/>
      <c r="S34" s="248"/>
      <c r="T34" s="248"/>
      <c r="U34" s="254"/>
      <c r="AF34" s="430"/>
      <c r="AH34" s="317"/>
      <c r="AJ34" s="318"/>
      <c r="AL34" s="430"/>
    </row>
    <row r="35" spans="1:38" ht="12.95">
      <c r="A35" s="249"/>
      <c r="B35" s="248"/>
      <c r="C35" s="248"/>
      <c r="D35" s="248"/>
      <c r="E35" s="516"/>
      <c r="F35" s="248"/>
      <c r="G35" s="255"/>
      <c r="H35" s="248"/>
      <c r="I35" s="253"/>
      <c r="J35" s="248"/>
      <c r="K35" s="517"/>
      <c r="L35" s="248"/>
      <c r="M35" s="255"/>
      <c r="N35" s="248"/>
      <c r="O35" s="253"/>
      <c r="P35" s="248"/>
      <c r="Q35" s="251"/>
      <c r="R35" s="248"/>
      <c r="S35" s="248"/>
      <c r="T35" s="248"/>
      <c r="U35" s="248"/>
    </row>
    <row r="36" spans="1:38" ht="12.95" thickBot="1">
      <c r="A36" s="249">
        <f>MAX($A$13:A35)+1</f>
        <v>20</v>
      </c>
      <c r="B36" s="248"/>
      <c r="C36" s="248" t="s">
        <v>8</v>
      </c>
      <c r="D36" s="248"/>
      <c r="E36" s="266">
        <f>SUM(E13:E34)</f>
        <v>76661.375652150367</v>
      </c>
      <c r="F36" s="248"/>
      <c r="G36" s="256">
        <f>SUM(G13:G34)</f>
        <v>1</v>
      </c>
      <c r="H36" s="248"/>
      <c r="I36" s="257">
        <f>'Sch. 28 p.1'!K34</f>
        <v>-952.91783699602456</v>
      </c>
      <c r="J36" s="259"/>
      <c r="K36" s="258">
        <f>SUM(K13:K34)</f>
        <v>976767.28353872546</v>
      </c>
      <c r="L36" s="248"/>
      <c r="M36" s="256">
        <f>SUM(M13:M34)</f>
        <v>1</v>
      </c>
      <c r="N36" s="248"/>
      <c r="O36" s="257">
        <f>'Sch. 28 p.1'!K40</f>
        <v>38.214103920330672</v>
      </c>
      <c r="P36" s="259"/>
      <c r="Q36" s="257">
        <f>SUM(Q13:Q34)</f>
        <v>-914.70373307569389</v>
      </c>
      <c r="R36" s="248"/>
      <c r="S36" s="248"/>
      <c r="T36" s="248"/>
      <c r="U36" s="248"/>
    </row>
    <row r="37" spans="1:38" ht="12.95" thickTop="1">
      <c r="A37" s="248"/>
      <c r="B37" s="248"/>
      <c r="C37" s="248"/>
      <c r="D37" s="248"/>
      <c r="E37" s="248"/>
      <c r="F37" s="248"/>
      <c r="G37" s="248"/>
      <c r="H37" s="248"/>
      <c r="I37" s="248"/>
      <c r="J37" s="248"/>
      <c r="K37" s="248"/>
      <c r="L37" s="248"/>
      <c r="M37" s="248"/>
      <c r="N37" s="248"/>
      <c r="O37" s="248"/>
      <c r="P37" s="248"/>
      <c r="Q37" s="248"/>
      <c r="R37" s="248"/>
      <c r="S37" s="248"/>
      <c r="T37" s="248"/>
      <c r="U37" s="248"/>
    </row>
    <row r="38" spans="1:38">
      <c r="A38" s="248"/>
      <c r="B38" s="248"/>
      <c r="C38" s="248"/>
      <c r="D38" s="248"/>
      <c r="E38" s="248"/>
      <c r="F38" s="248"/>
      <c r="G38" s="248"/>
      <c r="H38" s="248"/>
      <c r="I38" s="248"/>
      <c r="J38" s="248"/>
      <c r="K38" s="248"/>
      <c r="L38" s="248"/>
      <c r="M38" s="248"/>
      <c r="N38" s="248"/>
      <c r="O38" s="248"/>
      <c r="P38" s="248"/>
      <c r="Q38" s="248"/>
      <c r="R38" s="248"/>
      <c r="S38" s="260"/>
      <c r="T38" s="248"/>
      <c r="U38" s="248"/>
    </row>
    <row r="39" spans="1:38">
      <c r="A39" s="197" t="s">
        <v>80</v>
      </c>
      <c r="B39" s="248"/>
      <c r="C39" s="248"/>
      <c r="D39" s="248"/>
      <c r="E39" s="248"/>
      <c r="F39" s="248"/>
      <c r="G39" s="248"/>
      <c r="H39" s="248"/>
      <c r="I39" s="248"/>
      <c r="J39" s="248"/>
      <c r="K39" s="248"/>
      <c r="L39" s="248"/>
      <c r="M39" s="248"/>
      <c r="N39" s="248"/>
      <c r="O39" s="248"/>
      <c r="P39" s="248"/>
      <c r="Q39" s="248"/>
      <c r="R39" s="248"/>
      <c r="S39" s="248"/>
      <c r="T39" s="248"/>
      <c r="U39" s="248"/>
      <c r="Y39" s="430"/>
      <c r="AH39" s="310"/>
    </row>
    <row r="40" spans="1:38">
      <c r="A40" s="518" t="s">
        <v>40</v>
      </c>
      <c r="C40" s="262" t="s">
        <v>1457</v>
      </c>
      <c r="D40" s="253"/>
      <c r="E40" s="251"/>
      <c r="F40" s="251"/>
      <c r="G40" s="251"/>
      <c r="H40" s="251"/>
      <c r="I40" s="251"/>
      <c r="J40" s="251"/>
      <c r="K40" s="248"/>
      <c r="L40" s="248"/>
      <c r="M40" s="265" t="s">
        <v>89</v>
      </c>
      <c r="N40" s="262" t="s">
        <v>1458</v>
      </c>
      <c r="O40" s="248"/>
      <c r="P40" s="248"/>
      <c r="Q40" s="251"/>
      <c r="R40" s="248"/>
      <c r="S40" s="248"/>
      <c r="T40" s="248"/>
      <c r="U40" s="248"/>
    </row>
    <row r="41" spans="1:38">
      <c r="A41" s="518" t="s">
        <v>20</v>
      </c>
      <c r="C41" s="262" t="s">
        <v>1459</v>
      </c>
      <c r="D41" s="253"/>
      <c r="E41" s="251"/>
      <c r="F41" s="251"/>
      <c r="G41" s="519"/>
      <c r="H41" s="251"/>
      <c r="I41" s="519"/>
      <c r="J41" s="248"/>
      <c r="K41" s="248"/>
      <c r="L41" s="248"/>
      <c r="M41" s="307"/>
      <c r="N41" s="262"/>
      <c r="O41" s="248"/>
      <c r="P41" s="248"/>
      <c r="Q41" s="251"/>
      <c r="R41" s="248"/>
      <c r="S41" s="248"/>
      <c r="T41" s="248"/>
      <c r="U41" s="248"/>
      <c r="AD41" s="510"/>
      <c r="AH41" s="310"/>
    </row>
    <row r="42" spans="1:38">
      <c r="A42" s="202" t="s">
        <v>21</v>
      </c>
      <c r="C42" s="262" t="s">
        <v>1460</v>
      </c>
      <c r="D42" s="253"/>
      <c r="E42" s="251"/>
      <c r="F42" s="251"/>
      <c r="G42" s="251"/>
      <c r="H42" s="251"/>
      <c r="I42" s="501"/>
      <c r="J42" s="248"/>
      <c r="K42" s="248"/>
      <c r="L42" s="262"/>
      <c r="M42" s="520"/>
      <c r="N42" s="520" t="s">
        <v>1461</v>
      </c>
      <c r="O42" s="248"/>
      <c r="P42" s="248"/>
      <c r="Q42" s="251"/>
      <c r="R42" s="248"/>
      <c r="S42" s="248"/>
      <c r="T42" s="248"/>
      <c r="U42" s="248"/>
      <c r="AD42" s="310"/>
      <c r="AH42" s="310"/>
    </row>
    <row r="43" spans="1:38">
      <c r="A43" s="202" t="s">
        <v>28</v>
      </c>
      <c r="C43" s="262" t="s">
        <v>1462</v>
      </c>
      <c r="D43" s="253"/>
      <c r="E43" s="251"/>
      <c r="F43" s="251"/>
      <c r="G43" s="251"/>
      <c r="H43" s="251"/>
      <c r="I43" s="501"/>
      <c r="J43" s="248"/>
      <c r="K43" s="248"/>
      <c r="L43" s="262"/>
      <c r="M43" s="521"/>
      <c r="N43" s="501"/>
      <c r="O43" s="248"/>
      <c r="P43" s="248"/>
      <c r="Q43" s="522" t="s">
        <v>1342</v>
      </c>
      <c r="R43" s="501"/>
      <c r="S43" s="522" t="s">
        <v>1145</v>
      </c>
      <c r="T43" s="501"/>
      <c r="U43" s="523" t="s">
        <v>1463</v>
      </c>
      <c r="AA43" s="308"/>
      <c r="AB43" s="314"/>
      <c r="AD43" s="322"/>
      <c r="AF43" s="323"/>
      <c r="AH43" s="324"/>
    </row>
    <row r="44" spans="1:38">
      <c r="A44" s="202" t="s">
        <v>85</v>
      </c>
      <c r="C44" s="262" t="s">
        <v>1464</v>
      </c>
      <c r="D44" s="253"/>
      <c r="E44" s="251"/>
      <c r="F44" s="251"/>
      <c r="G44" s="519"/>
      <c r="H44" s="251"/>
      <c r="I44" s="501"/>
      <c r="J44" s="248"/>
      <c r="K44" s="248"/>
      <c r="L44" s="262"/>
      <c r="M44" s="520"/>
      <c r="N44" s="501"/>
      <c r="O44" s="248"/>
      <c r="P44" s="248"/>
      <c r="Q44" s="524" t="s">
        <v>1465</v>
      </c>
      <c r="R44" s="501"/>
      <c r="S44" s="524" t="s">
        <v>397</v>
      </c>
      <c r="T44" s="501"/>
      <c r="U44" s="415" t="s">
        <v>248</v>
      </c>
      <c r="AD44" s="322"/>
      <c r="AF44" s="323"/>
      <c r="AH44" s="324"/>
    </row>
    <row r="45" spans="1:38" ht="14.25" customHeight="1">
      <c r="A45" s="202" t="s">
        <v>87</v>
      </c>
      <c r="C45" s="1205" t="s">
        <v>1466</v>
      </c>
      <c r="D45" s="1205"/>
      <c r="E45" s="1205"/>
      <c r="F45" s="1205"/>
      <c r="G45" s="1205"/>
      <c r="H45" s="1205"/>
      <c r="I45" s="1205"/>
      <c r="J45" s="1205"/>
      <c r="K45" s="1205"/>
      <c r="L45" s="525"/>
      <c r="M45" s="520" t="s">
        <v>1467</v>
      </c>
      <c r="N45" s="501"/>
      <c r="O45" s="248"/>
      <c r="P45" s="248"/>
      <c r="Q45" s="522"/>
      <c r="R45" s="501"/>
      <c r="S45" s="522"/>
      <c r="T45" s="501"/>
      <c r="U45" s="416"/>
    </row>
    <row r="46" spans="1:38">
      <c r="A46" s="265"/>
      <c r="C46" s="1205"/>
      <c r="D46" s="1205"/>
      <c r="E46" s="1205"/>
      <c r="F46" s="1205"/>
      <c r="G46" s="1205"/>
      <c r="H46" s="1205"/>
      <c r="I46" s="1205"/>
      <c r="J46" s="1205"/>
      <c r="K46" s="1205"/>
      <c r="L46" s="262"/>
      <c r="M46" s="526" t="s">
        <v>1115</v>
      </c>
      <c r="N46" s="501"/>
      <c r="O46" s="248"/>
      <c r="P46" s="248"/>
      <c r="Q46" s="253">
        <v>655235.89655172406</v>
      </c>
      <c r="R46" s="501"/>
      <c r="S46" s="527">
        <v>1.52854009295044E-3</v>
      </c>
      <c r="T46" s="501"/>
      <c r="U46" s="523">
        <f>Q46*S46/1000</f>
        <v>1.0015543382196372</v>
      </c>
    </row>
    <row r="47" spans="1:38">
      <c r="A47" s="259"/>
      <c r="C47" s="1205"/>
      <c r="D47" s="1205"/>
      <c r="E47" s="1205"/>
      <c r="F47" s="1205"/>
      <c r="G47" s="1205"/>
      <c r="H47" s="1205"/>
      <c r="I47" s="1205"/>
      <c r="J47" s="1205"/>
      <c r="K47" s="1205"/>
      <c r="L47" s="262"/>
      <c r="M47" s="526" t="s">
        <v>1116</v>
      </c>
      <c r="N47" s="501"/>
      <c r="O47" s="248"/>
      <c r="P47" s="248"/>
      <c r="Q47" s="253">
        <v>642043</v>
      </c>
      <c r="R47" s="501"/>
      <c r="S47" s="527">
        <v>1.4954621981998657E-3</v>
      </c>
      <c r="T47" s="501"/>
      <c r="U47" s="523">
        <f>Q47*S47/1000</f>
        <v>0.96015103611883634</v>
      </c>
    </row>
    <row r="48" spans="1:38" ht="12.6" customHeight="1">
      <c r="A48" s="248"/>
      <c r="C48" s="1205"/>
      <c r="D48" s="1205"/>
      <c r="E48" s="1205"/>
      <c r="F48" s="1205"/>
      <c r="G48" s="1205"/>
      <c r="H48" s="1205"/>
      <c r="I48" s="1205"/>
      <c r="J48" s="1205"/>
      <c r="K48" s="1205"/>
      <c r="L48" s="262"/>
      <c r="M48" s="520" t="s">
        <v>1468</v>
      </c>
      <c r="N48" s="501"/>
      <c r="O48" s="248"/>
      <c r="P48" s="248"/>
      <c r="Q48" s="528"/>
      <c r="R48" s="501"/>
      <c r="S48" s="527"/>
      <c r="T48" s="501"/>
      <c r="U48" s="523"/>
      <c r="AH48" s="310"/>
    </row>
    <row r="49" spans="1:34">
      <c r="A49" s="265"/>
      <c r="C49" s="1205"/>
      <c r="D49" s="1205"/>
      <c r="E49" s="1205"/>
      <c r="F49" s="1205"/>
      <c r="G49" s="1205"/>
      <c r="H49" s="1205"/>
      <c r="I49" s="1205"/>
      <c r="J49" s="1205"/>
      <c r="K49" s="1205"/>
      <c r="L49" s="262"/>
      <c r="M49" s="526" t="s">
        <v>1115</v>
      </c>
      <c r="N49" s="501"/>
      <c r="O49" s="248"/>
      <c r="P49" s="248"/>
      <c r="Q49" s="528">
        <v>0</v>
      </c>
      <c r="R49" s="501"/>
      <c r="S49" s="501"/>
      <c r="T49" s="501"/>
      <c r="U49" s="523">
        <f>Q49*S50/1000</f>
        <v>0</v>
      </c>
    </row>
    <row r="50" spans="1:34">
      <c r="A50" s="265"/>
      <c r="C50" s="1043"/>
      <c r="D50" s="1043"/>
      <c r="E50" s="1043"/>
      <c r="F50" s="1043"/>
      <c r="G50" s="1043"/>
      <c r="H50" s="1043"/>
      <c r="I50" s="1043"/>
      <c r="J50" s="1043"/>
      <c r="K50" s="248"/>
      <c r="L50" s="262"/>
      <c r="M50" s="526" t="s">
        <v>1116</v>
      </c>
      <c r="N50" s="501"/>
      <c r="O50" s="248"/>
      <c r="P50" s="248"/>
      <c r="Q50" s="528">
        <v>0</v>
      </c>
      <c r="R50" s="501"/>
      <c r="S50" s="527"/>
      <c r="T50" s="501"/>
      <c r="U50" s="523">
        <f>Q50*S51/1000</f>
        <v>0</v>
      </c>
      <c r="AD50" s="510"/>
      <c r="AH50" s="310"/>
    </row>
    <row r="51" spans="1:34" ht="12.95" thickBot="1">
      <c r="A51" s="249"/>
      <c r="B51" s="248"/>
      <c r="C51" s="1043"/>
      <c r="D51" s="1043"/>
      <c r="E51" s="1043"/>
      <c r="F51" s="1043"/>
      <c r="G51" s="1043"/>
      <c r="H51" s="1043"/>
      <c r="I51" s="1043"/>
      <c r="J51" s="1043"/>
      <c r="K51" s="248"/>
      <c r="L51" s="248"/>
      <c r="M51" s="520" t="s">
        <v>1469</v>
      </c>
      <c r="N51" s="501"/>
      <c r="O51" s="248"/>
      <c r="P51" s="248"/>
      <c r="Q51" s="501"/>
      <c r="R51" s="501"/>
      <c r="S51" s="527"/>
      <c r="T51" s="501"/>
      <c r="U51" s="529">
        <f>SUM(U46:U50)</f>
        <v>1.9617053743384736</v>
      </c>
      <c r="AA51" s="308"/>
      <c r="AD51" s="310"/>
      <c r="AH51" s="310"/>
    </row>
    <row r="52" spans="1:34" ht="12.95" thickTop="1">
      <c r="J52" s="248"/>
      <c r="K52" s="248"/>
      <c r="L52" s="248"/>
      <c r="M52" s="248"/>
      <c r="N52" s="248"/>
      <c r="O52" s="248"/>
      <c r="P52" s="248"/>
      <c r="Q52" s="248"/>
      <c r="R52" s="248"/>
      <c r="S52" s="248"/>
      <c r="T52" s="248"/>
      <c r="U52" s="248"/>
      <c r="AA52" s="308"/>
      <c r="AD52" s="322"/>
      <c r="AF52" s="323"/>
      <c r="AH52" s="324"/>
    </row>
    <row r="53" spans="1:34">
      <c r="J53" s="248"/>
      <c r="K53" s="248"/>
      <c r="L53" s="248"/>
      <c r="M53" s="248"/>
      <c r="N53" s="248"/>
      <c r="O53" s="248"/>
      <c r="P53" s="248"/>
      <c r="Q53" s="248"/>
      <c r="R53" s="248"/>
      <c r="S53" s="248"/>
      <c r="T53" s="248"/>
      <c r="U53" s="248"/>
      <c r="AA53" s="308"/>
      <c r="AD53" s="322"/>
      <c r="AF53" s="323"/>
      <c r="AH53" s="324"/>
    </row>
    <row r="54" spans="1:34">
      <c r="J54" s="248"/>
      <c r="K54" s="248"/>
      <c r="L54" s="248"/>
      <c r="M54" s="248"/>
      <c r="N54" s="248"/>
      <c r="O54" s="248"/>
      <c r="P54" s="248"/>
      <c r="Q54" s="248"/>
      <c r="R54" s="248"/>
      <c r="S54" s="248"/>
      <c r="T54" s="248"/>
      <c r="U54" s="248"/>
    </row>
    <row r="55" spans="1:34">
      <c r="J55" s="248"/>
      <c r="K55" s="248"/>
      <c r="L55" s="248"/>
      <c r="M55" s="248"/>
      <c r="N55" s="248"/>
      <c r="O55" s="248"/>
      <c r="P55" s="248"/>
      <c r="Q55" s="248"/>
      <c r="R55" s="248"/>
      <c r="S55" s="248"/>
      <c r="T55" s="248"/>
      <c r="U55" s="248"/>
    </row>
    <row r="56" spans="1:34">
      <c r="M56" s="1042"/>
      <c r="N56" s="1042"/>
      <c r="O56" s="1042"/>
      <c r="P56" s="1042"/>
      <c r="Q56" s="1042"/>
      <c r="R56" s="1042"/>
      <c r="S56" s="1042"/>
      <c r="T56" s="1042"/>
    </row>
    <row r="57" spans="1:34">
      <c r="M57" s="1042"/>
      <c r="N57" s="1042"/>
      <c r="O57" s="1042"/>
      <c r="P57" s="1042"/>
      <c r="Q57" s="1042"/>
      <c r="R57" s="1042"/>
      <c r="S57" s="1042"/>
      <c r="T57" s="1042"/>
    </row>
    <row r="58" spans="1:34">
      <c r="M58" s="1042"/>
      <c r="N58" s="1042"/>
      <c r="O58" s="1042"/>
      <c r="P58" s="1042"/>
      <c r="Q58" s="1042"/>
      <c r="R58" s="1042"/>
      <c r="S58" s="1042"/>
      <c r="T58" s="1042"/>
    </row>
    <row r="59" spans="1:34">
      <c r="M59" s="1042"/>
      <c r="N59" s="1042"/>
      <c r="O59" s="1042"/>
      <c r="P59" s="1042"/>
      <c r="Q59" s="1042"/>
      <c r="R59" s="1042"/>
      <c r="S59" s="1042"/>
      <c r="T59" s="1042"/>
    </row>
    <row r="60" spans="1:34">
      <c r="M60" s="1042"/>
      <c r="N60" s="1042"/>
      <c r="O60" s="1042"/>
      <c r="P60" s="1042"/>
      <c r="Q60" s="1042"/>
      <c r="R60" s="1042"/>
      <c r="S60" s="1042"/>
      <c r="T60" s="1042"/>
    </row>
    <row r="61" spans="1:34">
      <c r="M61" s="1042"/>
      <c r="N61" s="1042"/>
      <c r="O61" s="1042"/>
      <c r="P61" s="1042"/>
      <c r="Q61" s="1042"/>
      <c r="R61" s="1042"/>
      <c r="S61" s="1042"/>
      <c r="T61" s="1042"/>
    </row>
  </sheetData>
  <mergeCells count="4">
    <mergeCell ref="E7:I7"/>
    <mergeCell ref="K7:O7"/>
    <mergeCell ref="A5:U5"/>
    <mergeCell ref="C45:K49"/>
  </mergeCells>
  <pageMargins left="0.7" right="0.7" top="0.75" bottom="0.75" header="0.3" footer="0.3"/>
  <pageSetup scale="74" firstPageNumber="3" orientation="landscape" useFirstPageNumber="1" r:id="rId1"/>
  <headerFooter>
    <oddHeader>&amp;R&amp;10Filed: 2024-02-16
EB-2022-0200
Rate Order
Working Papers
Schedule 28
Page &amp;P of 4</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88F9-8E17-4349-9B9E-2E5A95B57F4D}">
  <dimension ref="A1:N43"/>
  <sheetViews>
    <sheetView showGridLines="0" zoomScaleNormal="100" zoomScaleSheetLayoutView="100" workbookViewId="0"/>
  </sheetViews>
  <sheetFormatPr defaultColWidth="9" defaultRowHeight="14.1"/>
  <cols>
    <col min="1" max="1" width="5.625" customWidth="1"/>
    <col min="2" max="2" width="1.625" customWidth="1"/>
    <col min="3" max="3" width="39.125" customWidth="1"/>
    <col min="4" max="4" width="2" customWidth="1"/>
    <col min="5" max="5" width="12.625" customWidth="1"/>
    <col min="6" max="6" width="2" customWidth="1"/>
    <col min="7" max="7" width="11.125" bestFit="1" customWidth="1"/>
    <col min="8" max="8" width="2" customWidth="1"/>
    <col min="9" max="9" width="10.625" customWidth="1"/>
    <col min="10" max="10" width="2" customWidth="1"/>
    <col min="11" max="11" width="11.125" bestFit="1" customWidth="1"/>
    <col min="12" max="12" width="2" customWidth="1"/>
    <col min="13" max="13" width="11.125" bestFit="1" customWidth="1"/>
    <col min="14" max="14" width="8.125"/>
  </cols>
  <sheetData>
    <row r="1" spans="1:14">
      <c r="A1" s="136"/>
      <c r="B1" s="136"/>
      <c r="C1" s="136"/>
      <c r="D1" s="136"/>
      <c r="E1" s="136"/>
      <c r="F1" s="136"/>
      <c r="G1" s="136"/>
      <c r="H1" s="136"/>
      <c r="I1" s="136"/>
      <c r="J1" s="136"/>
      <c r="K1" s="136"/>
      <c r="L1" s="136"/>
      <c r="M1" s="136"/>
    </row>
    <row r="2" spans="1:14">
      <c r="A2" s="136"/>
      <c r="B2" s="136"/>
      <c r="C2" s="136"/>
      <c r="D2" s="136"/>
      <c r="E2" s="136"/>
      <c r="F2" s="136"/>
      <c r="G2" s="136"/>
      <c r="H2" s="136"/>
      <c r="I2" s="136"/>
      <c r="J2" s="136"/>
      <c r="K2" s="136"/>
      <c r="L2" s="136"/>
      <c r="M2" s="136"/>
    </row>
    <row r="3" spans="1:14">
      <c r="A3" s="136"/>
      <c r="B3" s="136"/>
      <c r="C3" s="136"/>
      <c r="D3" s="136"/>
      <c r="E3" s="136"/>
      <c r="F3" s="136"/>
      <c r="G3" s="136"/>
      <c r="H3" s="136"/>
      <c r="I3" s="136"/>
      <c r="J3" s="136"/>
      <c r="K3" s="136"/>
      <c r="L3" s="136"/>
      <c r="M3" s="136"/>
    </row>
    <row r="4" spans="1:14">
      <c r="A4" s="136"/>
      <c r="B4" s="136"/>
      <c r="C4" s="136"/>
      <c r="D4" s="136"/>
      <c r="E4" s="136"/>
      <c r="F4" s="136"/>
      <c r="G4" s="136"/>
      <c r="H4" s="136"/>
      <c r="I4" s="136"/>
      <c r="J4" s="136"/>
      <c r="K4" s="136"/>
      <c r="L4" s="136"/>
      <c r="M4" s="136"/>
    </row>
    <row r="5" spans="1:14">
      <c r="A5" s="1177" t="s">
        <v>1470</v>
      </c>
      <c r="B5" s="1177"/>
      <c r="C5" s="1177"/>
      <c r="D5" s="1177"/>
      <c r="E5" s="1177"/>
      <c r="F5" s="1177"/>
      <c r="G5" s="1177"/>
      <c r="H5" s="1177"/>
      <c r="I5" s="1177"/>
      <c r="J5" s="1177"/>
      <c r="K5" s="1177"/>
      <c r="L5" s="1177"/>
      <c r="M5" s="1177"/>
    </row>
    <row r="6" spans="1:14">
      <c r="A6" s="136"/>
      <c r="B6" s="136"/>
      <c r="C6" s="136"/>
      <c r="D6" s="136"/>
      <c r="E6" s="136"/>
      <c r="F6" s="136"/>
      <c r="G6" s="136"/>
      <c r="H6" s="136"/>
      <c r="I6" s="136"/>
      <c r="J6" s="136"/>
      <c r="K6" s="136"/>
      <c r="L6" s="136"/>
      <c r="M6" s="136"/>
    </row>
    <row r="7" spans="1:14">
      <c r="A7" s="1083"/>
      <c r="B7" s="136"/>
      <c r="C7" s="136"/>
      <c r="D7" s="136"/>
      <c r="E7" s="136"/>
      <c r="F7" s="136"/>
      <c r="G7" s="136"/>
      <c r="H7" s="136"/>
      <c r="I7" s="136"/>
      <c r="J7" s="136"/>
      <c r="K7" s="136"/>
      <c r="L7" s="136"/>
      <c r="M7" s="136"/>
    </row>
    <row r="8" spans="1:14" ht="39.950000000000003">
      <c r="A8" s="1084" t="s">
        <v>1471</v>
      </c>
      <c r="B8" s="1083"/>
      <c r="C8" s="1085" t="s">
        <v>194</v>
      </c>
      <c r="D8" s="1086"/>
      <c r="E8" s="1087" t="s">
        <v>1472</v>
      </c>
      <c r="F8" s="1088"/>
      <c r="G8" s="1087" t="s">
        <v>1473</v>
      </c>
      <c r="H8" s="1089"/>
      <c r="I8" s="1084" t="s">
        <v>1474</v>
      </c>
      <c r="J8" s="1089"/>
      <c r="K8" s="1090" t="s">
        <v>1475</v>
      </c>
      <c r="L8" s="1091"/>
      <c r="M8" s="1090" t="s">
        <v>1476</v>
      </c>
      <c r="N8" s="1092"/>
    </row>
    <row r="9" spans="1:14">
      <c r="A9" s="136"/>
      <c r="B9" s="1083"/>
      <c r="C9" s="1093"/>
      <c r="D9" s="1086"/>
      <c r="E9" s="138" t="s">
        <v>9</v>
      </c>
      <c r="F9" s="138"/>
      <c r="G9" s="138" t="s">
        <v>1477</v>
      </c>
      <c r="H9" s="1089"/>
      <c r="I9" s="138" t="s">
        <v>58</v>
      </c>
      <c r="J9" s="138"/>
      <c r="K9" s="138" t="s">
        <v>1478</v>
      </c>
      <c r="L9" s="138"/>
      <c r="M9" s="138" t="s">
        <v>1479</v>
      </c>
      <c r="N9" s="1092"/>
    </row>
    <row r="10" spans="1:14" ht="14.45">
      <c r="A10" s="1094"/>
      <c r="B10" s="286"/>
      <c r="C10" s="136" t="s">
        <v>1480</v>
      </c>
      <c r="D10" s="286"/>
      <c r="E10" s="286"/>
      <c r="F10" s="286"/>
      <c r="G10" s="286"/>
      <c r="H10" s="296"/>
      <c r="I10" s="286"/>
      <c r="J10" s="286"/>
      <c r="K10" s="286"/>
      <c r="L10" s="286"/>
      <c r="M10" s="286"/>
      <c r="N10" s="1095"/>
    </row>
    <row r="11" spans="1:14">
      <c r="A11" s="138">
        <v>1</v>
      </c>
      <c r="B11" s="136"/>
      <c r="C11" s="146" t="s">
        <v>1481</v>
      </c>
      <c r="D11" s="136"/>
      <c r="E11" s="287">
        <v>118685289</v>
      </c>
      <c r="F11" s="295"/>
      <c r="G11" s="287">
        <v>3036982.8300921191</v>
      </c>
      <c r="H11" s="295"/>
      <c r="I11" s="287">
        <v>350209.69721300004</v>
      </c>
      <c r="J11" s="295"/>
      <c r="K11" s="288">
        <v>115.31500729702094</v>
      </c>
      <c r="L11" s="297"/>
      <c r="M11" s="288">
        <v>2.9507422542738215</v>
      </c>
      <c r="N11" s="289"/>
    </row>
    <row r="12" spans="1:14">
      <c r="A12" s="138">
        <v>2</v>
      </c>
      <c r="B12" s="136"/>
      <c r="C12" s="146" t="s">
        <v>1482</v>
      </c>
      <c r="D12" s="136"/>
      <c r="E12" s="287">
        <v>126719589.8</v>
      </c>
      <c r="F12" s="295"/>
      <c r="G12" s="287">
        <v>3242568.8280450362</v>
      </c>
      <c r="H12" s="295"/>
      <c r="I12" s="287">
        <v>522413.84710000001</v>
      </c>
      <c r="J12" s="295"/>
      <c r="K12" s="288">
        <v>161.11110505400325</v>
      </c>
      <c r="L12" s="297"/>
      <c r="M12" s="288">
        <v>4.1225973657626218</v>
      </c>
      <c r="N12" s="289"/>
    </row>
    <row r="13" spans="1:14">
      <c r="A13" s="138">
        <v>3</v>
      </c>
      <c r="B13" s="136"/>
      <c r="C13" s="146" t="s">
        <v>1483</v>
      </c>
      <c r="D13" s="136"/>
      <c r="E13" s="287">
        <v>100398921</v>
      </c>
      <c r="F13" s="295"/>
      <c r="G13" s="287">
        <v>2569061.4380757422</v>
      </c>
      <c r="H13" s="295"/>
      <c r="I13" s="287">
        <v>359005.74041100004</v>
      </c>
      <c r="J13" s="295"/>
      <c r="K13" s="288">
        <v>139.74198323567521</v>
      </c>
      <c r="L13" s="297"/>
      <c r="M13" s="288">
        <v>3.5757928156518739</v>
      </c>
      <c r="N13" s="289"/>
    </row>
    <row r="14" spans="1:14">
      <c r="A14" s="138">
        <v>4</v>
      </c>
      <c r="B14" s="136"/>
      <c r="C14" s="146" t="s">
        <v>1484</v>
      </c>
      <c r="D14" s="136"/>
      <c r="E14" s="287">
        <v>71437706</v>
      </c>
      <c r="F14" s="295"/>
      <c r="G14" s="287">
        <v>1827986.3357215968</v>
      </c>
      <c r="H14" s="295"/>
      <c r="I14" s="287">
        <v>306300.10098799999</v>
      </c>
      <c r="J14" s="295"/>
      <c r="K14" s="288">
        <v>167.56148281988561</v>
      </c>
      <c r="L14" s="297"/>
      <c r="M14" s="288">
        <v>4.2876530916040334</v>
      </c>
      <c r="N14" s="289"/>
    </row>
    <row r="15" spans="1:14">
      <c r="A15" s="138">
        <v>5</v>
      </c>
      <c r="B15" s="136"/>
      <c r="C15" s="146" t="s">
        <v>1485</v>
      </c>
      <c r="D15" s="136"/>
      <c r="E15" s="287">
        <v>80922965</v>
      </c>
      <c r="F15" s="295"/>
      <c r="G15" s="287">
        <v>2070700.2302968272</v>
      </c>
      <c r="H15" s="295"/>
      <c r="I15" s="287">
        <v>288188.252568</v>
      </c>
      <c r="J15" s="295"/>
      <c r="K15" s="288">
        <v>139.17429879586641</v>
      </c>
      <c r="L15" s="297"/>
      <c r="M15" s="288">
        <v>3.5612666017366021</v>
      </c>
      <c r="N15" s="289"/>
    </row>
    <row r="16" spans="1:14">
      <c r="A16" s="138">
        <v>6</v>
      </c>
      <c r="B16" s="136"/>
      <c r="C16" s="146" t="s">
        <v>1486</v>
      </c>
      <c r="D16" s="136"/>
      <c r="E16" s="287">
        <v>22010508</v>
      </c>
      <c r="F16" s="295"/>
      <c r="G16" s="287">
        <v>563216.68372569093</v>
      </c>
      <c r="H16" s="295"/>
      <c r="I16" s="287">
        <v>91839.810505000001</v>
      </c>
      <c r="J16" s="295"/>
      <c r="K16" s="288">
        <v>163.06301492611618</v>
      </c>
      <c r="L16" s="297"/>
      <c r="M16" s="288">
        <v>4.1725438824492374</v>
      </c>
      <c r="N16" s="289"/>
    </row>
    <row r="17" spans="1:14">
      <c r="A17" s="138">
        <v>7</v>
      </c>
      <c r="B17" s="136"/>
      <c r="C17" s="146" t="s">
        <v>1487</v>
      </c>
      <c r="D17" s="136"/>
      <c r="E17" s="295">
        <v>7055734.9500000002</v>
      </c>
      <c r="F17" s="295"/>
      <c r="G17" s="295">
        <v>180545.93014329582</v>
      </c>
      <c r="H17" s="295"/>
      <c r="I17" s="295">
        <v>34566.909558549858</v>
      </c>
      <c r="J17" s="295"/>
      <c r="K17" s="297">
        <v>191.45770569912472</v>
      </c>
      <c r="L17" s="297"/>
      <c r="M17" s="297">
        <v>4.8991224590359446</v>
      </c>
      <c r="N17" s="289"/>
    </row>
    <row r="18" spans="1:14">
      <c r="A18" s="138">
        <v>8</v>
      </c>
      <c r="B18" s="136"/>
      <c r="C18" s="136" t="s">
        <v>1488</v>
      </c>
      <c r="D18" s="136"/>
      <c r="E18" s="290">
        <v>527230713.75</v>
      </c>
      <c r="F18" s="295"/>
      <c r="G18" s="290">
        <v>13491062.27610031</v>
      </c>
      <c r="H18" s="295"/>
      <c r="I18" s="290">
        <v>1952524.3583435498</v>
      </c>
      <c r="J18" s="295"/>
      <c r="K18" s="291">
        <v>147.66114868809461</v>
      </c>
      <c r="L18" s="297"/>
      <c r="M18" s="291">
        <v>3.7784326685796983</v>
      </c>
      <c r="N18" s="289"/>
    </row>
    <row r="19" spans="1:14">
      <c r="A19" s="138"/>
      <c r="B19" s="136"/>
      <c r="C19" s="136"/>
      <c r="D19" s="136"/>
      <c r="E19" s="295"/>
      <c r="F19" s="295"/>
      <c r="G19" s="295"/>
      <c r="H19" s="295"/>
      <c r="I19" s="295"/>
      <c r="J19" s="295"/>
      <c r="K19" s="297"/>
      <c r="L19" s="297"/>
      <c r="M19" s="297"/>
      <c r="N19" s="289"/>
    </row>
    <row r="20" spans="1:14">
      <c r="A20" s="138">
        <v>9</v>
      </c>
      <c r="B20" s="136"/>
      <c r="C20" s="136" t="s">
        <v>1489</v>
      </c>
      <c r="D20" s="136"/>
      <c r="E20" s="287"/>
      <c r="F20" s="295"/>
      <c r="G20" s="287"/>
      <c r="H20" s="295"/>
      <c r="I20" s="287">
        <v>15684.244666999999</v>
      </c>
      <c r="J20" s="295"/>
      <c r="K20" s="288"/>
      <c r="L20" s="297"/>
      <c r="M20" s="288"/>
      <c r="N20" s="289"/>
    </row>
    <row r="21" spans="1:14">
      <c r="A21" s="138"/>
      <c r="B21" s="136"/>
      <c r="C21" s="136"/>
      <c r="D21" s="136"/>
      <c r="E21" s="287"/>
      <c r="F21" s="295"/>
      <c r="G21" s="287"/>
      <c r="H21" s="295"/>
      <c r="I21" s="287"/>
      <c r="J21" s="295"/>
      <c r="K21" s="288"/>
      <c r="L21" s="297"/>
      <c r="M21" s="288"/>
      <c r="N21" s="289"/>
    </row>
    <row r="22" spans="1:14">
      <c r="A22" s="138">
        <v>10</v>
      </c>
      <c r="B22" s="136"/>
      <c r="C22" s="136" t="s">
        <v>1490</v>
      </c>
      <c r="D22" s="136"/>
      <c r="E22" s="287"/>
      <c r="F22" s="295"/>
      <c r="G22" s="287"/>
      <c r="H22" s="295"/>
      <c r="I22" s="287">
        <v>28281.921566058081</v>
      </c>
      <c r="J22" s="295"/>
      <c r="K22" s="288"/>
      <c r="L22" s="297"/>
      <c r="M22" s="288"/>
      <c r="N22" s="289"/>
    </row>
    <row r="23" spans="1:14">
      <c r="A23" s="138"/>
      <c r="B23" s="136"/>
      <c r="C23" s="136"/>
      <c r="D23" s="136"/>
      <c r="E23" s="287"/>
      <c r="F23" s="295"/>
      <c r="G23" s="287"/>
      <c r="H23" s="295"/>
      <c r="I23" s="287"/>
      <c r="J23" s="295"/>
      <c r="K23" s="288"/>
      <c r="L23" s="297"/>
      <c r="M23" s="288"/>
      <c r="N23" s="289"/>
    </row>
    <row r="24" spans="1:14">
      <c r="A24" s="138">
        <v>11</v>
      </c>
      <c r="B24" s="286"/>
      <c r="C24" s="136" t="s">
        <v>1491</v>
      </c>
      <c r="D24" s="136"/>
      <c r="E24" s="290">
        <v>527230713.75</v>
      </c>
      <c r="F24" s="295"/>
      <c r="G24" s="290">
        <v>13491062.276100308</v>
      </c>
      <c r="H24" s="295"/>
      <c r="I24" s="290">
        <v>1908558.1921104917</v>
      </c>
      <c r="J24" s="295"/>
      <c r="K24" s="291">
        <v>159.43105106102857</v>
      </c>
      <c r="L24" s="297"/>
      <c r="M24" s="291">
        <v>3.6199677718614165</v>
      </c>
      <c r="N24" s="289"/>
    </row>
    <row r="25" spans="1:14">
      <c r="A25" s="138"/>
      <c r="B25" s="136"/>
      <c r="C25" s="136"/>
      <c r="D25" s="136"/>
      <c r="E25" s="287"/>
      <c r="F25" s="295"/>
      <c r="G25" s="287"/>
      <c r="H25" s="295"/>
      <c r="I25" s="287"/>
      <c r="J25" s="295"/>
      <c r="K25" s="288"/>
      <c r="L25" s="297"/>
      <c r="M25" s="288"/>
      <c r="N25" s="289"/>
    </row>
    <row r="26" spans="1:14">
      <c r="A26" s="138"/>
      <c r="B26" s="136"/>
      <c r="C26" s="136" t="s">
        <v>1492</v>
      </c>
      <c r="D26" s="136"/>
      <c r="E26" s="287"/>
      <c r="F26" s="295"/>
      <c r="G26" s="287"/>
      <c r="H26" s="295"/>
      <c r="I26" s="287"/>
      <c r="J26" s="295"/>
      <c r="K26" s="288"/>
      <c r="L26" s="297"/>
      <c r="M26" s="288"/>
      <c r="N26" s="289"/>
    </row>
    <row r="27" spans="1:14">
      <c r="A27" s="138">
        <v>12</v>
      </c>
      <c r="B27" s="136"/>
      <c r="C27" s="146" t="s">
        <v>1493</v>
      </c>
      <c r="D27" s="136"/>
      <c r="E27" s="287"/>
      <c r="F27" s="295"/>
      <c r="G27" s="287"/>
      <c r="H27" s="295"/>
      <c r="I27" s="287">
        <v>14316.37614936</v>
      </c>
      <c r="J27" s="295"/>
      <c r="K27" s="288"/>
      <c r="L27" s="297"/>
      <c r="M27" s="288"/>
      <c r="N27" s="289"/>
    </row>
    <row r="28" spans="1:14">
      <c r="A28" s="138">
        <v>13</v>
      </c>
      <c r="B28" s="136"/>
      <c r="C28" s="146" t="s">
        <v>1494</v>
      </c>
      <c r="D28" s="136"/>
      <c r="E28" s="287"/>
      <c r="F28" s="295"/>
      <c r="G28" s="287"/>
      <c r="H28" s="295"/>
      <c r="I28" s="287">
        <v>112753.16058556299</v>
      </c>
      <c r="J28" s="295"/>
      <c r="K28" s="288"/>
      <c r="L28" s="297"/>
      <c r="M28" s="288"/>
      <c r="N28" s="289"/>
    </row>
    <row r="29" spans="1:14">
      <c r="A29" s="138">
        <v>14</v>
      </c>
      <c r="B29" s="136"/>
      <c r="C29" s="146" t="s">
        <v>1495</v>
      </c>
      <c r="D29" s="136"/>
      <c r="E29" s="287"/>
      <c r="F29" s="295"/>
      <c r="G29" s="287"/>
      <c r="H29" s="295"/>
      <c r="I29" s="287">
        <v>24646.397519886999</v>
      </c>
      <c r="J29" s="295"/>
      <c r="K29" s="288"/>
      <c r="L29" s="297"/>
      <c r="M29" s="288"/>
      <c r="N29" s="289"/>
    </row>
    <row r="30" spans="1:14">
      <c r="A30" s="138">
        <v>15</v>
      </c>
      <c r="B30" s="136"/>
      <c r="C30" s="146" t="s">
        <v>1486</v>
      </c>
      <c r="D30" s="136"/>
      <c r="E30" s="287"/>
      <c r="F30" s="295"/>
      <c r="G30" s="287"/>
      <c r="H30" s="295"/>
      <c r="I30" s="287">
        <v>14297.010288197</v>
      </c>
      <c r="J30" s="295"/>
      <c r="K30" s="288"/>
      <c r="L30" s="297"/>
      <c r="M30" s="288"/>
      <c r="N30" s="289"/>
    </row>
    <row r="31" spans="1:14">
      <c r="A31" s="138">
        <v>16</v>
      </c>
      <c r="B31" s="136"/>
      <c r="C31" s="146" t="s">
        <v>1496</v>
      </c>
      <c r="D31" s="136"/>
      <c r="E31" s="287"/>
      <c r="F31" s="295"/>
      <c r="G31" s="287"/>
      <c r="H31" s="295"/>
      <c r="I31" s="287">
        <v>8748.75</v>
      </c>
      <c r="J31" s="295"/>
      <c r="K31" s="288"/>
      <c r="L31" s="297"/>
      <c r="M31" s="288"/>
      <c r="N31" s="289"/>
    </row>
    <row r="32" spans="1:14">
      <c r="A32" s="138">
        <v>17</v>
      </c>
      <c r="B32" s="136"/>
      <c r="C32" s="146" t="s">
        <v>1497</v>
      </c>
      <c r="D32" s="136"/>
      <c r="E32" s="287"/>
      <c r="F32" s="295"/>
      <c r="G32" s="287"/>
      <c r="H32" s="295"/>
      <c r="I32" s="287">
        <v>5747.6957559479997</v>
      </c>
      <c r="J32" s="295"/>
      <c r="K32" s="288"/>
      <c r="L32" s="297"/>
      <c r="M32" s="288"/>
      <c r="N32" s="289"/>
    </row>
    <row r="33" spans="1:14">
      <c r="A33" s="138">
        <v>18</v>
      </c>
      <c r="B33" s="136"/>
      <c r="C33" s="136" t="s">
        <v>1498</v>
      </c>
      <c r="D33" s="136"/>
      <c r="E33" s="295"/>
      <c r="F33" s="295"/>
      <c r="G33" s="295"/>
      <c r="H33" s="295"/>
      <c r="I33" s="290">
        <v>180509.390298955</v>
      </c>
      <c r="J33" s="295"/>
      <c r="K33" s="297"/>
      <c r="L33" s="297"/>
      <c r="M33" s="297"/>
      <c r="N33" s="289"/>
    </row>
    <row r="34" spans="1:14">
      <c r="A34" s="292"/>
      <c r="B34" s="1096"/>
      <c r="C34" s="146"/>
      <c r="D34" s="136"/>
      <c r="E34" s="287"/>
      <c r="F34" s="295"/>
      <c r="G34" s="287"/>
      <c r="H34" s="295"/>
      <c r="I34" s="287"/>
      <c r="J34" s="295"/>
      <c r="K34" s="288"/>
      <c r="L34" s="297"/>
      <c r="M34" s="288"/>
      <c r="N34" s="289"/>
    </row>
    <row r="35" spans="1:14" ht="14.45" thickBot="1">
      <c r="A35" s="138">
        <v>19</v>
      </c>
      <c r="B35" s="1096"/>
      <c r="C35" s="136" t="s">
        <v>1499</v>
      </c>
      <c r="D35" s="136"/>
      <c r="E35" s="293">
        <v>527230713.75</v>
      </c>
      <c r="F35" s="295"/>
      <c r="G35" s="293">
        <v>13491062.276100308</v>
      </c>
      <c r="H35" s="295"/>
      <c r="I35" s="293">
        <v>2089067.5824094466</v>
      </c>
      <c r="J35" s="295"/>
      <c r="K35" s="294">
        <v>154.8482646996799</v>
      </c>
      <c r="L35" s="297"/>
      <c r="M35" s="294">
        <v>3.9623404477911954</v>
      </c>
      <c r="N35" s="289"/>
    </row>
    <row r="36" spans="1:14" ht="14.45" thickTop="1">
      <c r="A36" s="138"/>
      <c r="B36" s="136"/>
      <c r="C36" s="136"/>
      <c r="D36" s="136"/>
      <c r="E36" s="287"/>
      <c r="F36" s="295"/>
      <c r="G36" s="287"/>
      <c r="H36" s="295"/>
      <c r="I36" s="287"/>
      <c r="J36" s="295"/>
      <c r="K36" s="287"/>
      <c r="L36" s="295"/>
      <c r="M36" s="287"/>
      <c r="N36" s="289"/>
    </row>
    <row r="37" spans="1:14">
      <c r="A37" s="1097"/>
      <c r="B37" s="1098"/>
      <c r="C37" s="136"/>
      <c r="D37" s="136"/>
      <c r="E37" s="136"/>
      <c r="F37" s="136"/>
      <c r="G37" s="136"/>
      <c r="H37" s="136"/>
      <c r="I37" s="136"/>
      <c r="J37" s="136"/>
      <c r="K37" s="136"/>
      <c r="L37" s="136"/>
      <c r="M37" s="136"/>
    </row>
    <row r="38" spans="1:14">
      <c r="A38" s="1099"/>
    </row>
    <row r="39" spans="1:14">
      <c r="A39" s="1099"/>
    </row>
    <row r="40" spans="1:14">
      <c r="A40" s="1099"/>
    </row>
    <row r="41" spans="1:14">
      <c r="A41" s="1099"/>
    </row>
    <row r="42" spans="1:14">
      <c r="A42" s="1099"/>
    </row>
    <row r="43" spans="1:14">
      <c r="A43" s="1099"/>
    </row>
  </sheetData>
  <mergeCells count="1">
    <mergeCell ref="A5:M5"/>
  </mergeCells>
  <pageMargins left="0.7" right="0.7" top="0.75" bottom="0.75" header="0.3" footer="0.3"/>
  <pageSetup scale="72" firstPageNumber="4" orientation="portrait" useFirstPageNumber="1" horizontalDpi="1200" verticalDpi="1200" r:id="rId1"/>
  <headerFooter>
    <oddHeader>&amp;R&amp;10Filed: 2024-02-16
EB-2022-0200
Rate Order
Working Papers
Schedule 28
Page &amp;P of 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A0B7A-D146-489B-8DF5-CFD7A355BFDA}">
  <sheetPr>
    <pageSetUpPr fitToPage="1"/>
  </sheetPr>
  <dimension ref="A1:AR70"/>
  <sheetViews>
    <sheetView view="pageLayout" topLeftCell="C1" zoomScaleNormal="80" zoomScaleSheetLayoutView="90" workbookViewId="0">
      <selection activeCell="J1" sqref="J1"/>
    </sheetView>
  </sheetViews>
  <sheetFormatPr defaultRowHeight="14.1"/>
  <cols>
    <col min="1" max="1" width="2" customWidth="1"/>
    <col min="3" max="3" width="1.625" customWidth="1"/>
    <col min="4" max="4" width="26" customWidth="1"/>
    <col min="5" max="5" width="1.625" customWidth="1"/>
    <col min="6" max="6" width="10.5" bestFit="1" customWidth="1"/>
    <col min="7" max="7" width="1.75" customWidth="1"/>
    <col min="9" max="9" width="1.75" customWidth="1"/>
    <col min="11" max="11" width="1.75" customWidth="1"/>
    <col min="13" max="13" width="1.75" customWidth="1"/>
    <col min="15" max="15" width="1.75" customWidth="1"/>
    <col min="17" max="17" width="1.75" customWidth="1"/>
    <col min="19" max="19" width="2" customWidth="1"/>
    <col min="20" max="20" width="9.75" customWidth="1"/>
    <col min="21" max="21" width="1.625" customWidth="1"/>
    <col min="23" max="23" width="1.25" customWidth="1"/>
    <col min="25" max="25" width="1.125" customWidth="1"/>
    <col min="27" max="27" width="1.125" customWidth="1"/>
    <col min="29" max="29" width="1.125" customWidth="1"/>
    <col min="31" max="31" width="1.125" customWidth="1"/>
    <col min="33" max="33" width="1.125" customWidth="1"/>
    <col min="35" max="35" width="1.625" customWidth="1"/>
    <col min="37" max="37" width="1.125" customWidth="1"/>
    <col min="39" max="39" width="4.25" customWidth="1"/>
  </cols>
  <sheetData>
    <row r="1" spans="1:44">
      <c r="A1" s="438"/>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row>
    <row r="2" spans="1:44">
      <c r="A2" s="438"/>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438"/>
      <c r="AJ2" s="438"/>
      <c r="AK2" s="438"/>
      <c r="AL2" s="438"/>
    </row>
    <row r="3" spans="1:44" s="2" customFormat="1" ht="12.6">
      <c r="B3" s="1151" t="s">
        <v>189</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row>
    <row r="4" spans="1:44" s="2" customFormat="1" ht="12.6">
      <c r="B4" s="1150" t="s">
        <v>92</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row>
    <row r="5" spans="1:44" s="2" customFormat="1" ht="12.6">
      <c r="B5" s="6"/>
      <c r="C5" s="6"/>
      <c r="D5" s="6"/>
      <c r="E5" s="6"/>
      <c r="F5" s="3"/>
      <c r="G5" s="3"/>
      <c r="H5" s="6"/>
      <c r="I5" s="6"/>
      <c r="J5" s="6"/>
      <c r="K5" s="6"/>
      <c r="L5" s="6"/>
      <c r="M5" s="6"/>
      <c r="N5" s="6"/>
      <c r="O5" s="6"/>
      <c r="P5" s="1"/>
      <c r="Q5" s="1"/>
    </row>
    <row r="6" spans="1:44" s="2" customFormat="1" ht="12.6">
      <c r="B6" s="3"/>
      <c r="C6" s="3"/>
      <c r="D6" s="3"/>
      <c r="E6" s="3"/>
      <c r="F6" s="6" t="s">
        <v>93</v>
      </c>
      <c r="G6" s="6"/>
      <c r="H6" s="58"/>
      <c r="I6" s="58"/>
      <c r="J6" s="58"/>
      <c r="K6" s="58"/>
      <c r="L6" s="58"/>
      <c r="M6" s="58"/>
      <c r="N6" s="58"/>
      <c r="O6" s="58"/>
      <c r="P6" s="58"/>
      <c r="Q6" s="58"/>
    </row>
    <row r="7" spans="1:44" s="2" customFormat="1" ht="12.6">
      <c r="A7" s="17"/>
      <c r="B7" s="17"/>
      <c r="C7" s="5"/>
      <c r="D7" s="5"/>
      <c r="E7" s="5"/>
      <c r="F7" s="137" t="s">
        <v>96</v>
      </c>
      <c r="G7" s="114"/>
      <c r="H7" s="1152" t="s">
        <v>190</v>
      </c>
      <c r="I7" s="1152"/>
      <c r="J7" s="1152"/>
      <c r="K7" s="1152"/>
      <c r="L7" s="1152"/>
      <c r="M7" s="1152"/>
      <c r="N7" s="1152"/>
      <c r="O7" s="1152"/>
      <c r="P7" s="1152"/>
      <c r="Q7" s="1152"/>
      <c r="R7" s="1152"/>
      <c r="S7" s="237"/>
      <c r="T7" s="237"/>
      <c r="X7" s="1154" t="s">
        <v>191</v>
      </c>
      <c r="Y7" s="1154"/>
      <c r="Z7" s="1154"/>
      <c r="AA7" s="1154"/>
      <c r="AB7" s="1154"/>
      <c r="AC7" s="1154"/>
      <c r="AD7" s="1154"/>
      <c r="AE7" s="1154"/>
      <c r="AF7" s="1154"/>
      <c r="AG7" s="1154"/>
      <c r="AH7" s="1154"/>
      <c r="AI7" s="1154"/>
      <c r="AJ7" s="1154"/>
      <c r="AK7" s="1154"/>
      <c r="AL7" s="1154"/>
    </row>
    <row r="8" spans="1:44" s="2" customFormat="1" ht="12.6">
      <c r="B8" s="5" t="s">
        <v>56</v>
      </c>
      <c r="C8" s="58"/>
      <c r="E8" s="6"/>
      <c r="F8" s="137" t="s">
        <v>105</v>
      </c>
      <c r="G8" s="114"/>
      <c r="H8" s="137"/>
      <c r="I8" s="114"/>
      <c r="J8" s="137" t="s">
        <v>97</v>
      </c>
      <c r="K8" s="137"/>
      <c r="L8" s="137" t="s">
        <v>98</v>
      </c>
      <c r="M8" s="137"/>
      <c r="N8" s="137"/>
      <c r="O8" s="137"/>
      <c r="P8" s="137" t="s">
        <v>99</v>
      </c>
      <c r="Q8" s="137"/>
      <c r="R8" s="137" t="s">
        <v>101</v>
      </c>
      <c r="S8" s="137"/>
      <c r="T8" s="137" t="s">
        <v>192</v>
      </c>
      <c r="V8" s="2" t="s">
        <v>193</v>
      </c>
      <c r="X8" s="137" t="s">
        <v>101</v>
      </c>
      <c r="Y8" s="114"/>
      <c r="Z8" s="137"/>
      <c r="AA8" s="114"/>
      <c r="AB8" s="137" t="s">
        <v>97</v>
      </c>
      <c r="AC8" s="114"/>
      <c r="AD8" s="140" t="s">
        <v>98</v>
      </c>
      <c r="AE8" s="140"/>
      <c r="AF8" s="140"/>
      <c r="AG8" s="140"/>
      <c r="AH8" s="140" t="s">
        <v>99</v>
      </c>
      <c r="AI8" s="140"/>
      <c r="AJ8" s="137" t="s">
        <v>192</v>
      </c>
      <c r="AK8" s="140"/>
      <c r="AL8" s="137"/>
    </row>
    <row r="9" spans="1:44" s="2" customFormat="1" ht="12.6">
      <c r="B9" s="237" t="s">
        <v>57</v>
      </c>
      <c r="C9" s="58"/>
      <c r="D9" s="59" t="s">
        <v>194</v>
      </c>
      <c r="E9" s="6"/>
      <c r="F9" s="139" t="s">
        <v>195</v>
      </c>
      <c r="G9" s="114"/>
      <c r="H9" s="139" t="s">
        <v>106</v>
      </c>
      <c r="I9" s="114"/>
      <c r="J9" s="139" t="s">
        <v>107</v>
      </c>
      <c r="K9" s="137"/>
      <c r="L9" s="139" t="s">
        <v>196</v>
      </c>
      <c r="M9" s="137"/>
      <c r="N9" s="139" t="s">
        <v>197</v>
      </c>
      <c r="O9" s="137"/>
      <c r="P9" s="139" t="s">
        <v>198</v>
      </c>
      <c r="Q9" s="137"/>
      <c r="R9" s="139" t="s">
        <v>199</v>
      </c>
      <c r="S9" s="137"/>
      <c r="T9" s="139" t="s">
        <v>200</v>
      </c>
      <c r="V9" s="408" t="s">
        <v>201</v>
      </c>
      <c r="X9" s="199" t="s">
        <v>202</v>
      </c>
      <c r="Y9" s="114"/>
      <c r="Z9" s="139" t="s">
        <v>203</v>
      </c>
      <c r="AA9" s="114"/>
      <c r="AB9" s="139" t="s">
        <v>204</v>
      </c>
      <c r="AC9" s="114"/>
      <c r="AD9" s="199" t="s">
        <v>205</v>
      </c>
      <c r="AE9" s="140"/>
      <c r="AF9" s="199" t="s">
        <v>206</v>
      </c>
      <c r="AG9" s="140"/>
      <c r="AH9" s="199" t="s">
        <v>207</v>
      </c>
      <c r="AI9" s="140"/>
      <c r="AJ9" s="139" t="s">
        <v>208</v>
      </c>
      <c r="AK9" s="140"/>
      <c r="AL9" s="139" t="s">
        <v>8</v>
      </c>
    </row>
    <row r="10" spans="1:44" s="2" customFormat="1" ht="12.95">
      <c r="B10" s="6"/>
      <c r="C10" s="58"/>
      <c r="D10" s="58"/>
      <c r="E10" s="6"/>
      <c r="F10" s="6" t="s">
        <v>9</v>
      </c>
      <c r="G10" s="128"/>
      <c r="H10" s="6" t="s">
        <v>10</v>
      </c>
      <c r="I10" s="6"/>
      <c r="J10" s="6" t="s">
        <v>58</v>
      </c>
      <c r="K10" s="6"/>
      <c r="L10" s="6" t="s">
        <v>12</v>
      </c>
      <c r="M10" s="6"/>
      <c r="N10" s="6" t="s">
        <v>13</v>
      </c>
      <c r="O10" s="6"/>
      <c r="P10" s="6" t="s">
        <v>115</v>
      </c>
      <c r="Q10" s="6"/>
      <c r="R10" s="6" t="s">
        <v>209</v>
      </c>
      <c r="S10" s="6"/>
      <c r="T10" s="6" t="s">
        <v>210</v>
      </c>
      <c r="V10" s="1" t="s">
        <v>211</v>
      </c>
      <c r="X10" s="1" t="s">
        <v>212</v>
      </c>
      <c r="Y10" s="1"/>
      <c r="Z10" s="1" t="s">
        <v>213</v>
      </c>
      <c r="AA10" s="1"/>
      <c r="AB10" s="1" t="s">
        <v>214</v>
      </c>
      <c r="AC10" s="1"/>
      <c r="AD10" s="1" t="s">
        <v>215</v>
      </c>
      <c r="AE10" s="1"/>
      <c r="AF10" s="1" t="s">
        <v>216</v>
      </c>
      <c r="AG10" s="1"/>
      <c r="AH10" s="1" t="s">
        <v>217</v>
      </c>
      <c r="AI10" s="1"/>
      <c r="AJ10" s="1" t="s">
        <v>218</v>
      </c>
      <c r="AK10" s="1"/>
      <c r="AL10" s="2" t="s">
        <v>219</v>
      </c>
    </row>
    <row r="11" spans="1:44" s="2" customFormat="1" ht="12.95">
      <c r="B11" s="6"/>
      <c r="C11" s="58"/>
      <c r="D11" s="9" t="s">
        <v>125</v>
      </c>
      <c r="E11" s="6"/>
      <c r="F11" s="128"/>
      <c r="G11" s="60"/>
      <c r="H11" s="6"/>
      <c r="I11" s="61"/>
      <c r="J11" s="61"/>
      <c r="K11" s="61"/>
      <c r="L11" s="6"/>
      <c r="M11" s="6"/>
      <c r="N11" s="6"/>
      <c r="O11" s="6"/>
      <c r="P11" s="6"/>
      <c r="Q11" s="6"/>
      <c r="R11" s="6"/>
      <c r="S11" s="6"/>
      <c r="T11" s="6"/>
    </row>
    <row r="12" spans="1:44" s="2" customFormat="1" ht="12.6">
      <c r="B12" s="6">
        <v>1</v>
      </c>
      <c r="C12" s="58"/>
      <c r="D12" s="10" t="s">
        <v>127</v>
      </c>
      <c r="E12" s="6"/>
      <c r="F12" s="29">
        <v>2210008.0985691352</v>
      </c>
      <c r="G12" s="29"/>
      <c r="H12" s="29">
        <f>'Sch. 18 pp.1- 3'!X12-'Sch. 18 pp.1- 3'!H12</f>
        <v>24131.630023635953</v>
      </c>
      <c r="I12" s="29"/>
      <c r="J12" s="29">
        <f>'Sch. 18 pp.1- 3'!AB12-'Sch. 18 pp.1- 3'!J12</f>
        <v>-54.64957319171117</v>
      </c>
      <c r="K12" s="29"/>
      <c r="L12" s="29">
        <f>'Sch. 18 pp.1- 3'!AD12-'Sch. 18 pp.1- 3'!N12</f>
        <v>-86.787416670748257</v>
      </c>
      <c r="M12" s="29"/>
      <c r="N12" s="29">
        <f>'Sch. 18 pp.1- 3'!AF12-'Sch. 18 pp.1- 3'!P12</f>
        <v>1249.5984855129336</v>
      </c>
      <c r="O12" s="29"/>
      <c r="P12" s="29">
        <f>'Sch. 18 pp.1- 3'!AH12-'Sch. 18 pp.1- 3'!R12</f>
        <v>-639.48386239452157</v>
      </c>
      <c r="Q12" s="434"/>
      <c r="R12" s="64">
        <f>'Sch. 18 pp.1- 3'!V12</f>
        <v>26633.826197170576</v>
      </c>
      <c r="S12" s="64"/>
      <c r="T12" s="64">
        <v>0</v>
      </c>
      <c r="V12" s="64">
        <f>H12+J12+L12+N12+P12+R12+T12</f>
        <v>51234.133854062486</v>
      </c>
      <c r="X12" s="440">
        <f t="shared" ref="X12:X21" si="0">R12/F12</f>
        <v>1.2051460903882925E-2</v>
      </c>
      <c r="Y12" s="440"/>
      <c r="Z12" s="440">
        <f t="shared" ref="Z12:Z20" si="1">H12/F12</f>
        <v>1.0919249589745812E-2</v>
      </c>
      <c r="AA12" s="440"/>
      <c r="AB12" s="440">
        <f t="shared" ref="AB12:AB21" si="2">J12/F12</f>
        <v>-2.472822304456437E-5</v>
      </c>
      <c r="AC12" s="440"/>
      <c r="AD12" s="440">
        <f t="shared" ref="AD12:AD21" si="3">L12/F12</f>
        <v>-3.9270180379401582E-5</v>
      </c>
      <c r="AE12" s="440"/>
      <c r="AF12" s="440">
        <f t="shared" ref="AF12:AF21" si="4">N12/F12</f>
        <v>5.6542710695131994E-4</v>
      </c>
      <c r="AG12" s="440"/>
      <c r="AH12" s="440">
        <f t="shared" ref="AH12:AH21" si="5">P12/F12</f>
        <v>-2.8935815339706402E-4</v>
      </c>
      <c r="AI12" s="440"/>
      <c r="AJ12" s="64">
        <v>0</v>
      </c>
      <c r="AK12" s="388"/>
      <c r="AL12" s="440">
        <f>SUM(X12:AJ12)</f>
        <v>2.3182781043759031E-2</v>
      </c>
      <c r="AP12" s="64"/>
      <c r="AQ12" s="64"/>
      <c r="AR12" s="390"/>
    </row>
    <row r="13" spans="1:44" s="2" customFormat="1" ht="12.6">
      <c r="B13" s="6">
        <f>MAX(B$3:B12)+1</f>
        <v>2</v>
      </c>
      <c r="C13" s="58"/>
      <c r="D13" s="10" t="s">
        <v>128</v>
      </c>
      <c r="E13" s="6"/>
      <c r="F13" s="29">
        <v>1191040.9980783353</v>
      </c>
      <c r="G13" s="29"/>
      <c r="H13" s="29">
        <f>'Sch. 18 pp.1- 3'!X13-'Sch. 18 pp.1- 3'!H13</f>
        <v>8048.494482972721</v>
      </c>
      <c r="I13" s="29"/>
      <c r="J13" s="29">
        <f>'Sch. 18 pp.1- 3'!AB13-'Sch. 18 pp.1- 3'!J13</f>
        <v>-49.220549751478757</v>
      </c>
      <c r="K13" s="29"/>
      <c r="L13" s="29">
        <f>'Sch. 18 pp.1- 3'!AD13-'Sch. 18 pp.1- 3'!N13</f>
        <v>-83.110116295466526</v>
      </c>
      <c r="M13" s="29"/>
      <c r="N13" s="29">
        <f>'Sch. 18 pp.1- 3'!AF13-'Sch. 18 pp.1- 3'!P13</f>
        <v>1181.1392120103574</v>
      </c>
      <c r="O13" s="29"/>
      <c r="P13" s="29">
        <f>'Sch. 18 pp.1- 3'!AH13-'Sch. 18 pp.1- 3'!R13</f>
        <v>-521.68410225264051</v>
      </c>
      <c r="Q13" s="434"/>
      <c r="R13" s="64">
        <f>'Sch. 18 pp.1- 3'!V13</f>
        <v>11216.577293775852</v>
      </c>
      <c r="S13" s="64"/>
      <c r="T13" s="64">
        <v>0</v>
      </c>
      <c r="V13" s="64">
        <f t="shared" ref="V13:V23" si="6">H13+J13+L13+N13+P13+R13+T13</f>
        <v>19792.196220459344</v>
      </c>
      <c r="X13" s="440">
        <f t="shared" si="0"/>
        <v>9.4174569237104738E-3</v>
      </c>
      <c r="Y13" s="440"/>
      <c r="Z13" s="440">
        <f t="shared" si="1"/>
        <v>6.7575293343876712E-3</v>
      </c>
      <c r="AA13" s="440"/>
      <c r="AB13" s="440">
        <f t="shared" si="2"/>
        <v>-4.1325655314042764E-5</v>
      </c>
      <c r="AC13" s="440"/>
      <c r="AD13" s="440">
        <f t="shared" si="3"/>
        <v>-6.9779391666247527E-5</v>
      </c>
      <c r="AE13" s="440"/>
      <c r="AF13" s="440">
        <f t="shared" si="4"/>
        <v>9.9168644397300016E-4</v>
      </c>
      <c r="AG13" s="440"/>
      <c r="AH13" s="440">
        <f t="shared" si="5"/>
        <v>-4.3800683863472607E-4</v>
      </c>
      <c r="AI13" s="440"/>
      <c r="AJ13" s="64">
        <v>0</v>
      </c>
      <c r="AK13" s="388"/>
      <c r="AL13" s="440">
        <f t="shared" ref="AL13:AL23" si="7">SUM(X13:AJ13)</f>
        <v>1.6617560816456128E-2</v>
      </c>
      <c r="AP13" s="64"/>
      <c r="AQ13" s="64"/>
      <c r="AR13" s="390"/>
    </row>
    <row r="14" spans="1:44" s="2" customFormat="1" ht="12.6">
      <c r="B14" s="6">
        <f>MAX(B$3:B13)+1</f>
        <v>3</v>
      </c>
      <c r="C14" s="58"/>
      <c r="D14" s="10" t="s">
        <v>129</v>
      </c>
      <c r="E14" s="6"/>
      <c r="F14" s="29">
        <v>5587.4928492138761</v>
      </c>
      <c r="G14" s="29"/>
      <c r="H14" s="29">
        <f>'Sch. 18 pp.1- 3'!X14-'Sch. 18 pp.1- 3'!H14</f>
        <v>272.41532868845394</v>
      </c>
      <c r="I14" s="29"/>
      <c r="J14" s="29">
        <f>'Sch. 18 pp.1- 3'!AB14-'Sch. 18 pp.1- 3'!J14</f>
        <v>0</v>
      </c>
      <c r="K14" s="29"/>
      <c r="L14" s="29">
        <f>'Sch. 18 pp.1- 3'!AD14-'Sch. 18 pp.1- 3'!N14</f>
        <v>-0.47500015438233856</v>
      </c>
      <c r="M14" s="29"/>
      <c r="N14" s="29">
        <f>'Sch. 18 pp.1- 3'!AF14-'Sch. 18 pp.1- 3'!P14</f>
        <v>5.589362272404145</v>
      </c>
      <c r="O14" s="29"/>
      <c r="P14" s="29">
        <f>'Sch. 18 pp.1- 3'!AH14-'Sch. 18 pp.1- 3'!R14</f>
        <v>0</v>
      </c>
      <c r="Q14" s="434"/>
      <c r="R14" s="64">
        <f>'Sch. 18 pp.1- 3'!V14</f>
        <v>56.300984327097453</v>
      </c>
      <c r="S14" s="64"/>
      <c r="T14" s="64">
        <v>0</v>
      </c>
      <c r="V14" s="64">
        <f t="shared" si="6"/>
        <v>333.83067513357321</v>
      </c>
      <c r="X14" s="440">
        <f t="shared" si="0"/>
        <v>1.0076251701157637E-2</v>
      </c>
      <c r="Y14" s="440"/>
      <c r="Z14" s="440">
        <f t="shared" si="1"/>
        <v>4.8754483636928685E-2</v>
      </c>
      <c r="AA14" s="440"/>
      <c r="AB14" s="440">
        <f t="shared" si="2"/>
        <v>0</v>
      </c>
      <c r="AC14" s="440"/>
      <c r="AD14" s="440">
        <f t="shared" si="3"/>
        <v>-8.5011322108299075E-5</v>
      </c>
      <c r="AE14" s="440"/>
      <c r="AF14" s="440">
        <f t="shared" si="4"/>
        <v>1.0003345728112265E-3</v>
      </c>
      <c r="AG14" s="440"/>
      <c r="AH14" s="440">
        <f t="shared" si="5"/>
        <v>0</v>
      </c>
      <c r="AI14" s="440"/>
      <c r="AJ14" s="64">
        <v>0</v>
      </c>
      <c r="AK14" s="388"/>
      <c r="AL14" s="440">
        <f t="shared" si="7"/>
        <v>5.9746058588789244E-2</v>
      </c>
      <c r="AP14" s="64"/>
      <c r="AQ14" s="64"/>
      <c r="AR14" s="390"/>
    </row>
    <row r="15" spans="1:44" s="2" customFormat="1" ht="12.6">
      <c r="B15" s="6">
        <f>MAX(B$3:B14)+1</f>
        <v>4</v>
      </c>
      <c r="C15" s="58"/>
      <c r="D15" s="10" t="s">
        <v>130</v>
      </c>
      <c r="E15" s="6"/>
      <c r="F15" s="29">
        <v>68051.261389183273</v>
      </c>
      <c r="G15" s="29"/>
      <c r="H15" s="29">
        <f>'Sch. 18 pp.1- 3'!X15-'Sch. 18 pp.1- 3'!H15</f>
        <v>-120.61871235205854</v>
      </c>
      <c r="I15" s="29"/>
      <c r="J15" s="29">
        <f>'Sch. 18 pp.1- 3'!AB15-'Sch. 18 pp.1- 3'!J15</f>
        <v>-2.52904361874198</v>
      </c>
      <c r="K15" s="29"/>
      <c r="L15" s="29">
        <f>'Sch. 18 pp.1- 3'!AD15-'Sch. 18 pp.1- 3'!N15</f>
        <v>-18.499798799756547</v>
      </c>
      <c r="M15" s="29"/>
      <c r="N15" s="29">
        <f>'Sch. 18 pp.1- 3'!AF15-'Sch. 18 pp.1- 3'!P15</f>
        <v>228.54817521489213</v>
      </c>
      <c r="O15" s="29"/>
      <c r="P15" s="29">
        <f>'Sch. 18 pp.1- 3'!AH15-'Sch. 18 pp.1- 3'!R15</f>
        <v>-15.30234188721451</v>
      </c>
      <c r="Q15" s="434"/>
      <c r="R15" s="64">
        <f>'Sch. 18 pp.1- 3'!V15</f>
        <v>915.27430666779787</v>
      </c>
      <c r="S15" s="64"/>
      <c r="T15" s="64">
        <v>0</v>
      </c>
      <c r="V15" s="64">
        <f t="shared" si="6"/>
        <v>986.87258522491845</v>
      </c>
      <c r="X15" s="440">
        <f t="shared" si="0"/>
        <v>1.344977724120894E-2</v>
      </c>
      <c r="Y15" s="440"/>
      <c r="Z15" s="440">
        <f t="shared" si="1"/>
        <v>-1.7724684287958085E-3</v>
      </c>
      <c r="AA15" s="440"/>
      <c r="AB15" s="440">
        <f t="shared" si="2"/>
        <v>-3.7163802214898707E-5</v>
      </c>
      <c r="AC15" s="440"/>
      <c r="AD15" s="440">
        <f t="shared" si="3"/>
        <v>-2.718509315199422E-4</v>
      </c>
      <c r="AE15" s="440"/>
      <c r="AF15" s="440">
        <f t="shared" si="4"/>
        <v>3.3584708137565805E-3</v>
      </c>
      <c r="AG15" s="440"/>
      <c r="AH15" s="440">
        <f t="shared" si="5"/>
        <v>-2.2486492645155894E-4</v>
      </c>
      <c r="AI15" s="440"/>
      <c r="AJ15" s="64">
        <v>0</v>
      </c>
      <c r="AK15" s="388"/>
      <c r="AL15" s="440">
        <f t="shared" si="7"/>
        <v>1.4501899965983311E-2</v>
      </c>
      <c r="AP15" s="64"/>
      <c r="AQ15" s="64"/>
      <c r="AR15" s="390"/>
    </row>
    <row r="16" spans="1:44" s="2" customFormat="1" ht="12.6">
      <c r="B16" s="6">
        <f>MAX(B$3:B15)+1</f>
        <v>5</v>
      </c>
      <c r="C16" s="58"/>
      <c r="D16" s="10" t="s">
        <v>131</v>
      </c>
      <c r="E16" s="6"/>
      <c r="F16" s="29">
        <v>9493.6962365030449</v>
      </c>
      <c r="G16" s="29"/>
      <c r="H16" s="29">
        <f>'Sch. 18 pp.1- 3'!X16-'Sch. 18 pp.1- 3'!H16</f>
        <v>-388.31824212811625</v>
      </c>
      <c r="I16" s="29"/>
      <c r="J16" s="29">
        <f>'Sch. 18 pp.1- 3'!AB16-'Sch. 18 pp.1- 3'!J16</f>
        <v>-0.30481616292445324</v>
      </c>
      <c r="K16" s="29"/>
      <c r="L16" s="29">
        <f>'Sch. 18 pp.1- 3'!AD16-'Sch. 18 pp.1- 3'!N16</f>
        <v>-6.6130275584731848</v>
      </c>
      <c r="M16" s="29"/>
      <c r="N16" s="29">
        <f>'Sch. 18 pp.1- 3'!AF16-'Sch. 18 pp.1- 3'!P16</f>
        <v>78.918292905468661</v>
      </c>
      <c r="O16" s="29"/>
      <c r="P16" s="29">
        <f>'Sch. 18 pp.1- 3'!AH16-'Sch. 18 pp.1- 3'!R16</f>
        <v>-2.1704878889124615</v>
      </c>
      <c r="Q16" s="434"/>
      <c r="R16" s="64">
        <f>'Sch. 18 pp.1- 3'!V16</f>
        <v>148.28634155367303</v>
      </c>
      <c r="S16" s="64"/>
      <c r="T16" s="64">
        <v>0</v>
      </c>
      <c r="V16" s="64">
        <f t="shared" si="6"/>
        <v>-170.20193927928466</v>
      </c>
      <c r="X16" s="440">
        <f t="shared" si="0"/>
        <v>1.5619452935887651E-2</v>
      </c>
      <c r="Y16" s="440"/>
      <c r="Z16" s="440">
        <f t="shared" si="1"/>
        <v>-4.0902745617143459E-2</v>
      </c>
      <c r="AA16" s="440"/>
      <c r="AB16" s="440">
        <f t="shared" si="2"/>
        <v>-3.2107216760574458E-5</v>
      </c>
      <c r="AC16" s="440"/>
      <c r="AD16" s="440">
        <f t="shared" si="3"/>
        <v>-6.9657037614562017E-4</v>
      </c>
      <c r="AE16" s="440"/>
      <c r="AF16" s="440">
        <f t="shared" si="4"/>
        <v>8.3127046557514277E-3</v>
      </c>
      <c r="AG16" s="440"/>
      <c r="AH16" s="440">
        <f t="shared" si="5"/>
        <v>-2.2862411381638535E-4</v>
      </c>
      <c r="AI16" s="440"/>
      <c r="AJ16" s="64">
        <v>0</v>
      </c>
      <c r="AK16" s="388"/>
      <c r="AL16" s="440">
        <f t="shared" si="7"/>
        <v>-1.7927889732226959E-2</v>
      </c>
      <c r="AP16" s="64"/>
      <c r="AQ16" s="64"/>
      <c r="AR16" s="390"/>
    </row>
    <row r="17" spans="2:44" s="2" customFormat="1" ht="12.6">
      <c r="B17" s="6">
        <f>MAX(B$3:B16)+1</f>
        <v>6</v>
      </c>
      <c r="C17" s="58"/>
      <c r="D17" s="10" t="s">
        <v>132</v>
      </c>
      <c r="E17" s="6"/>
      <c r="F17" s="29">
        <v>13074.499676417412</v>
      </c>
      <c r="G17" s="29"/>
      <c r="H17" s="29">
        <f>'Sch. 18 pp.1- 3'!X17-'Sch. 18 pp.1- 3'!H17</f>
        <v>8.2347324207506745</v>
      </c>
      <c r="I17" s="29"/>
      <c r="J17" s="29">
        <f>'Sch. 18 pp.1- 3'!AB17-'Sch. 18 pp.1- 3'!J17</f>
        <v>0</v>
      </c>
      <c r="K17" s="29"/>
      <c r="L17" s="29">
        <f>'Sch. 18 pp.1- 3'!AD17-'Sch. 18 pp.1- 3'!N17</f>
        <v>0</v>
      </c>
      <c r="M17" s="29"/>
      <c r="N17" s="29">
        <f>'Sch. 18 pp.1- 3'!AF17-'Sch. 18 pp.1- 3'!P17</f>
        <v>129.58683590787916</v>
      </c>
      <c r="O17" s="29"/>
      <c r="P17" s="29">
        <f>'Sch. 18 pp.1- 3'!AH17-'Sch. 18 pp.1- 3'!R17</f>
        <v>0</v>
      </c>
      <c r="Q17" s="434"/>
      <c r="R17" s="64">
        <f>'Sch. 18 pp.1- 3'!V17</f>
        <v>336.6429161222913</v>
      </c>
      <c r="S17" s="64"/>
      <c r="T17" s="64">
        <v>0</v>
      </c>
      <c r="V17" s="64">
        <f t="shared" si="6"/>
        <v>474.46448445092113</v>
      </c>
      <c r="X17" s="440">
        <f t="shared" si="0"/>
        <v>2.5748053421080198E-2</v>
      </c>
      <c r="Y17" s="440"/>
      <c r="Z17" s="440">
        <f t="shared" si="1"/>
        <v>6.2983155184161523E-4</v>
      </c>
      <c r="AA17" s="440"/>
      <c r="AB17" s="440">
        <f t="shared" si="2"/>
        <v>0</v>
      </c>
      <c r="AC17" s="440"/>
      <c r="AD17" s="440">
        <f t="shared" si="3"/>
        <v>0</v>
      </c>
      <c r="AE17" s="440"/>
      <c r="AF17" s="440">
        <f t="shared" si="4"/>
        <v>9.9114183421959972E-3</v>
      </c>
      <c r="AG17" s="440"/>
      <c r="AH17" s="440">
        <f t="shared" si="5"/>
        <v>0</v>
      </c>
      <c r="AI17" s="440"/>
      <c r="AJ17" s="64">
        <v>0</v>
      </c>
      <c r="AK17" s="388"/>
      <c r="AL17" s="440">
        <f t="shared" si="7"/>
        <v>3.6289303315117809E-2</v>
      </c>
      <c r="AP17" s="64"/>
      <c r="AQ17" s="64"/>
      <c r="AR17" s="390"/>
    </row>
    <row r="18" spans="2:44" s="2" customFormat="1" ht="12.6">
      <c r="B18" s="6">
        <f>MAX(B$3:B17)+1</f>
        <v>7</v>
      </c>
      <c r="C18" s="58"/>
      <c r="D18" s="10" t="s">
        <v>133</v>
      </c>
      <c r="E18" s="6"/>
      <c r="F18" s="29">
        <v>2310.4304437860669</v>
      </c>
      <c r="G18" s="29"/>
      <c r="H18" s="29">
        <f>'Sch. 18 pp.1- 3'!X18-'Sch. 18 pp.1- 3'!H18</f>
        <v>707.55397371796948</v>
      </c>
      <c r="I18" s="29"/>
      <c r="J18" s="29">
        <f>'Sch. 18 pp.1- 3'!AB18-'Sch. 18 pp.1- 3'!J18</f>
        <v>0</v>
      </c>
      <c r="K18" s="29"/>
      <c r="L18" s="29">
        <f>'Sch. 18 pp.1- 3'!AD18-'Sch. 18 pp.1- 3'!N18</f>
        <v>-0.9116978461266676</v>
      </c>
      <c r="M18" s="29"/>
      <c r="N18" s="29">
        <f>'Sch. 18 pp.1- 3'!AF18-'Sch. 18 pp.1- 3'!P18</f>
        <v>10.728016607907875</v>
      </c>
      <c r="O18" s="29"/>
      <c r="P18" s="29">
        <f>'Sch. 18 pp.1- 3'!AH18-'Sch. 18 pp.1- 3'!R18</f>
        <v>0</v>
      </c>
      <c r="Q18" s="434"/>
      <c r="R18" s="64">
        <f>'Sch. 18 pp.1- 3'!V18</f>
        <v>32.480982269796861</v>
      </c>
      <c r="S18" s="64"/>
      <c r="T18" s="64">
        <v>0</v>
      </c>
      <c r="V18" s="64">
        <f t="shared" si="6"/>
        <v>749.85127474954754</v>
      </c>
      <c r="X18" s="440">
        <f t="shared" si="0"/>
        <v>1.405841165102152E-2</v>
      </c>
      <c r="Y18" s="440"/>
      <c r="Z18" s="440">
        <f t="shared" si="1"/>
        <v>0.30624335634987204</v>
      </c>
      <c r="AA18" s="440"/>
      <c r="AB18" s="440">
        <f t="shared" si="2"/>
        <v>0</v>
      </c>
      <c r="AC18" s="440"/>
      <c r="AD18" s="440">
        <f t="shared" si="3"/>
        <v>-3.9460086261358397E-4</v>
      </c>
      <c r="AE18" s="440"/>
      <c r="AF18" s="440">
        <f t="shared" si="4"/>
        <v>4.6432978048575393E-3</v>
      </c>
      <c r="AG18" s="440"/>
      <c r="AH18" s="440">
        <f t="shared" si="5"/>
        <v>0</v>
      </c>
      <c r="AI18" s="440"/>
      <c r="AJ18" s="64">
        <v>0</v>
      </c>
      <c r="AK18" s="388"/>
      <c r="AL18" s="440">
        <f t="shared" si="7"/>
        <v>0.32455046494313755</v>
      </c>
      <c r="AP18" s="64"/>
      <c r="AQ18" s="64"/>
      <c r="AR18" s="390"/>
    </row>
    <row r="19" spans="2:44" s="2" customFormat="1" ht="12.6">
      <c r="B19" s="6">
        <f>MAX(B$3:B18)+1</f>
        <v>8</v>
      </c>
      <c r="C19" s="58"/>
      <c r="D19" s="10" t="s">
        <v>134</v>
      </c>
      <c r="E19" s="6"/>
      <c r="F19" s="29">
        <v>1802.0488245146307</v>
      </c>
      <c r="G19" s="29"/>
      <c r="H19" s="29">
        <f>'Sch. 18 pp.1- 3'!X19-'Sch. 18 pp.1- 3'!H19</f>
        <v>-887.74568012094335</v>
      </c>
      <c r="I19" s="29"/>
      <c r="J19" s="29">
        <f>'Sch. 18 pp.1- 3'!AB19-'Sch. 18 pp.1- 3'!J19</f>
        <v>-8.2766244226228025E-2</v>
      </c>
      <c r="K19" s="29"/>
      <c r="L19" s="29">
        <f>'Sch. 18 pp.1- 3'!AD19-'Sch. 18 pp.1- 3'!N19</f>
        <v>-0.27211898364148546</v>
      </c>
      <c r="M19" s="29"/>
      <c r="N19" s="29">
        <f>'Sch. 18 pp.1- 3'!AF19-'Sch. 18 pp.1- 3'!P19</f>
        <v>3.5425876411774126</v>
      </c>
      <c r="O19" s="29"/>
      <c r="P19" s="29">
        <f>'Sch. 18 pp.1- 3'!AH19-'Sch. 18 pp.1- 3'!R19</f>
        <v>-0.47985925286487863</v>
      </c>
      <c r="Q19" s="434"/>
      <c r="R19" s="64">
        <f>'Sch. 18 pp.1- 3'!V19</f>
        <v>19.075297531052627</v>
      </c>
      <c r="S19" s="64"/>
      <c r="T19" s="64">
        <v>321.49455207553819</v>
      </c>
      <c r="V19" s="64">
        <f t="shared" si="6"/>
        <v>-544.4679873539078</v>
      </c>
      <c r="X19" s="440">
        <f t="shared" si="0"/>
        <v>1.058533890511564E-2</v>
      </c>
      <c r="Y19" s="440"/>
      <c r="Z19" s="440">
        <f t="shared" si="1"/>
        <v>-0.49263131389353532</v>
      </c>
      <c r="AA19" s="440"/>
      <c r="AB19" s="440">
        <f t="shared" si="2"/>
        <v>-4.5928968793906308E-5</v>
      </c>
      <c r="AC19" s="440"/>
      <c r="AD19" s="440">
        <f t="shared" si="3"/>
        <v>-1.510053334513724E-4</v>
      </c>
      <c r="AE19" s="440"/>
      <c r="AF19" s="440">
        <f t="shared" si="4"/>
        <v>1.9658666252461744E-3</v>
      </c>
      <c r="AG19" s="440"/>
      <c r="AH19" s="440">
        <f t="shared" si="5"/>
        <v>-2.6628537825223764E-4</v>
      </c>
      <c r="AI19" s="440"/>
      <c r="AJ19" s="440">
        <f>T19/F19</f>
        <v>0.17840501750119367</v>
      </c>
      <c r="AK19" s="388"/>
      <c r="AL19" s="440">
        <f t="shared" si="7"/>
        <v>-0.30213831054247731</v>
      </c>
      <c r="AP19" s="64"/>
      <c r="AQ19" s="64"/>
      <c r="AR19" s="390"/>
    </row>
    <row r="20" spans="2:44" s="2" customFormat="1" ht="12.6">
      <c r="B20" s="6">
        <f>MAX(B$3:B19)+1</f>
        <v>9</v>
      </c>
      <c r="C20" s="58"/>
      <c r="D20" s="10" t="s">
        <v>135</v>
      </c>
      <c r="E20" s="6"/>
      <c r="F20" s="29">
        <v>2264.6184227117315</v>
      </c>
      <c r="G20" s="29"/>
      <c r="H20" s="29">
        <f>'Sch. 18 pp.1- 3'!X20-'Sch. 18 pp.1- 3'!H20</f>
        <v>-2000.6891402187907</v>
      </c>
      <c r="I20" s="29"/>
      <c r="J20" s="29">
        <f>'Sch. 18 pp.1- 3'!AB20-'Sch. 18 pp.1- 3'!J20</f>
        <v>-0.74716259772873173</v>
      </c>
      <c r="K20" s="29"/>
      <c r="L20" s="29">
        <f>'Sch. 18 pp.1- 3'!AD20-'Sch. 18 pp.1- 3'!N20</f>
        <v>-5.5978979261283044</v>
      </c>
      <c r="M20" s="29"/>
      <c r="N20" s="29">
        <f>'Sch. 18 pp.1- 3'!AF20-'Sch. 18 pp.1- 3'!P20</f>
        <v>69.011308246359476</v>
      </c>
      <c r="O20" s="29"/>
      <c r="P20" s="29">
        <f>'Sch. 18 pp.1- 3'!AH20-'Sch. 18 pp.1- 3'!R20</f>
        <v>-4.4251713715177488</v>
      </c>
      <c r="Q20" s="434"/>
      <c r="R20" s="64">
        <f>'Sch. 18 pp.1- 3'!V20</f>
        <v>64.40933208458307</v>
      </c>
      <c r="S20" s="64"/>
      <c r="T20" s="64">
        <v>1720.9025335268348</v>
      </c>
      <c r="V20" s="64">
        <f t="shared" si="6"/>
        <v>-157.13619825638807</v>
      </c>
      <c r="X20" s="440">
        <f t="shared" si="0"/>
        <v>2.8441582669568297E-2</v>
      </c>
      <c r="Y20" s="440"/>
      <c r="Z20" s="440">
        <f t="shared" si="1"/>
        <v>-0.88345529655415289</v>
      </c>
      <c r="AA20" s="440"/>
      <c r="AB20" s="440">
        <f t="shared" si="2"/>
        <v>-3.2992869360925434E-4</v>
      </c>
      <c r="AC20" s="440"/>
      <c r="AD20" s="440">
        <f t="shared" si="3"/>
        <v>-2.4718945452299156E-3</v>
      </c>
      <c r="AE20" s="440"/>
      <c r="AF20" s="440">
        <f t="shared" si="4"/>
        <v>3.0473702569160849E-2</v>
      </c>
      <c r="AG20" s="440"/>
      <c r="AH20" s="440">
        <f t="shared" si="5"/>
        <v>-1.9540472368934003E-3</v>
      </c>
      <c r="AI20" s="440"/>
      <c r="AJ20" s="440">
        <f>T20/F20</f>
        <v>0.75990838733271771</v>
      </c>
      <c r="AK20" s="388"/>
      <c r="AL20" s="440">
        <f t="shared" si="7"/>
        <v>-6.9387494458438614E-2</v>
      </c>
      <c r="AP20" s="64"/>
      <c r="AQ20" s="64"/>
      <c r="AR20" s="390"/>
    </row>
    <row r="21" spans="2:44" s="2" customFormat="1" ht="12.6">
      <c r="B21" s="6">
        <f>MAX(B$3:B20)+1</f>
        <v>10</v>
      </c>
      <c r="C21" s="58"/>
      <c r="D21" s="10" t="s">
        <v>136</v>
      </c>
      <c r="E21" s="6"/>
      <c r="F21" s="29">
        <v>38608.05887712157</v>
      </c>
      <c r="G21" s="29"/>
      <c r="H21" s="29">
        <f>'Sch. 18 pp.1- 3'!X21-'Sch. 18 pp.1- 3'!H21</f>
        <v>1.5067305098483317</v>
      </c>
      <c r="I21" s="29"/>
      <c r="J21" s="29">
        <f>'Sch. 18 pp.1- 3'!AB21-'Sch. 18 pp.1- 3'!J21</f>
        <v>-1.9049678301893209</v>
      </c>
      <c r="K21" s="29"/>
      <c r="L21" s="29">
        <f>'Sch. 18 pp.1- 3'!AD21-'Sch. 18 pp.1- 3'!N21</f>
        <v>-3.2704179019861925</v>
      </c>
      <c r="M21" s="29"/>
      <c r="N21" s="29">
        <f>'Sch. 18 pp.1- 3'!AF21-'Sch. 18 pp.1- 3'!P21</f>
        <v>46.441828441621169</v>
      </c>
      <c r="O21" s="29"/>
      <c r="P21" s="29">
        <f>'Sch. 18 pp.1- 3'!AH21-'Sch. 18 pp.1- 3'!R21</f>
        <v>-16.124898100377862</v>
      </c>
      <c r="Q21" s="434"/>
      <c r="R21" s="64">
        <f>'Sch. 18 pp.1- 3'!V21</f>
        <v>125.58425175365656</v>
      </c>
      <c r="S21" s="64"/>
      <c r="T21" s="64">
        <v>0</v>
      </c>
      <c r="V21" s="64">
        <f t="shared" si="6"/>
        <v>152.23252687257269</v>
      </c>
      <c r="X21" s="440">
        <f t="shared" si="0"/>
        <v>3.2527989079522333E-3</v>
      </c>
      <c r="Y21" s="440"/>
      <c r="Z21" s="440">
        <f>H21/F21</f>
        <v>3.9026321282917244E-5</v>
      </c>
      <c r="AA21" s="440"/>
      <c r="AB21" s="440">
        <f t="shared" si="2"/>
        <v>-4.9341196775841275E-5</v>
      </c>
      <c r="AC21" s="440"/>
      <c r="AD21" s="440">
        <f t="shared" si="3"/>
        <v>-8.4708167079702168E-5</v>
      </c>
      <c r="AE21" s="440"/>
      <c r="AF21" s="440">
        <f t="shared" si="4"/>
        <v>1.2029050356929948E-3</v>
      </c>
      <c r="AG21" s="440"/>
      <c r="AH21" s="440">
        <f t="shared" si="5"/>
        <v>-4.176562761598248E-4</v>
      </c>
      <c r="AI21" s="440"/>
      <c r="AJ21" s="64">
        <v>0</v>
      </c>
      <c r="AK21" s="388"/>
      <c r="AL21" s="440">
        <f t="shared" si="7"/>
        <v>3.9430246249127767E-3</v>
      </c>
      <c r="AP21" s="64"/>
      <c r="AQ21" s="64"/>
      <c r="AR21" s="390"/>
    </row>
    <row r="22" spans="2:44" s="2" customFormat="1" ht="12.95">
      <c r="B22" s="6">
        <f>MAX(B$3:B21)+1</f>
        <v>11</v>
      </c>
      <c r="C22" s="58"/>
      <c r="D22" s="10" t="s">
        <v>137</v>
      </c>
      <c r="E22" s="6"/>
      <c r="F22" s="29">
        <v>0</v>
      </c>
      <c r="G22" s="29"/>
      <c r="H22" s="130"/>
      <c r="I22" s="29"/>
      <c r="J22" s="29">
        <f>'Sch. 18 pp.1- 3'!AB22-'Sch. 18 pp.1- 3'!J22</f>
        <v>0</v>
      </c>
      <c r="K22" s="29"/>
      <c r="L22" s="29">
        <f>'Sch. 18 pp.1- 3'!AD22-'Sch. 18 pp.1- 3'!N22</f>
        <v>0</v>
      </c>
      <c r="M22" s="29"/>
      <c r="N22" s="29">
        <f>'Sch. 18 pp.1- 3'!AF22-'Sch. 18 pp.1- 3'!P22</f>
        <v>0</v>
      </c>
      <c r="O22" s="29"/>
      <c r="P22" s="29">
        <f>'Sch. 18 pp.1- 3'!AH22-'Sch. 18 pp.1- 3'!R22</f>
        <v>0</v>
      </c>
      <c r="Q22" s="141"/>
      <c r="R22" s="64">
        <f>'Sch. 18 pp.1- 3'!V22</f>
        <v>0</v>
      </c>
      <c r="S22" s="64"/>
      <c r="T22" s="64">
        <v>0</v>
      </c>
      <c r="V22" s="64">
        <f t="shared" si="6"/>
        <v>0</v>
      </c>
      <c r="X22" s="440">
        <v>0</v>
      </c>
      <c r="Y22" s="440"/>
      <c r="Z22" s="440">
        <v>0</v>
      </c>
      <c r="AA22" s="440"/>
      <c r="AB22" s="440">
        <v>0</v>
      </c>
      <c r="AC22" s="440"/>
      <c r="AD22" s="440">
        <v>0</v>
      </c>
      <c r="AE22" s="440"/>
      <c r="AF22" s="440">
        <v>0</v>
      </c>
      <c r="AG22" s="440"/>
      <c r="AH22" s="440">
        <v>0</v>
      </c>
      <c r="AI22" s="440"/>
      <c r="AJ22" s="64">
        <v>0</v>
      </c>
      <c r="AK22" s="388"/>
      <c r="AL22" s="440">
        <f t="shared" ref="AL22" si="8">SUM(X22:AH22)</f>
        <v>0</v>
      </c>
      <c r="AP22" s="64"/>
      <c r="AQ22" s="64"/>
      <c r="AR22" s="390"/>
    </row>
    <row r="23" spans="2:44" s="2" customFormat="1" ht="12.6">
      <c r="B23" s="6">
        <f>MAX(B$3:B22)+1</f>
        <v>12</v>
      </c>
      <c r="C23" s="58"/>
      <c r="D23" s="2" t="s">
        <v>138</v>
      </c>
      <c r="E23" s="6"/>
      <c r="F23" s="131">
        <f>SUM(F12:F22)</f>
        <v>3542241.2033669222</v>
      </c>
      <c r="G23" s="132"/>
      <c r="H23" s="131">
        <f>SUM(H12:H22)</f>
        <v>29772.463497125787</v>
      </c>
      <c r="I23" s="132"/>
      <c r="J23" s="131">
        <f>SUM(J12:J22)</f>
        <v>-109.43887939700065</v>
      </c>
      <c r="K23" s="132"/>
      <c r="L23" s="131">
        <f>SUM(L12:L22)</f>
        <v>-205.53749213670949</v>
      </c>
      <c r="M23" s="132"/>
      <c r="N23" s="131">
        <f>SUM(N12:N22)</f>
        <v>3003.1041047610011</v>
      </c>
      <c r="O23" s="132"/>
      <c r="P23" s="131">
        <f>SUM(P12:P22)</f>
        <v>-1199.6707231480493</v>
      </c>
      <c r="Q23" s="63"/>
      <c r="R23" s="131">
        <f>SUM(R12:R22)</f>
        <v>39548.457903256378</v>
      </c>
      <c r="S23" s="132"/>
      <c r="T23" s="131">
        <f>SUM(T12:T22)</f>
        <v>2042.397085602373</v>
      </c>
      <c r="V23" s="407">
        <f t="shared" si="6"/>
        <v>72851.775496063769</v>
      </c>
      <c r="X23" s="395">
        <f>(R23/F23)</f>
        <v>1.1164812228389564E-2</v>
      </c>
      <c r="Y23" s="129"/>
      <c r="Z23" s="391">
        <f>H23/F23</f>
        <v>8.4049791608846042E-3</v>
      </c>
      <c r="AA23" s="389"/>
      <c r="AB23" s="391">
        <f>J23/F23</f>
        <v>-3.0895377562933407E-5</v>
      </c>
      <c r="AC23" s="389"/>
      <c r="AD23" s="391">
        <f>L23/F23</f>
        <v>-5.8024702536164062E-5</v>
      </c>
      <c r="AE23" s="389"/>
      <c r="AF23" s="391">
        <f>N23/F23</f>
        <v>8.4779774508481575E-4</v>
      </c>
      <c r="AG23" s="389"/>
      <c r="AH23" s="391">
        <f>P23/F23</f>
        <v>-3.3867561644524796E-4</v>
      </c>
      <c r="AI23" s="392"/>
      <c r="AJ23" s="441">
        <f>T23/F23</f>
        <v>5.7658328960237429E-4</v>
      </c>
      <c r="AK23" s="392"/>
      <c r="AL23" s="441">
        <f t="shared" si="7"/>
        <v>2.0566576727417012E-2</v>
      </c>
      <c r="AO23" s="387"/>
      <c r="AP23" s="64"/>
      <c r="AQ23" s="64"/>
      <c r="AR23" s="390"/>
    </row>
    <row r="24" spans="2:44" s="2" customFormat="1" ht="12.95">
      <c r="B24" s="6"/>
      <c r="C24" s="58"/>
      <c r="D24" s="58"/>
      <c r="E24" s="6"/>
      <c r="F24" s="133"/>
      <c r="G24" s="133"/>
      <c r="H24" s="132"/>
      <c r="I24" s="133"/>
      <c r="J24" s="133"/>
      <c r="K24" s="133"/>
      <c r="L24" s="132"/>
      <c r="M24" s="133"/>
      <c r="N24" s="133"/>
      <c r="O24" s="133"/>
      <c r="P24" s="435"/>
      <c r="Q24" s="63"/>
      <c r="R24" s="6"/>
      <c r="S24" s="6"/>
      <c r="T24" s="6"/>
      <c r="V24" s="64"/>
      <c r="X24" s="129"/>
      <c r="Y24" s="129"/>
      <c r="Z24" s="129"/>
      <c r="AA24" s="129"/>
      <c r="AB24" s="129"/>
      <c r="AC24" s="129"/>
      <c r="AD24" s="129"/>
      <c r="AE24" s="129"/>
    </row>
    <row r="25" spans="2:44" s="2" customFormat="1" ht="12.95">
      <c r="B25" s="6"/>
      <c r="C25" s="58"/>
      <c r="D25" s="9" t="s">
        <v>139</v>
      </c>
      <c r="E25" s="6"/>
      <c r="F25" s="133"/>
      <c r="G25" s="133"/>
      <c r="H25" s="132"/>
      <c r="I25" s="133"/>
      <c r="J25" s="133"/>
      <c r="K25" s="133"/>
      <c r="L25" s="132"/>
      <c r="M25" s="133"/>
      <c r="N25" s="133"/>
      <c r="O25" s="133"/>
      <c r="P25" s="62"/>
      <c r="Q25" s="63"/>
      <c r="R25" s="6"/>
      <c r="S25" s="6"/>
      <c r="T25" s="6"/>
      <c r="V25" s="64"/>
      <c r="X25" s="129"/>
      <c r="Y25" s="129"/>
      <c r="Z25" s="129"/>
      <c r="AA25" s="129"/>
      <c r="AB25" s="129"/>
      <c r="AC25" s="129"/>
      <c r="AD25" s="129"/>
      <c r="AE25" s="129"/>
    </row>
    <row r="26" spans="2:44" s="2" customFormat="1" ht="12.6">
      <c r="B26" s="6">
        <f>MAX(B$3:B25)+1</f>
        <v>13</v>
      </c>
      <c r="C26" s="58"/>
      <c r="D26" s="10" t="s">
        <v>140</v>
      </c>
      <c r="E26" s="6"/>
      <c r="F26" s="29">
        <v>469533.79413068452</v>
      </c>
      <c r="G26" s="29"/>
      <c r="H26" s="29">
        <f>'Sch. 18 pp.1- 3'!X26-'Sch. 18 pp.1- 3'!H26</f>
        <v>6220.3570731690179</v>
      </c>
      <c r="I26" s="29"/>
      <c r="J26" s="29">
        <f>'Sch. 18 pp.1- 3'!AB26-'Sch. 18 pp.1- 3'!J26</f>
        <v>-77.646268899000916</v>
      </c>
      <c r="K26" s="29"/>
      <c r="L26" s="29">
        <f>'Sch. 18 pp.1- 3'!AD26-'Sch. 18 pp.1- 3'!N26</f>
        <v>-39.704848028485003</v>
      </c>
      <c r="M26" s="29"/>
      <c r="N26" s="29">
        <f>'Sch. 18 pp.1- 3'!AF26-'Sch. 18 pp.1- 3'!P26</f>
        <v>95.916056076444079</v>
      </c>
      <c r="O26" s="29"/>
      <c r="P26" s="29">
        <f>'Sch. 18 pp.1- 3'!AH26-'Sch. 18 pp.1- 3'!R26</f>
        <v>2.090916289474535</v>
      </c>
      <c r="Q26" s="434"/>
      <c r="R26" s="64">
        <f>'Sch. 18 pp.1- 3'!V26</f>
        <v>5911.3926920209406</v>
      </c>
      <c r="S26" s="64"/>
      <c r="T26" s="64">
        <v>0</v>
      </c>
      <c r="V26" s="64">
        <f t="shared" ref="V26:V43" si="9">H26+J26+L26+N26+P26+R26</f>
        <v>12112.405620628389</v>
      </c>
      <c r="X26" s="440">
        <f t="shared" ref="X26:X31" si="10">R26/F26</f>
        <v>1.2589919545547414E-2</v>
      </c>
      <c r="Y26" s="440"/>
      <c r="Z26" s="440">
        <f t="shared" ref="Z26:Z31" si="11">H26/F26</f>
        <v>1.3247943281027642E-2</v>
      </c>
      <c r="AA26" s="440"/>
      <c r="AB26" s="440">
        <f t="shared" ref="AB26:AB31" si="12">J26/F26</f>
        <v>-1.6536886134630336E-4</v>
      </c>
      <c r="AC26" s="440"/>
      <c r="AD26" s="440">
        <f t="shared" ref="AD26:AD31" si="13">L26/F26</f>
        <v>-8.4562279701286039E-5</v>
      </c>
      <c r="AE26" s="440"/>
      <c r="AF26" s="440">
        <f t="shared" ref="AF26:AF31" si="14">N26/F26</f>
        <v>2.0427934533237863E-4</v>
      </c>
      <c r="AG26" s="440"/>
      <c r="AH26" s="440">
        <f t="shared" ref="AH26:AH31" si="15">P26/F26</f>
        <v>4.4531752892158685E-6</v>
      </c>
      <c r="AI26" s="440"/>
      <c r="AJ26" s="64">
        <v>0</v>
      </c>
      <c r="AK26" s="388"/>
      <c r="AL26" s="440">
        <f t="shared" ref="AL26:AL30" si="16">SUM(X26:AJ26)</f>
        <v>2.579666420614906E-2</v>
      </c>
      <c r="AP26" s="64"/>
      <c r="AQ26" s="64"/>
      <c r="AR26" s="390"/>
    </row>
    <row r="27" spans="2:44" s="2" customFormat="1" ht="12.6">
      <c r="B27" s="6">
        <f>MAX(B$3:B26)+1</f>
        <v>14</v>
      </c>
      <c r="C27" s="58"/>
      <c r="D27" s="10" t="s">
        <v>141</v>
      </c>
      <c r="E27" s="6"/>
      <c r="F27" s="29">
        <v>85101.25513030446</v>
      </c>
      <c r="G27" s="29"/>
      <c r="H27" s="29">
        <f>'Sch. 18 pp.1- 3'!X27-'Sch. 18 pp.1- 3'!H27</f>
        <v>-1461.7858158785577</v>
      </c>
      <c r="I27" s="29"/>
      <c r="J27" s="29">
        <f>'Sch. 18 pp.1- 3'!AB27-'Sch. 18 pp.1- 3'!J27</f>
        <v>-20.359556545592568</v>
      </c>
      <c r="K27" s="29"/>
      <c r="L27" s="29">
        <f>'Sch. 18 pp.1- 3'!AD27-'Sch. 18 pp.1- 3'!N27</f>
        <v>-3.4235501223687308</v>
      </c>
      <c r="M27" s="29"/>
      <c r="N27" s="29">
        <f>'Sch. 18 pp.1- 3'!AF27-'Sch. 18 pp.1- 3'!P27</f>
        <v>29.325283927959219</v>
      </c>
      <c r="O27" s="29"/>
      <c r="P27" s="29">
        <f>'Sch. 18 pp.1- 3'!AH27-'Sch. 18 pp.1- 3'!R27</f>
        <v>0.65209340752880962</v>
      </c>
      <c r="Q27" s="434"/>
      <c r="R27" s="64">
        <f>'Sch. 18 pp.1- 3'!V27</f>
        <v>761.42110909944176</v>
      </c>
      <c r="S27" s="64"/>
      <c r="T27" s="64">
        <v>0</v>
      </c>
      <c r="V27" s="64">
        <f t="shared" si="9"/>
        <v>-694.1704361115892</v>
      </c>
      <c r="X27" s="440">
        <f t="shared" si="10"/>
        <v>8.9472371228083158E-3</v>
      </c>
      <c r="Y27" s="440"/>
      <c r="Z27" s="440">
        <f t="shared" si="11"/>
        <v>-1.7177018290039502E-2</v>
      </c>
      <c r="AA27" s="440"/>
      <c r="AB27" s="440">
        <f t="shared" si="12"/>
        <v>-2.3923920410361319E-4</v>
      </c>
      <c r="AC27" s="440"/>
      <c r="AD27" s="440">
        <f t="shared" si="13"/>
        <v>-4.0229137832652346E-5</v>
      </c>
      <c r="AE27" s="440"/>
      <c r="AF27" s="440">
        <f t="shared" si="14"/>
        <v>3.4459284863727608E-4</v>
      </c>
      <c r="AG27" s="440"/>
      <c r="AH27" s="440">
        <f t="shared" si="15"/>
        <v>7.6625592246594241E-6</v>
      </c>
      <c r="AI27" s="440"/>
      <c r="AJ27" s="64">
        <v>0</v>
      </c>
      <c r="AK27" s="388"/>
      <c r="AL27" s="440">
        <f t="shared" si="16"/>
        <v>-8.1569941013055151E-3</v>
      </c>
      <c r="AP27" s="64"/>
      <c r="AQ27" s="64"/>
      <c r="AR27" s="390"/>
    </row>
    <row r="28" spans="2:44" s="2" customFormat="1" ht="12.6">
      <c r="B28" s="6">
        <f>MAX(B$3:B27)+1</f>
        <v>15</v>
      </c>
      <c r="C28" s="58"/>
      <c r="D28" s="10" t="s">
        <v>142</v>
      </c>
      <c r="E28" s="6"/>
      <c r="F28" s="29">
        <v>40514.07925320814</v>
      </c>
      <c r="G28" s="29"/>
      <c r="H28" s="29">
        <f>'Sch. 18 pp.1- 3'!X28-'Sch. 18 pp.1- 3'!H28</f>
        <v>-611.26791391758366</v>
      </c>
      <c r="I28" s="29"/>
      <c r="J28" s="29">
        <f>'Sch. 18 pp.1- 3'!AB28-'Sch. 18 pp.1- 3'!J28</f>
        <v>-5.4584288697375314</v>
      </c>
      <c r="K28" s="29"/>
      <c r="L28" s="29">
        <f>'Sch. 18 pp.1- 3'!AD28-'Sch. 18 pp.1- 3'!N28</f>
        <v>-4.2117765504567899</v>
      </c>
      <c r="M28" s="29"/>
      <c r="N28" s="29">
        <f>'Sch. 18 pp.1- 3'!AF28-'Sch. 18 pp.1- 3'!P28</f>
        <v>9.2936627076618166</v>
      </c>
      <c r="O28" s="29"/>
      <c r="P28" s="29">
        <f>'Sch. 18 pp.1- 3'!AH28-'Sch. 18 pp.1- 3'!R28</f>
        <v>0.18797345920910402</v>
      </c>
      <c r="Q28" s="434"/>
      <c r="R28" s="64">
        <f>'Sch. 18 pp.1- 3'!V28</f>
        <v>784.45758025658404</v>
      </c>
      <c r="S28" s="64"/>
      <c r="T28" s="64">
        <v>0</v>
      </c>
      <c r="V28" s="64">
        <f t="shared" si="9"/>
        <v>173.00109708567709</v>
      </c>
      <c r="X28" s="440">
        <f t="shared" si="10"/>
        <v>1.9362591837613245E-2</v>
      </c>
      <c r="Y28" s="440"/>
      <c r="Z28" s="440">
        <f t="shared" si="11"/>
        <v>-1.5087789854416596E-2</v>
      </c>
      <c r="AA28" s="440"/>
      <c r="AB28" s="440">
        <f t="shared" si="12"/>
        <v>-1.3472918477606279E-4</v>
      </c>
      <c r="AC28" s="440"/>
      <c r="AD28" s="440">
        <f t="shared" si="13"/>
        <v>-1.039583430770743E-4</v>
      </c>
      <c r="AE28" s="440"/>
      <c r="AF28" s="440">
        <f t="shared" si="14"/>
        <v>2.2939340789599434E-4</v>
      </c>
      <c r="AG28" s="440"/>
      <c r="AH28" s="440">
        <f t="shared" si="15"/>
        <v>4.6397070518199966E-6</v>
      </c>
      <c r="AI28" s="440"/>
      <c r="AJ28" s="64">
        <v>0</v>
      </c>
      <c r="AK28" s="388"/>
      <c r="AL28" s="440">
        <f t="shared" si="16"/>
        <v>4.2701475702913265E-3</v>
      </c>
      <c r="AP28" s="64"/>
      <c r="AQ28" s="64"/>
      <c r="AR28" s="390"/>
    </row>
    <row r="29" spans="2:44" s="2" customFormat="1" ht="12.6">
      <c r="B29" s="6">
        <f>MAX(B$3:B28)+1</f>
        <v>16</v>
      </c>
      <c r="C29" s="58"/>
      <c r="D29" s="10" t="s">
        <v>143</v>
      </c>
      <c r="E29" s="6"/>
      <c r="F29" s="29">
        <v>6183.5873631430495</v>
      </c>
      <c r="G29" s="29"/>
      <c r="H29" s="29">
        <f>'Sch. 18 pp.1- 3'!X29-'Sch. 18 pp.1- 3'!H29</f>
        <v>38.816478207024439</v>
      </c>
      <c r="I29" s="29"/>
      <c r="J29" s="29">
        <f>'Sch. 18 pp.1- 3'!AB29-'Sch. 18 pp.1- 3'!J29</f>
        <v>0</v>
      </c>
      <c r="K29" s="29"/>
      <c r="L29" s="29">
        <f>'Sch. 18 pp.1- 3'!AD29-'Sch. 18 pp.1- 3'!N29</f>
        <v>-0.92296812561982833</v>
      </c>
      <c r="M29" s="29"/>
      <c r="N29" s="29">
        <f>'Sch. 18 pp.1- 3'!AF29-'Sch. 18 pp.1- 3'!P29</f>
        <v>0</v>
      </c>
      <c r="O29" s="29"/>
      <c r="P29" s="29">
        <f>'Sch. 18 pp.1- 3'!AH29-'Sch. 18 pp.1- 3'!R29</f>
        <v>0</v>
      </c>
      <c r="Q29" s="434"/>
      <c r="R29" s="64">
        <f>'Sch. 18 pp.1- 3'!V29</f>
        <v>131.83600304221787</v>
      </c>
      <c r="S29" s="64"/>
      <c r="T29" s="64">
        <v>0</v>
      </c>
      <c r="V29" s="64">
        <f t="shared" si="9"/>
        <v>169.7295131236225</v>
      </c>
      <c r="X29" s="440">
        <f t="shared" si="10"/>
        <v>2.1320310573764916E-2</v>
      </c>
      <c r="Y29" s="440"/>
      <c r="Z29" s="440">
        <f t="shared" si="11"/>
        <v>6.2773396618260842E-3</v>
      </c>
      <c r="AA29" s="440"/>
      <c r="AB29" s="440">
        <f t="shared" si="12"/>
        <v>0</v>
      </c>
      <c r="AC29" s="440"/>
      <c r="AD29" s="440">
        <f t="shared" si="13"/>
        <v>-1.4926095022464335E-4</v>
      </c>
      <c r="AE29" s="440"/>
      <c r="AF29" s="440">
        <f t="shared" si="14"/>
        <v>0</v>
      </c>
      <c r="AG29" s="440"/>
      <c r="AH29" s="440">
        <f t="shared" si="15"/>
        <v>0</v>
      </c>
      <c r="AI29" s="440"/>
      <c r="AJ29" s="64">
        <v>0</v>
      </c>
      <c r="AK29" s="388"/>
      <c r="AL29" s="440">
        <f t="shared" si="16"/>
        <v>2.7448389285366356E-2</v>
      </c>
      <c r="AP29" s="64"/>
      <c r="AQ29" s="64"/>
      <c r="AR29" s="390"/>
    </row>
    <row r="30" spans="2:44" s="2" customFormat="1" ht="12.6">
      <c r="B30" s="6">
        <f>MAX(B$3:B29)+1</f>
        <v>17</v>
      </c>
      <c r="C30" s="58"/>
      <c r="D30" s="10" t="s">
        <v>129</v>
      </c>
      <c r="E30" s="6"/>
      <c r="F30" s="29">
        <v>11827.382435304869</v>
      </c>
      <c r="G30" s="29"/>
      <c r="H30" s="29">
        <f>'Sch. 18 pp.1- 3'!X30-'Sch. 18 pp.1- 3'!H30</f>
        <v>-319.46119339458187</v>
      </c>
      <c r="I30" s="29"/>
      <c r="J30" s="29">
        <f>'Sch. 18 pp.1- 3'!AB30-'Sch. 18 pp.1- 3'!J30</f>
        <v>-0.38146514119545749</v>
      </c>
      <c r="K30" s="29"/>
      <c r="L30" s="29">
        <f>'Sch. 18 pp.1- 3'!AD30-'Sch. 18 pp.1- 3'!N30</f>
        <v>-1.4525595295078304</v>
      </c>
      <c r="M30" s="29"/>
      <c r="N30" s="29">
        <f>'Sch. 18 pp.1- 3'!AF30-'Sch. 18 pp.1- 3'!P30</f>
        <v>0</v>
      </c>
      <c r="O30" s="29"/>
      <c r="P30" s="29">
        <f>'Sch. 18 pp.1- 3'!AH30-'Sch. 18 pp.1- 3'!R30</f>
        <v>0</v>
      </c>
      <c r="Q30" s="434"/>
      <c r="R30" s="64">
        <f>'Sch. 18 pp.1- 3'!V30</f>
        <v>288.70556933791829</v>
      </c>
      <c r="S30" s="64"/>
      <c r="T30" s="64">
        <v>0</v>
      </c>
      <c r="V30" s="64">
        <f t="shared" si="9"/>
        <v>-32.589648727366864</v>
      </c>
      <c r="X30" s="440">
        <f t="shared" si="10"/>
        <v>2.4409929324355737E-2</v>
      </c>
      <c r="Y30" s="440"/>
      <c r="Z30" s="440">
        <f t="shared" si="11"/>
        <v>-2.7010303855651664E-2</v>
      </c>
      <c r="AA30" s="440"/>
      <c r="AB30" s="440">
        <f t="shared" si="12"/>
        <v>-3.225271046083534E-5</v>
      </c>
      <c r="AC30" s="440"/>
      <c r="AD30" s="440">
        <f t="shared" si="13"/>
        <v>-1.2281327144473861E-4</v>
      </c>
      <c r="AE30" s="440"/>
      <c r="AF30" s="440">
        <f t="shared" si="14"/>
        <v>0</v>
      </c>
      <c r="AG30" s="440"/>
      <c r="AH30" s="440">
        <f t="shared" si="15"/>
        <v>0</v>
      </c>
      <c r="AI30" s="440"/>
      <c r="AJ30" s="64">
        <v>0</v>
      </c>
      <c r="AK30" s="388"/>
      <c r="AL30" s="440">
        <f t="shared" si="16"/>
        <v>-2.7554405132015005E-3</v>
      </c>
      <c r="AP30" s="64"/>
      <c r="AQ30" s="64"/>
      <c r="AR30" s="390"/>
    </row>
    <row r="31" spans="2:44" s="2" customFormat="1" ht="12.6">
      <c r="B31" s="6">
        <f>MAX(B$3:B30)+1</f>
        <v>18</v>
      </c>
      <c r="C31" s="58"/>
      <c r="D31" s="2" t="s">
        <v>144</v>
      </c>
      <c r="E31" s="6"/>
      <c r="F31" s="131">
        <f>SUM(F26:F30)</f>
        <v>613160.09831264499</v>
      </c>
      <c r="G31" s="132"/>
      <c r="H31" s="131">
        <f>SUM(H26:H30)</f>
        <v>3866.6586281853197</v>
      </c>
      <c r="I31" s="132"/>
      <c r="J31" s="131">
        <f>SUM(J26:J30)</f>
        <v>-103.84571945552648</v>
      </c>
      <c r="K31" s="132"/>
      <c r="L31" s="131">
        <f>SUM(L26:L30)</f>
        <v>-49.715702356438179</v>
      </c>
      <c r="M31" s="132"/>
      <c r="N31" s="131">
        <f>SUM(N26:N30)</f>
        <v>134.53500271206511</v>
      </c>
      <c r="O31" s="132"/>
      <c r="P31" s="131">
        <f>SUM(P26:P30)</f>
        <v>2.9309831562124486</v>
      </c>
      <c r="Q31" s="63"/>
      <c r="R31" s="131">
        <f>SUM(R26:R30)</f>
        <v>7877.8129537571031</v>
      </c>
      <c r="S31" s="132"/>
      <c r="T31" s="131">
        <f>SUM(T26:T30)</f>
        <v>0</v>
      </c>
      <c r="V31" s="407">
        <f t="shared" si="9"/>
        <v>11728.376145998736</v>
      </c>
      <c r="X31" s="395">
        <f t="shared" si="10"/>
        <v>1.28478891164576E-2</v>
      </c>
      <c r="Y31" s="129"/>
      <c r="Z31" s="391">
        <f t="shared" si="11"/>
        <v>6.3061158722264804E-3</v>
      </c>
      <c r="AA31" s="389"/>
      <c r="AB31" s="391">
        <f t="shared" si="12"/>
        <v>-1.6936150891308724E-4</v>
      </c>
      <c r="AC31" s="389"/>
      <c r="AD31" s="391">
        <f t="shared" si="13"/>
        <v>-8.1081111594265179E-5</v>
      </c>
      <c r="AE31" s="389"/>
      <c r="AF31" s="391">
        <f t="shared" si="14"/>
        <v>2.1941252061621739E-4</v>
      </c>
      <c r="AG31" s="389"/>
      <c r="AH31" s="391">
        <f t="shared" si="15"/>
        <v>4.78012702437458E-6</v>
      </c>
      <c r="AI31" s="392"/>
      <c r="AJ31" s="131">
        <f>SUM(AJ26:AJ30)</f>
        <v>0</v>
      </c>
      <c r="AK31" s="392"/>
      <c r="AL31" s="441">
        <f t="shared" ref="AL31" si="17">SUM(X31:AJ31)</f>
        <v>1.9127755015817319E-2</v>
      </c>
      <c r="AO31" s="387"/>
      <c r="AP31" s="64"/>
      <c r="AQ31" s="64"/>
      <c r="AR31" s="390"/>
    </row>
    <row r="32" spans="2:44" s="2" customFormat="1" ht="12.95">
      <c r="B32" s="6"/>
      <c r="C32" s="58"/>
      <c r="D32" s="58"/>
      <c r="E32" s="6"/>
      <c r="F32" s="133"/>
      <c r="G32" s="133"/>
      <c r="H32" s="132"/>
      <c r="I32" s="133"/>
      <c r="J32" s="133"/>
      <c r="K32" s="133"/>
      <c r="L32" s="132"/>
      <c r="M32" s="133"/>
      <c r="N32" s="133"/>
      <c r="O32" s="133"/>
      <c r="P32" s="435"/>
      <c r="Q32" s="141"/>
      <c r="R32" s="6"/>
      <c r="S32" s="6"/>
      <c r="T32" s="6"/>
      <c r="V32" s="64"/>
      <c r="X32" s="129"/>
      <c r="Y32" s="129"/>
      <c r="Z32" s="129"/>
      <c r="AA32" s="129"/>
      <c r="AB32" s="129"/>
      <c r="AC32" s="129"/>
      <c r="AD32" s="129"/>
      <c r="AE32" s="129"/>
    </row>
    <row r="33" spans="2:44" s="2" customFormat="1" ht="12.95">
      <c r="B33" s="6"/>
      <c r="C33" s="58"/>
      <c r="D33" s="14" t="s">
        <v>145</v>
      </c>
      <c r="E33" s="6"/>
      <c r="F33" s="133"/>
      <c r="G33" s="133"/>
      <c r="H33" s="132"/>
      <c r="I33" s="133"/>
      <c r="J33" s="133"/>
      <c r="K33" s="133"/>
      <c r="L33" s="132"/>
      <c r="M33" s="133"/>
      <c r="N33" s="133"/>
      <c r="O33" s="133"/>
      <c r="P33" s="435"/>
      <c r="Q33" s="63"/>
      <c r="R33" s="6"/>
      <c r="S33" s="6"/>
      <c r="T33" s="6"/>
      <c r="V33" s="64"/>
      <c r="X33" s="129"/>
      <c r="Y33" s="129"/>
      <c r="Z33" s="129"/>
      <c r="AA33" s="129"/>
      <c r="AB33" s="129"/>
      <c r="AC33" s="129"/>
      <c r="AD33" s="129"/>
      <c r="AE33" s="129"/>
    </row>
    <row r="34" spans="2:44" s="2" customFormat="1" ht="12.6">
      <c r="B34" s="6">
        <f>MAX(B$3:B33)+1</f>
        <v>19</v>
      </c>
      <c r="C34" s="58"/>
      <c r="D34" s="436" t="s">
        <v>146</v>
      </c>
      <c r="E34" s="6"/>
      <c r="F34" s="29">
        <v>1183713.1308576674</v>
      </c>
      <c r="G34" s="29"/>
      <c r="H34" s="29">
        <f>'Sch. 18 pp.1- 3'!X34-'Sch. 18 pp.1- 3'!H34</f>
        <v>10432.815926943902</v>
      </c>
      <c r="I34" s="29"/>
      <c r="J34" s="29">
        <f>'Sch. 18 pp.1- 3'!AB34-'Sch. 18 pp.1- 3'!J34</f>
        <v>-215.96045557540219</v>
      </c>
      <c r="K34" s="29"/>
      <c r="L34" s="29">
        <f>'Sch. 18 pp.1- 3'!AD34-'Sch. 18 pp.1- 3'!N34</f>
        <v>-104.10211629194578</v>
      </c>
      <c r="M34" s="29"/>
      <c r="N34" s="29">
        <f>'Sch. 18 pp.1- 3'!AF34-'Sch. 18 pp.1- 3'!P34</f>
        <v>464.35750439961203</v>
      </c>
      <c r="O34" s="29"/>
      <c r="P34" s="29">
        <f>'Sch. 18 pp.1- 3'!AH34-'Sch. 18 pp.1- 3'!R34</f>
        <v>2.460495324411113</v>
      </c>
      <c r="Q34" s="434"/>
      <c r="R34" s="64">
        <f>'Sch. 18 pp.1- 3'!V34</f>
        <v>13956.672282196536</v>
      </c>
      <c r="S34" s="64"/>
      <c r="T34" s="64">
        <v>0</v>
      </c>
      <c r="V34" s="64">
        <f t="shared" si="9"/>
        <v>24536.243636997111</v>
      </c>
      <c r="X34" s="440">
        <f t="shared" ref="X34:X43" si="18">R34/F34</f>
        <v>1.1790586687235727E-2</v>
      </c>
      <c r="Y34" s="440"/>
      <c r="Z34" s="440">
        <f t="shared" ref="Z34:Z43" si="19">H34/F34</f>
        <v>8.8136353775046267E-3</v>
      </c>
      <c r="AA34" s="440"/>
      <c r="AB34" s="440">
        <f t="shared" ref="AB34:AB43" si="20">J34/F34</f>
        <v>-1.8244323725540373E-4</v>
      </c>
      <c r="AC34" s="440"/>
      <c r="AD34" s="440">
        <f t="shared" ref="AD34:AD43" si="21">L34/F34</f>
        <v>-8.7945392830539838E-5</v>
      </c>
      <c r="AE34" s="440"/>
      <c r="AF34" s="440">
        <f t="shared" ref="AF34:AF43" si="22">N34/F34</f>
        <v>3.9228888511455356E-4</v>
      </c>
      <c r="AG34" s="440"/>
      <c r="AH34" s="440">
        <f t="shared" ref="AH34:AH43" si="23">P34/F34</f>
        <v>2.0786246771025883E-6</v>
      </c>
      <c r="AI34" s="440"/>
      <c r="AJ34" s="64">
        <v>0</v>
      </c>
      <c r="AK34" s="388"/>
      <c r="AL34" s="440">
        <f t="shared" ref="AL34:AL42" si="24">SUM(X34:AJ34)</f>
        <v>2.0728200944446065E-2</v>
      </c>
      <c r="AP34" s="64"/>
      <c r="AQ34" s="64"/>
      <c r="AR34" s="390"/>
    </row>
    <row r="35" spans="2:44" s="2" customFormat="1" ht="12.6">
      <c r="B35" s="6">
        <f>MAX(B$3:B34)+1</f>
        <v>20</v>
      </c>
      <c r="C35" s="58"/>
      <c r="D35" s="436" t="s">
        <v>147</v>
      </c>
      <c r="E35" s="6"/>
      <c r="F35" s="29">
        <v>242478.99694227398</v>
      </c>
      <c r="G35" s="29"/>
      <c r="H35" s="29">
        <f>'Sch. 18 pp.1- 3'!X35-'Sch. 18 pp.1- 3'!H35</f>
        <v>-5013.149612104231</v>
      </c>
      <c r="I35" s="29"/>
      <c r="J35" s="29">
        <f>'Sch. 18 pp.1- 3'!AB35-'Sch. 18 pp.1- 3'!J35</f>
        <v>-74.196483944213924</v>
      </c>
      <c r="K35" s="29"/>
      <c r="L35" s="29">
        <f>'Sch. 18 pp.1- 3'!AD35-'Sch. 18 pp.1- 3'!N35</f>
        <v>-11.221822210207904</v>
      </c>
      <c r="M35" s="29"/>
      <c r="N35" s="29">
        <f>'Sch. 18 pp.1- 3'!AF35-'Sch. 18 pp.1- 3'!P35</f>
        <v>177.2342633761931</v>
      </c>
      <c r="O35" s="29"/>
      <c r="P35" s="29">
        <f>'Sch. 18 pp.1- 3'!AH35-'Sch. 18 pp.1- 3'!R35</f>
        <v>0.99745912342814336</v>
      </c>
      <c r="Q35" s="434"/>
      <c r="R35" s="64">
        <f>'Sch. 18 pp.1- 3'!V35</f>
        <v>2158.2262994511102</v>
      </c>
      <c r="S35" s="64"/>
      <c r="T35" s="64">
        <v>0</v>
      </c>
      <c r="V35" s="64">
        <f t="shared" si="9"/>
        <v>-2762.1098963079212</v>
      </c>
      <c r="X35" s="440">
        <f t="shared" si="18"/>
        <v>8.9006731579515351E-3</v>
      </c>
      <c r="Y35" s="440"/>
      <c r="Z35" s="440">
        <f t="shared" si="19"/>
        <v>-2.0674572541627974E-2</v>
      </c>
      <c r="AA35" s="440"/>
      <c r="AB35" s="440">
        <f t="shared" si="20"/>
        <v>-3.0599138432545393E-4</v>
      </c>
      <c r="AC35" s="440"/>
      <c r="AD35" s="440">
        <f t="shared" si="21"/>
        <v>-4.627956380436298E-5</v>
      </c>
      <c r="AE35" s="440"/>
      <c r="AF35" s="440">
        <f t="shared" si="22"/>
        <v>7.309262476798622E-4</v>
      </c>
      <c r="AG35" s="440"/>
      <c r="AH35" s="440">
        <f t="shared" si="23"/>
        <v>4.1135897789349752E-6</v>
      </c>
      <c r="AI35" s="440"/>
      <c r="AJ35" s="64">
        <v>0</v>
      </c>
      <c r="AK35" s="388"/>
      <c r="AL35" s="440">
        <f t="shared" si="24"/>
        <v>-1.1391130494347456E-2</v>
      </c>
      <c r="AP35" s="64"/>
      <c r="AQ35" s="64"/>
      <c r="AR35" s="390"/>
    </row>
    <row r="36" spans="2:44" s="2" customFormat="1" ht="12.6">
      <c r="B36" s="6">
        <f>MAX(B$3:B35)+1</f>
        <v>21</v>
      </c>
      <c r="C36" s="58"/>
      <c r="D36" s="436" t="s">
        <v>148</v>
      </c>
      <c r="E36" s="6"/>
      <c r="F36" s="29">
        <v>48579.546556543355</v>
      </c>
      <c r="G36" s="29"/>
      <c r="H36" s="29">
        <f>'Sch. 18 pp.1- 3'!X36-'Sch. 18 pp.1- 3'!H36</f>
        <v>377.53641795952171</v>
      </c>
      <c r="I36" s="29"/>
      <c r="J36" s="29">
        <f>'Sch. 18 pp.1- 3'!AB36-'Sch. 18 pp.1- 3'!J36</f>
        <v>-11.308764540514687</v>
      </c>
      <c r="K36" s="29"/>
      <c r="L36" s="29">
        <f>'Sch. 18 pp.1- 3'!AD36-'Sch. 18 pp.1- 3'!N36</f>
        <v>-7.4016722612922621</v>
      </c>
      <c r="M36" s="29"/>
      <c r="N36" s="29">
        <f>'Sch. 18 pp.1- 3'!AF36-'Sch. 18 pp.1- 3'!P36</f>
        <v>128.67162765947319</v>
      </c>
      <c r="O36" s="29"/>
      <c r="P36" s="29">
        <f>'Sch. 18 pp.1- 3'!AH36-'Sch. 18 pp.1- 3'!R36</f>
        <v>0.73262546238561299</v>
      </c>
      <c r="Q36" s="434"/>
      <c r="R36" s="64">
        <f>'Sch. 18 pp.1- 3'!V36</f>
        <v>802.22239997928659</v>
      </c>
      <c r="S36" s="64"/>
      <c r="T36" s="64">
        <v>0</v>
      </c>
      <c r="V36" s="64">
        <f t="shared" si="9"/>
        <v>1290.4526342588601</v>
      </c>
      <c r="X36" s="440">
        <f t="shared" si="18"/>
        <v>1.6513583531405612E-2</v>
      </c>
      <c r="Y36" s="440"/>
      <c r="Z36" s="440">
        <f t="shared" si="19"/>
        <v>7.7715097138688705E-3</v>
      </c>
      <c r="AA36" s="440"/>
      <c r="AB36" s="440">
        <f t="shared" si="20"/>
        <v>-2.3278859812641601E-4</v>
      </c>
      <c r="AC36" s="440"/>
      <c r="AD36" s="440">
        <f t="shared" si="21"/>
        <v>-1.5236190508030389E-4</v>
      </c>
      <c r="AE36" s="440"/>
      <c r="AF36" s="440">
        <f t="shared" si="22"/>
        <v>2.6486790589884983E-3</v>
      </c>
      <c r="AG36" s="440"/>
      <c r="AH36" s="440">
        <f t="shared" si="23"/>
        <v>1.5080944848525619E-5</v>
      </c>
      <c r="AI36" s="440"/>
      <c r="AJ36" s="64">
        <v>0</v>
      </c>
      <c r="AK36" s="388"/>
      <c r="AL36" s="440">
        <f t="shared" si="24"/>
        <v>2.6563702745904787E-2</v>
      </c>
      <c r="AP36" s="64"/>
      <c r="AQ36" s="64"/>
      <c r="AR36" s="390"/>
    </row>
    <row r="37" spans="2:44" s="2" customFormat="1" ht="12.6">
      <c r="B37" s="6">
        <f>MAX(B$3:B36)+1</f>
        <v>22</v>
      </c>
      <c r="C37" s="58"/>
      <c r="D37" s="436" t="s">
        <v>149</v>
      </c>
      <c r="E37" s="6"/>
      <c r="F37" s="29">
        <v>3213.8734753506542</v>
      </c>
      <c r="G37" s="29"/>
      <c r="H37" s="29">
        <f>'Sch. 18 pp.1- 3'!X37-'Sch. 18 pp.1- 3'!H37</f>
        <v>-125.04674676927266</v>
      </c>
      <c r="I37" s="29"/>
      <c r="J37" s="29">
        <f>'Sch. 18 pp.1- 3'!AB37-'Sch. 18 pp.1- 3'!J37</f>
        <v>-13.977743421193168</v>
      </c>
      <c r="K37" s="29"/>
      <c r="L37" s="29">
        <f>'Sch. 18 pp.1- 3'!AD37-'Sch. 18 pp.1- 3'!N37</f>
        <v>-0.56969855845835937</v>
      </c>
      <c r="M37" s="29"/>
      <c r="N37" s="29">
        <f>'Sch. 18 pp.1- 3'!AF37-'Sch. 18 pp.1- 3'!P37</f>
        <v>10.962363254293628</v>
      </c>
      <c r="O37" s="29"/>
      <c r="P37" s="29">
        <f>'Sch. 18 pp.1- 3'!AH37-'Sch. 18 pp.1- 3'!R37</f>
        <v>4.128165400545214E-2</v>
      </c>
      <c r="Q37" s="434"/>
      <c r="R37" s="64">
        <f>'Sch. 18 pp.1- 3'!V37</f>
        <v>45.240634465234891</v>
      </c>
      <c r="S37" s="64"/>
      <c r="T37" s="64">
        <v>0</v>
      </c>
      <c r="V37" s="64">
        <f t="shared" si="9"/>
        <v>-83.349909375390226</v>
      </c>
      <c r="X37" s="440">
        <f t="shared" si="18"/>
        <v>1.4076669418449601E-2</v>
      </c>
      <c r="Y37" s="440"/>
      <c r="Z37" s="440">
        <f t="shared" si="19"/>
        <v>-3.8908422415611509E-2</v>
      </c>
      <c r="AA37" s="440"/>
      <c r="AB37" s="440">
        <f t="shared" si="20"/>
        <v>-4.3491890792832491E-3</v>
      </c>
      <c r="AC37" s="440"/>
      <c r="AD37" s="440">
        <f t="shared" si="21"/>
        <v>-1.7726228578310838E-4</v>
      </c>
      <c r="AE37" s="440"/>
      <c r="AF37" s="440">
        <f t="shared" si="22"/>
        <v>3.4109504740529846E-3</v>
      </c>
      <c r="AG37" s="440"/>
      <c r="AH37" s="440">
        <f t="shared" si="23"/>
        <v>1.2844828622554299E-5</v>
      </c>
      <c r="AI37" s="440"/>
      <c r="AJ37" s="64">
        <v>0</v>
      </c>
      <c r="AK37" s="388"/>
      <c r="AL37" s="440">
        <f t="shared" si="24"/>
        <v>-2.5934409059552729E-2</v>
      </c>
      <c r="AP37" s="64"/>
      <c r="AQ37" s="64"/>
      <c r="AR37" s="390"/>
    </row>
    <row r="38" spans="2:44" s="2" customFormat="1" ht="12.6">
      <c r="B38" s="6">
        <f>MAX(B$3:B37)+1</f>
        <v>23</v>
      </c>
      <c r="C38" s="58"/>
      <c r="D38" s="436" t="s">
        <v>150</v>
      </c>
      <c r="E38" s="6"/>
      <c r="F38" s="29">
        <v>37165.148965774591</v>
      </c>
      <c r="G38" s="29"/>
      <c r="H38" s="29">
        <f>'Sch. 18 pp.1- 3'!X38-'Sch. 18 pp.1- 3'!H38</f>
        <v>1824.3629341877486</v>
      </c>
      <c r="I38" s="29"/>
      <c r="J38" s="29">
        <f>'Sch. 18 pp.1- 3'!AB38-'Sch. 18 pp.1- 3'!J38</f>
        <v>-3.9649115782434592</v>
      </c>
      <c r="K38" s="29"/>
      <c r="L38" s="29">
        <f>'Sch. 18 pp.1- 3'!AD38-'Sch. 18 pp.1- 3'!N38</f>
        <v>-6.6832618160704413</v>
      </c>
      <c r="M38" s="29"/>
      <c r="N38" s="29">
        <f>'Sch. 18 pp.1- 3'!AF38-'Sch. 18 pp.1- 3'!P38</f>
        <v>151.9733202775052</v>
      </c>
      <c r="O38" s="29"/>
      <c r="P38" s="29">
        <f>'Sch. 18 pp.1- 3'!AH38-'Sch. 18 pp.1- 3'!R38</f>
        <v>1.0894877184825873</v>
      </c>
      <c r="Q38" s="434"/>
      <c r="R38" s="64">
        <f>'Sch. 18 pp.1- 3'!V38</f>
        <v>697.44569589991909</v>
      </c>
      <c r="S38" s="64"/>
      <c r="T38" s="64">
        <v>0</v>
      </c>
      <c r="V38" s="64">
        <f t="shared" si="9"/>
        <v>2664.2232646893417</v>
      </c>
      <c r="X38" s="440">
        <f t="shared" si="18"/>
        <v>1.8766121361230039E-2</v>
      </c>
      <c r="Y38" s="440"/>
      <c r="Z38" s="440">
        <f t="shared" si="19"/>
        <v>4.9088002737936162E-2</v>
      </c>
      <c r="AA38" s="440"/>
      <c r="AB38" s="440">
        <f t="shared" si="20"/>
        <v>-1.0668359171369792E-4</v>
      </c>
      <c r="AC38" s="440"/>
      <c r="AD38" s="440">
        <f t="shared" si="21"/>
        <v>-1.7982604676830601E-4</v>
      </c>
      <c r="AE38" s="440"/>
      <c r="AF38" s="440">
        <f t="shared" si="22"/>
        <v>4.0891352384315079E-3</v>
      </c>
      <c r="AG38" s="440"/>
      <c r="AH38" s="440">
        <f t="shared" si="23"/>
        <v>2.9314767969473155E-5</v>
      </c>
      <c r="AI38" s="440"/>
      <c r="AJ38" s="64">
        <v>0</v>
      </c>
      <c r="AK38" s="388"/>
      <c r="AL38" s="440">
        <f t="shared" si="24"/>
        <v>7.168606446708517E-2</v>
      </c>
      <c r="AP38" s="64"/>
      <c r="AQ38" s="64"/>
      <c r="AR38" s="390"/>
    </row>
    <row r="39" spans="2:44" s="2" customFormat="1" ht="12.6">
      <c r="B39" s="6">
        <f>MAX(B$3:B38)+1</f>
        <v>24</v>
      </c>
      <c r="C39" s="58"/>
      <c r="D39" s="436" t="s">
        <v>151</v>
      </c>
      <c r="E39" s="6"/>
      <c r="F39" s="29">
        <v>5162.6512662408004</v>
      </c>
      <c r="G39" s="29"/>
      <c r="H39" s="29">
        <f>'Sch. 18 pp.1- 3'!X39-'Sch. 18 pp.1- 3'!H39</f>
        <v>0.83751638451349208</v>
      </c>
      <c r="I39" s="29"/>
      <c r="J39" s="29">
        <f>'Sch. 18 pp.1- 3'!AB39-'Sch. 18 pp.1- 3'!J39</f>
        <v>-1.8188941555146414</v>
      </c>
      <c r="K39" s="29"/>
      <c r="L39" s="29">
        <f>'Sch. 18 pp.1- 3'!AD39-'Sch. 18 pp.1- 3'!N39</f>
        <v>-0.1786254093709978</v>
      </c>
      <c r="M39" s="29"/>
      <c r="N39" s="29">
        <f>'Sch. 18 pp.1- 3'!AF39-'Sch. 18 pp.1- 3'!P39</f>
        <v>12.230361093268229</v>
      </c>
      <c r="O39" s="29"/>
      <c r="P39" s="29">
        <f>'Sch. 18 pp.1- 3'!AH39-'Sch. 18 pp.1- 3'!R39</f>
        <v>8.5607036515966684E-2</v>
      </c>
      <c r="Q39" s="434"/>
      <c r="R39" s="64">
        <f>'Sch. 18 pp.1- 3'!V39</f>
        <v>46.23350098614678</v>
      </c>
      <c r="S39" s="64"/>
      <c r="T39" s="64">
        <v>0</v>
      </c>
      <c r="V39" s="64">
        <f t="shared" si="9"/>
        <v>57.389465935558832</v>
      </c>
      <c r="X39" s="440">
        <f t="shared" si="18"/>
        <v>8.9553794362352574E-3</v>
      </c>
      <c r="Y39" s="440"/>
      <c r="Z39" s="440">
        <f t="shared" si="19"/>
        <v>1.6222602328189642E-4</v>
      </c>
      <c r="AA39" s="440"/>
      <c r="AB39" s="440">
        <f t="shared" si="20"/>
        <v>-3.5231784246373755E-4</v>
      </c>
      <c r="AC39" s="440"/>
      <c r="AD39" s="440">
        <f t="shared" si="21"/>
        <v>-3.4599549758290071E-5</v>
      </c>
      <c r="AE39" s="440"/>
      <c r="AF39" s="440">
        <f t="shared" si="22"/>
        <v>2.3690077951311638E-3</v>
      </c>
      <c r="AG39" s="440"/>
      <c r="AH39" s="440">
        <f t="shared" si="23"/>
        <v>1.6581990938601919E-5</v>
      </c>
      <c r="AI39" s="440"/>
      <c r="AJ39" s="64">
        <v>0</v>
      </c>
      <c r="AK39" s="388"/>
      <c r="AL39" s="440">
        <f t="shared" si="24"/>
        <v>1.1116277853364892E-2</v>
      </c>
      <c r="AP39" s="64"/>
      <c r="AQ39" s="64"/>
      <c r="AR39" s="390"/>
    </row>
    <row r="40" spans="2:44" s="2" customFormat="1" ht="12.6">
      <c r="B40" s="6">
        <f>MAX(B$3:B39)+1</f>
        <v>25</v>
      </c>
      <c r="D40" s="436" t="s">
        <v>152</v>
      </c>
      <c r="E40" s="6"/>
      <c r="F40" s="29">
        <v>14792.815020216502</v>
      </c>
      <c r="G40" s="29"/>
      <c r="H40" s="29">
        <f>'Sch. 18 pp.1- 3'!X40-'Sch. 18 pp.1- 3'!H40</f>
        <v>-669.54646000449043</v>
      </c>
      <c r="I40" s="29"/>
      <c r="J40" s="29">
        <f>'Sch. 18 pp.1- 3'!AB40-'Sch. 18 pp.1- 3'!J40</f>
        <v>0</v>
      </c>
      <c r="K40" s="29"/>
      <c r="L40" s="29">
        <f>'Sch. 18 pp.1- 3'!AD40-'Sch. 18 pp.1- 3'!N40</f>
        <v>-1.9658035498327955</v>
      </c>
      <c r="M40" s="29"/>
      <c r="N40" s="29">
        <f>'Sch. 18 pp.1- 3'!AF40-'Sch. 18 pp.1- 3'!P40</f>
        <v>33.937868717792753</v>
      </c>
      <c r="O40" s="29"/>
      <c r="P40" s="29">
        <f>'Sch. 18 pp.1- 3'!AH40-'Sch. 18 pp.1- 3'!R40</f>
        <v>-1.3397889345137912</v>
      </c>
      <c r="Q40" s="434"/>
      <c r="R40" s="64">
        <f>'Sch. 18 pp.1- 3'!V40</f>
        <v>346.38888636458614</v>
      </c>
      <c r="S40" s="64"/>
      <c r="T40" s="64">
        <v>0</v>
      </c>
      <c r="V40" s="64">
        <f t="shared" si="9"/>
        <v>-292.52529740645809</v>
      </c>
      <c r="X40" s="440">
        <f t="shared" si="18"/>
        <v>2.3416022298068089E-2</v>
      </c>
      <c r="Y40" s="440"/>
      <c r="Z40" s="440">
        <f t="shared" si="19"/>
        <v>-4.5261598897130752E-2</v>
      </c>
      <c r="AA40" s="440"/>
      <c r="AB40" s="440">
        <f t="shared" si="20"/>
        <v>0</v>
      </c>
      <c r="AC40" s="440"/>
      <c r="AD40" s="440">
        <f t="shared" si="21"/>
        <v>-1.3288907805216542E-4</v>
      </c>
      <c r="AE40" s="440"/>
      <c r="AF40" s="440">
        <f t="shared" si="22"/>
        <v>2.2942130129668891E-3</v>
      </c>
      <c r="AG40" s="440"/>
      <c r="AH40" s="440">
        <f t="shared" si="23"/>
        <v>-9.057024864319453E-5</v>
      </c>
      <c r="AI40" s="440"/>
      <c r="AJ40" s="64">
        <v>0</v>
      </c>
      <c r="AK40" s="388"/>
      <c r="AL40" s="440">
        <f t="shared" si="24"/>
        <v>-1.9774822912791135E-2</v>
      </c>
      <c r="AP40" s="64"/>
      <c r="AQ40" s="64"/>
      <c r="AR40" s="390"/>
    </row>
    <row r="41" spans="2:44" s="2" customFormat="1" ht="12.6">
      <c r="B41" s="6">
        <f>MAX(B$3:B40)+1</f>
        <v>26</v>
      </c>
      <c r="D41" s="436" t="s">
        <v>153</v>
      </c>
      <c r="E41" s="6"/>
      <c r="F41" s="29">
        <v>83779.159081868158</v>
      </c>
      <c r="G41" s="29"/>
      <c r="H41" s="29">
        <f>'Sch. 18 pp.1- 3'!X41-'Sch. 18 pp.1- 3'!H41</f>
        <v>-1262.5074827724548</v>
      </c>
      <c r="I41" s="29"/>
      <c r="J41" s="29">
        <f>'Sch. 18 pp.1- 3'!AB41-'Sch. 18 pp.1- 3'!J41</f>
        <v>0</v>
      </c>
      <c r="K41" s="29"/>
      <c r="L41" s="29">
        <f>'Sch. 18 pp.1- 3'!AD41-'Sch. 18 pp.1- 3'!N41</f>
        <v>-6.8842763110929752</v>
      </c>
      <c r="M41" s="29"/>
      <c r="N41" s="29">
        <f>'Sch. 18 pp.1- 3'!AF41-'Sch. 18 pp.1- 3'!P41</f>
        <v>565.14861777061515</v>
      </c>
      <c r="O41" s="29"/>
      <c r="P41" s="29">
        <f>'Sch. 18 pp.1- 3'!AH41-'Sch. 18 pp.1- 3'!R41</f>
        <v>-7.6035765371768775</v>
      </c>
      <c r="Q41" s="434"/>
      <c r="R41" s="64">
        <f>'Sch. 18 pp.1- 3'!V41</f>
        <v>2032.8007615893503</v>
      </c>
      <c r="S41" s="64"/>
      <c r="T41" s="64">
        <v>0</v>
      </c>
      <c r="V41" s="64">
        <f t="shared" si="9"/>
        <v>1320.9540437392409</v>
      </c>
      <c r="X41" s="440">
        <f t="shared" si="18"/>
        <v>2.4263800017411463E-2</v>
      </c>
      <c r="Y41" s="440"/>
      <c r="Z41" s="440">
        <f t="shared" si="19"/>
        <v>-1.5069469503015005E-2</v>
      </c>
      <c r="AA41" s="440"/>
      <c r="AB41" s="440">
        <f t="shared" si="20"/>
        <v>0</v>
      </c>
      <c r="AC41" s="440"/>
      <c r="AD41" s="440">
        <f t="shared" si="21"/>
        <v>-8.2171704592615084E-5</v>
      </c>
      <c r="AE41" s="440"/>
      <c r="AF41" s="440">
        <f t="shared" si="22"/>
        <v>6.7456945613211224E-3</v>
      </c>
      <c r="AG41" s="440"/>
      <c r="AH41" s="440">
        <f t="shared" si="23"/>
        <v>-9.0757374751717653E-5</v>
      </c>
      <c r="AI41" s="440"/>
      <c r="AJ41" s="64">
        <v>0</v>
      </c>
      <c r="AK41" s="388"/>
      <c r="AL41" s="440">
        <f t="shared" si="24"/>
        <v>1.576709599637325E-2</v>
      </c>
      <c r="AP41" s="64"/>
      <c r="AQ41" s="64"/>
      <c r="AR41" s="390"/>
    </row>
    <row r="42" spans="2:44" s="2" customFormat="1" ht="12.6">
      <c r="B42" s="6">
        <f>MAX(B$3:B41)+1</f>
        <v>27</v>
      </c>
      <c r="D42" s="436" t="s">
        <v>154</v>
      </c>
      <c r="E42" s="6"/>
      <c r="F42" s="29">
        <v>8182.6378750708709</v>
      </c>
      <c r="G42" s="29"/>
      <c r="H42" s="29">
        <f>'Sch. 18 pp.1- 3'!X42-'Sch. 18 pp.1- 3'!H42</f>
        <v>5.2462497962593631</v>
      </c>
      <c r="I42" s="29"/>
      <c r="J42" s="29">
        <f>'Sch. 18 pp.1- 3'!AB42-'Sch. 18 pp.1- 3'!J42</f>
        <v>0</v>
      </c>
      <c r="K42" s="29"/>
      <c r="L42" s="29">
        <f>'Sch. 18 pp.1- 3'!AD42-'Sch. 18 pp.1- 3'!N42</f>
        <v>-0.6398671778380951</v>
      </c>
      <c r="M42" s="29"/>
      <c r="N42" s="29">
        <f>'Sch. 18 pp.1- 3'!AF42-'Sch. 18 pp.1- 3'!P42</f>
        <v>36.039385031467361</v>
      </c>
      <c r="O42" s="29"/>
      <c r="P42" s="29">
        <f>'Sch. 18 pp.1- 3'!AH42-'Sch. 18 pp.1- 3'!R42</f>
        <v>-1.1238776258770145</v>
      </c>
      <c r="Q42" s="434"/>
      <c r="R42" s="64">
        <f>'Sch. 18 pp.1- 3'!V42</f>
        <v>210.33751753270036</v>
      </c>
      <c r="S42" s="64"/>
      <c r="T42" s="64">
        <v>0</v>
      </c>
      <c r="V42" s="64">
        <f t="shared" si="9"/>
        <v>249.85940755671197</v>
      </c>
      <c r="X42" s="440">
        <f t="shared" si="18"/>
        <v>2.5705343526628763E-2</v>
      </c>
      <c r="Y42" s="440"/>
      <c r="Z42" s="440">
        <f t="shared" si="19"/>
        <v>6.4114407558502941E-4</v>
      </c>
      <c r="AA42" s="440"/>
      <c r="AB42" s="440">
        <f t="shared" si="20"/>
        <v>0</v>
      </c>
      <c r="AC42" s="440"/>
      <c r="AD42" s="440">
        <f t="shared" si="21"/>
        <v>-7.8198154141405544E-5</v>
      </c>
      <c r="AE42" s="440"/>
      <c r="AF42" s="440">
        <f t="shared" si="22"/>
        <v>4.4043724751970919E-3</v>
      </c>
      <c r="AG42" s="440"/>
      <c r="AH42" s="440">
        <f t="shared" si="23"/>
        <v>-1.3734906066184438E-4</v>
      </c>
      <c r="AI42" s="440"/>
      <c r="AJ42" s="64">
        <v>0</v>
      </c>
      <c r="AK42" s="388"/>
      <c r="AL42" s="440">
        <f t="shared" si="24"/>
        <v>3.0535312862607633E-2</v>
      </c>
      <c r="AP42" s="64"/>
      <c r="AQ42" s="64"/>
      <c r="AR42" s="390"/>
    </row>
    <row r="43" spans="2:44" s="2" customFormat="1" ht="12.6">
      <c r="B43" s="6">
        <f>MAX(B$3:B42)+1</f>
        <v>28</v>
      </c>
      <c r="C43" s="58"/>
      <c r="D43" s="58" t="s">
        <v>155</v>
      </c>
      <c r="F43" s="131">
        <f>SUM(F34:F42)</f>
        <v>1627067.9600410061</v>
      </c>
      <c r="G43" s="132"/>
      <c r="H43" s="131">
        <f>SUM(H34:H42)</f>
        <v>5570.5487436214962</v>
      </c>
      <c r="I43" s="132"/>
      <c r="J43" s="131">
        <f>SUM(J34:J42)</f>
        <v>-321.2272532150821</v>
      </c>
      <c r="K43" s="132"/>
      <c r="L43" s="131">
        <f>SUM(L34:L42)</f>
        <v>-139.64714358610959</v>
      </c>
      <c r="M43" s="132"/>
      <c r="N43" s="131">
        <f>SUM(N34:N42)</f>
        <v>1580.5553115802206</v>
      </c>
      <c r="O43" s="132"/>
      <c r="P43" s="131">
        <f>SUM(P34:P42)</f>
        <v>-4.6602867783388078</v>
      </c>
      <c r="Q43" s="63"/>
      <c r="R43" s="131">
        <f>SUM(R34:R42)</f>
        <v>20295.567978464867</v>
      </c>
      <c r="S43" s="132"/>
      <c r="T43" s="131">
        <v>0</v>
      </c>
      <c r="V43" s="407">
        <f t="shared" si="9"/>
        <v>26981.137350087054</v>
      </c>
      <c r="X43" s="395">
        <f t="shared" si="18"/>
        <v>1.2473706370539905E-2</v>
      </c>
      <c r="Y43" s="129"/>
      <c r="Z43" s="391">
        <f t="shared" si="19"/>
        <v>3.4236730612537567E-3</v>
      </c>
      <c r="AA43" s="389"/>
      <c r="AB43" s="391">
        <f t="shared" si="20"/>
        <v>-1.9742706580429891E-4</v>
      </c>
      <c r="AC43" s="389"/>
      <c r="AD43" s="391">
        <f t="shared" si="21"/>
        <v>-8.5827480483722474E-5</v>
      </c>
      <c r="AE43" s="389"/>
      <c r="AF43" s="391">
        <f t="shared" si="22"/>
        <v>9.7141321100096319E-4</v>
      </c>
      <c r="AG43" s="389"/>
      <c r="AH43" s="391">
        <f t="shared" si="23"/>
        <v>-2.8642238018265427E-6</v>
      </c>
      <c r="AI43" s="392"/>
      <c r="AJ43" s="131">
        <v>0</v>
      </c>
      <c r="AK43" s="392"/>
      <c r="AL43" s="441">
        <f t="shared" ref="AL43:AL45" si="25">SUM(X43:AJ43)</f>
        <v>1.6582673872704779E-2</v>
      </c>
      <c r="AO43" s="387"/>
      <c r="AP43" s="64"/>
      <c r="AQ43" s="64"/>
      <c r="AR43" s="390"/>
    </row>
    <row r="44" spans="2:44" s="2" customFormat="1" ht="12.95">
      <c r="B44" s="16"/>
      <c r="C44" s="58"/>
      <c r="D44" s="6"/>
      <c r="F44" s="133"/>
      <c r="G44" s="133"/>
      <c r="H44" s="133"/>
      <c r="I44" s="133"/>
      <c r="J44" s="133"/>
      <c r="K44" s="133"/>
      <c r="L44" s="133"/>
      <c r="M44" s="29"/>
      <c r="N44" s="29"/>
      <c r="O44" s="133"/>
      <c r="P44" s="133"/>
      <c r="Q44" s="141"/>
      <c r="R44" s="133"/>
      <c r="S44" s="133"/>
      <c r="T44" s="133"/>
      <c r="V44" s="64"/>
      <c r="X44" s="133"/>
      <c r="Z44" s="133"/>
      <c r="AB44" s="133"/>
      <c r="AD44" s="133"/>
      <c r="AF44" s="133"/>
      <c r="AH44" s="133"/>
      <c r="AI44" s="133"/>
      <c r="AJ44" s="133"/>
      <c r="AK44" s="133"/>
      <c r="AL44" s="133"/>
      <c r="AP44" s="64"/>
      <c r="AQ44" s="64"/>
      <c r="AR44" s="390"/>
    </row>
    <row r="45" spans="2:44" s="2" customFormat="1" ht="12.6">
      <c r="B45" s="6">
        <f>MAX(B$3:B44)+1</f>
        <v>29</v>
      </c>
      <c r="C45" s="58"/>
      <c r="D45" s="3" t="s">
        <v>156</v>
      </c>
      <c r="F45" s="131">
        <f>F23+F31+F43</f>
        <v>5782469.2617205735</v>
      </c>
      <c r="G45" s="132"/>
      <c r="H45" s="131">
        <f>H23+H31+H43</f>
        <v>39209.670868932604</v>
      </c>
      <c r="I45" s="132"/>
      <c r="J45" s="131">
        <f>J23+J31+J43</f>
        <v>-534.5118520676092</v>
      </c>
      <c r="K45" s="132"/>
      <c r="L45" s="131">
        <f>L23+L31+L43</f>
        <v>-394.90033807925727</v>
      </c>
      <c r="M45" s="132"/>
      <c r="N45" s="131">
        <f>N23+N31+N43</f>
        <v>4718.1944190532868</v>
      </c>
      <c r="O45" s="132"/>
      <c r="P45" s="131">
        <f>P23+P31+P43</f>
        <v>-1201.4000267701756</v>
      </c>
      <c r="Q45" s="63"/>
      <c r="R45" s="131">
        <f>R23+R31+R43</f>
        <v>67721.838835478353</v>
      </c>
      <c r="S45" s="132"/>
      <c r="T45" s="131">
        <f>T23+T31+T43</f>
        <v>2042.397085602373</v>
      </c>
      <c r="V45" s="407">
        <f t="shared" ref="V45:V58" si="26">H45+J45+L45+N45+P45+R45</f>
        <v>109518.8919065472</v>
      </c>
      <c r="X45" s="395">
        <f>R45/F45</f>
        <v>1.1711577834713422E-2</v>
      </c>
      <c r="Y45" s="129"/>
      <c r="Z45" s="391">
        <f>H45/F45</f>
        <v>6.7807832768774232E-3</v>
      </c>
      <c r="AA45" s="389"/>
      <c r="AB45" s="391">
        <f>J45/F45</f>
        <v>-9.2436609322946097E-5</v>
      </c>
      <c r="AC45" s="389"/>
      <c r="AD45" s="391">
        <f>L45/F45</f>
        <v>-6.829268262495781E-5</v>
      </c>
      <c r="AE45" s="389"/>
      <c r="AF45" s="391">
        <f>N45/F45</f>
        <v>8.1594803283906918E-4</v>
      </c>
      <c r="AG45" s="389"/>
      <c r="AH45" s="391">
        <f>P45/F45</f>
        <v>-2.0776591666873799E-4</v>
      </c>
      <c r="AI45" s="392"/>
      <c r="AJ45" s="391">
        <f>T45/F45</f>
        <v>3.5320500519092391E-4</v>
      </c>
      <c r="AK45" s="392"/>
      <c r="AL45" s="441">
        <f t="shared" si="25"/>
        <v>1.9293018941004193E-2</v>
      </c>
      <c r="AO45" s="387"/>
      <c r="AP45" s="64"/>
      <c r="AQ45" s="64"/>
      <c r="AR45" s="390"/>
    </row>
    <row r="46" spans="2:44" s="2" customFormat="1" ht="12.95">
      <c r="B46" s="6"/>
      <c r="C46" s="58"/>
      <c r="D46" s="58"/>
      <c r="E46" s="6"/>
      <c r="F46" s="133"/>
      <c r="G46" s="133"/>
      <c r="H46" s="132"/>
      <c r="I46" s="133"/>
      <c r="J46" s="133"/>
      <c r="K46" s="133"/>
      <c r="L46" s="132"/>
      <c r="M46" s="132"/>
      <c r="N46" s="132"/>
      <c r="O46" s="133"/>
      <c r="P46" s="435"/>
      <c r="Q46" s="393"/>
      <c r="R46" s="6"/>
      <c r="S46" s="6"/>
      <c r="T46" s="6"/>
      <c r="V46" s="64"/>
      <c r="AR46" s="390"/>
    </row>
    <row r="47" spans="2:44" s="2" customFormat="1" ht="12.95">
      <c r="B47" s="6"/>
      <c r="C47" s="58"/>
      <c r="D47" s="14" t="s">
        <v>157</v>
      </c>
      <c r="E47" s="6"/>
      <c r="F47" s="133"/>
      <c r="G47" s="133"/>
      <c r="H47" s="132"/>
      <c r="I47" s="133"/>
      <c r="J47" s="133"/>
      <c r="K47" s="133"/>
      <c r="L47" s="132"/>
      <c r="M47" s="132"/>
      <c r="N47" s="132"/>
      <c r="O47" s="133"/>
      <c r="P47" s="435"/>
      <c r="Q47" s="437"/>
      <c r="R47" s="6"/>
      <c r="S47" s="6"/>
      <c r="T47" s="6"/>
      <c r="V47" s="64"/>
      <c r="AR47" s="390"/>
    </row>
    <row r="48" spans="2:44" s="2" customFormat="1" ht="12.6">
      <c r="B48" s="6">
        <f>MAX(B$3:B47)+1</f>
        <v>30</v>
      </c>
      <c r="C48" s="58"/>
      <c r="D48" s="10" t="s">
        <v>158</v>
      </c>
      <c r="F48" s="29">
        <v>169.00033449599997</v>
      </c>
      <c r="G48" s="29"/>
      <c r="H48" s="29">
        <f>'Sch. 18 pp.1- 3'!X48-'Sch. 18 pp.1- 3'!H48</f>
        <v>0</v>
      </c>
      <c r="I48" s="29"/>
      <c r="J48" s="29">
        <f>'Sch. 18 pp.1- 3'!AB48-'Sch. 18 pp.1- 3'!J48</f>
        <v>0</v>
      </c>
      <c r="K48" s="29"/>
      <c r="L48" s="29">
        <f>'Sch. 18 pp.1- 3'!AD48-'Sch. 18 pp.1- 3'!N48</f>
        <v>0</v>
      </c>
      <c r="M48" s="29"/>
      <c r="N48" s="29">
        <f>'Sch. 18 pp.1- 3'!AF48-'Sch. 18 pp.1- 3'!P48</f>
        <v>0</v>
      </c>
      <c r="O48" s="29"/>
      <c r="P48" s="29">
        <f>'Sch. 18 pp.1- 3'!AH48-'Sch. 18 pp.1- 3'!R48</f>
        <v>0</v>
      </c>
      <c r="Q48" s="434"/>
      <c r="R48" s="64">
        <f>'Sch. 18 pp.1- 3'!V48</f>
        <v>4.8098413440000343</v>
      </c>
      <c r="S48" s="64"/>
      <c r="T48" s="64">
        <v>0</v>
      </c>
      <c r="V48" s="64">
        <f t="shared" si="26"/>
        <v>4.8098413440000343</v>
      </c>
      <c r="X48" s="389">
        <f t="shared" ref="X48:X56" si="27">R48/F48</f>
        <v>2.8460543337645746E-2</v>
      </c>
      <c r="Y48" s="29"/>
      <c r="Z48" s="388">
        <f t="shared" ref="Z48:Z56" si="28">H48/F48</f>
        <v>0</v>
      </c>
      <c r="AA48" s="29"/>
      <c r="AB48" s="388">
        <f t="shared" ref="AB48:AB56" si="29">J48/F48</f>
        <v>0</v>
      </c>
      <c r="AC48" s="129"/>
      <c r="AD48" s="388">
        <f t="shared" ref="AD48:AD56" si="30">L48/F48</f>
        <v>0</v>
      </c>
      <c r="AE48" s="29"/>
      <c r="AF48" s="388">
        <f t="shared" ref="AF48:AF56" si="31">N48/F48</f>
        <v>0</v>
      </c>
      <c r="AH48" s="1037">
        <f t="shared" ref="AH48:AH56" si="32">P48/F48</f>
        <v>0</v>
      </c>
      <c r="AI48" s="388"/>
      <c r="AJ48" s="64">
        <v>0</v>
      </c>
      <c r="AK48" s="388"/>
      <c r="AL48" s="442">
        <f t="shared" ref="AL48" si="33">SUM(X48:AJ48)</f>
        <v>2.8460543337645746E-2</v>
      </c>
      <c r="AP48" s="64"/>
      <c r="AQ48" s="64"/>
      <c r="AR48" s="390"/>
    </row>
    <row r="49" spans="2:44" s="2" customFormat="1" ht="12.6">
      <c r="B49" s="6">
        <f>MAX(B$3:B48)+1</f>
        <v>31</v>
      </c>
      <c r="C49" s="58"/>
      <c r="D49" s="10" t="s">
        <v>159</v>
      </c>
      <c r="E49" s="6"/>
      <c r="F49" s="29">
        <v>19179.468000000001</v>
      </c>
      <c r="G49" s="29"/>
      <c r="H49" s="29">
        <f>'Sch. 18 pp.1- 3'!X49-'Sch. 18 pp.1- 3'!H49</f>
        <v>0</v>
      </c>
      <c r="I49" s="29"/>
      <c r="J49" s="29">
        <f>'Sch. 18 pp.1- 3'!AB49-'Sch. 18 pp.1- 3'!J49</f>
        <v>0</v>
      </c>
      <c r="K49" s="29"/>
      <c r="L49" s="29">
        <f>'Sch. 18 pp.1- 3'!AD49-'Sch. 18 pp.1- 3'!N49</f>
        <v>0</v>
      </c>
      <c r="M49" s="29"/>
      <c r="N49" s="29">
        <f>'Sch. 18 pp.1- 3'!AF49-'Sch. 18 pp.1- 3'!P49</f>
        <v>0</v>
      </c>
      <c r="O49" s="29"/>
      <c r="P49" s="29">
        <f>'Sch. 18 pp.1- 3'!AH49-'Sch. 18 pp.1- 3'!R49</f>
        <v>0</v>
      </c>
      <c r="Q49" s="434"/>
      <c r="R49" s="64">
        <f>'Sch. 18 pp.1- 3'!V49</f>
        <v>524.08445877558188</v>
      </c>
      <c r="S49" s="64"/>
      <c r="T49" s="64">
        <v>0</v>
      </c>
      <c r="V49" s="64">
        <f t="shared" si="26"/>
        <v>524.08445877558188</v>
      </c>
      <c r="X49" s="389">
        <f t="shared" si="27"/>
        <v>2.7325286539521421E-2</v>
      </c>
      <c r="Y49" s="29"/>
      <c r="Z49" s="388">
        <f t="shared" si="28"/>
        <v>0</v>
      </c>
      <c r="AA49" s="29"/>
      <c r="AB49" s="388">
        <f t="shared" si="29"/>
        <v>0</v>
      </c>
      <c r="AC49" s="129"/>
      <c r="AD49" s="388">
        <f t="shared" si="30"/>
        <v>0</v>
      </c>
      <c r="AE49" s="29"/>
      <c r="AF49" s="388">
        <f t="shared" si="31"/>
        <v>0</v>
      </c>
      <c r="AH49" s="1037">
        <f t="shared" si="32"/>
        <v>0</v>
      </c>
      <c r="AI49" s="388"/>
      <c r="AJ49" s="64">
        <v>0</v>
      </c>
      <c r="AK49" s="388"/>
      <c r="AL49" s="388">
        <f t="shared" ref="AL49:AL58" si="34">SUM(X49:AJ49)</f>
        <v>2.7325286539521421E-2</v>
      </c>
      <c r="AP49" s="64"/>
      <c r="AQ49" s="64"/>
      <c r="AR49" s="390"/>
    </row>
    <row r="50" spans="2:44" s="2" customFormat="1" ht="12.6">
      <c r="B50" s="6">
        <f>MAX(B$3:B49)+1</f>
        <v>32</v>
      </c>
      <c r="C50" s="58"/>
      <c r="D50" s="10" t="s">
        <v>160</v>
      </c>
      <c r="F50" s="29">
        <v>3560.977942268019</v>
      </c>
      <c r="G50" s="29"/>
      <c r="H50" s="29">
        <f>'Sch. 18 pp.1- 3'!X50-'Sch. 18 pp.1- 3'!H50</f>
        <v>0</v>
      </c>
      <c r="I50" s="29"/>
      <c r="J50" s="29">
        <f>'Sch. 18 pp.1- 3'!AB50-'Sch. 18 pp.1- 3'!J50</f>
        <v>0</v>
      </c>
      <c r="K50" s="29"/>
      <c r="L50" s="29">
        <f>'Sch. 18 pp.1- 3'!AD50-'Sch. 18 pp.1- 3'!N50</f>
        <v>0</v>
      </c>
      <c r="M50" s="29"/>
      <c r="N50" s="29">
        <f>'Sch. 18 pp.1- 3'!AF50-'Sch. 18 pp.1- 3'!P50</f>
        <v>0</v>
      </c>
      <c r="O50" s="29"/>
      <c r="P50" s="29">
        <f>'Sch. 18 pp.1- 3'!AH50-'Sch. 18 pp.1- 3'!R50</f>
        <v>0</v>
      </c>
      <c r="Q50" s="434"/>
      <c r="R50" s="64">
        <f>'Sch. 18 pp.1- 3'!V50</f>
        <v>0</v>
      </c>
      <c r="S50" s="64"/>
      <c r="T50" s="64">
        <v>0</v>
      </c>
      <c r="V50" s="64">
        <f t="shared" si="26"/>
        <v>0</v>
      </c>
      <c r="X50" s="389">
        <f t="shared" si="27"/>
        <v>0</v>
      </c>
      <c r="Y50" s="29"/>
      <c r="Z50" s="388">
        <f t="shared" si="28"/>
        <v>0</v>
      </c>
      <c r="AA50" s="29"/>
      <c r="AB50" s="388">
        <f t="shared" si="29"/>
        <v>0</v>
      </c>
      <c r="AC50" s="129"/>
      <c r="AD50" s="388">
        <f t="shared" si="30"/>
        <v>0</v>
      </c>
      <c r="AE50" s="29"/>
      <c r="AF50" s="388">
        <f t="shared" si="31"/>
        <v>0</v>
      </c>
      <c r="AH50" s="1037">
        <f t="shared" si="32"/>
        <v>0</v>
      </c>
      <c r="AI50" s="388"/>
      <c r="AJ50" s="64">
        <v>0</v>
      </c>
      <c r="AK50" s="388"/>
      <c r="AL50" s="388">
        <f t="shared" si="34"/>
        <v>0</v>
      </c>
      <c r="AP50" s="64"/>
      <c r="AQ50" s="64"/>
      <c r="AR50" s="390"/>
    </row>
    <row r="51" spans="2:44" s="2" customFormat="1" ht="12.6">
      <c r="B51" s="6">
        <f>MAX(B$3:B50)+1</f>
        <v>33</v>
      </c>
      <c r="C51" s="58"/>
      <c r="D51" s="436" t="s">
        <v>161</v>
      </c>
      <c r="E51" s="6"/>
      <c r="F51" s="29">
        <v>123641.88959884401</v>
      </c>
      <c r="G51" s="29"/>
      <c r="H51" s="29">
        <f>'Sch. 18 pp.1- 3'!X51-'Sch. 18 pp.1- 3'!H51</f>
        <v>0</v>
      </c>
      <c r="I51" s="29"/>
      <c r="J51" s="29">
        <f>'Sch. 18 pp.1- 3'!AB51-'Sch. 18 pp.1- 3'!J51</f>
        <v>0</v>
      </c>
      <c r="K51" s="29"/>
      <c r="L51" s="29">
        <f>'Sch. 18 pp.1- 3'!AD51-'Sch. 18 pp.1- 3'!N51</f>
        <v>0</v>
      </c>
      <c r="M51" s="29"/>
      <c r="N51" s="29">
        <f>'Sch. 18 pp.1- 3'!AF51-'Sch. 18 pp.1- 3'!P51</f>
        <v>1163.0892043165813</v>
      </c>
      <c r="O51" s="29"/>
      <c r="P51" s="29">
        <f>'Sch. 18 pp.1- 3'!AH51-'Sch. 18 pp.1- 3'!R51</f>
        <v>-74.662019551753474</v>
      </c>
      <c r="Q51" s="434"/>
      <c r="R51" s="64">
        <f>'Sch. 18 pp.1- 3'!V51</f>
        <v>2859.6077199574647</v>
      </c>
      <c r="S51" s="64"/>
      <c r="T51" s="64">
        <v>0</v>
      </c>
      <c r="V51" s="64">
        <f t="shared" si="26"/>
        <v>3948.0349047222926</v>
      </c>
      <c r="X51" s="389">
        <f t="shared" si="27"/>
        <v>2.3128146368803157E-2</v>
      </c>
      <c r="Y51" s="29"/>
      <c r="Z51" s="388">
        <f t="shared" si="28"/>
        <v>0</v>
      </c>
      <c r="AA51" s="29"/>
      <c r="AB51" s="388">
        <f t="shared" si="29"/>
        <v>0</v>
      </c>
      <c r="AC51" s="129"/>
      <c r="AD51" s="388">
        <f t="shared" si="30"/>
        <v>0</v>
      </c>
      <c r="AE51" s="29"/>
      <c r="AF51" s="388">
        <f t="shared" si="31"/>
        <v>9.4069187076501592E-3</v>
      </c>
      <c r="AH51" s="1037">
        <f t="shared" si="32"/>
        <v>-6.0385699210837305E-4</v>
      </c>
      <c r="AI51" s="388"/>
      <c r="AJ51" s="64">
        <v>0</v>
      </c>
      <c r="AK51" s="388"/>
      <c r="AL51" s="388">
        <f t="shared" si="34"/>
        <v>3.1931208084344943E-2</v>
      </c>
      <c r="AP51" s="64"/>
      <c r="AQ51" s="64"/>
      <c r="AR51" s="390"/>
    </row>
    <row r="52" spans="2:44" s="2" customFormat="1" ht="12.6">
      <c r="B52" s="6">
        <f>MAX(B$3:B51)+1</f>
        <v>34</v>
      </c>
      <c r="C52" s="58"/>
      <c r="D52" s="436" t="s">
        <v>162</v>
      </c>
      <c r="E52" s="30"/>
      <c r="F52" s="29">
        <v>17410.917282836475</v>
      </c>
      <c r="G52" s="29"/>
      <c r="H52" s="29">
        <f>'Sch. 18 pp.1- 3'!X52-'Sch. 18 pp.1- 3'!H52</f>
        <v>0</v>
      </c>
      <c r="I52" s="29"/>
      <c r="J52" s="29">
        <f>'Sch. 18 pp.1- 3'!AB52-'Sch. 18 pp.1- 3'!J52</f>
        <v>0</v>
      </c>
      <c r="K52" s="29"/>
      <c r="L52" s="29">
        <f>'Sch. 18 pp.1- 3'!AD52-'Sch. 18 pp.1- 3'!N52</f>
        <v>0</v>
      </c>
      <c r="M52" s="29"/>
      <c r="N52" s="29">
        <f>'Sch. 18 pp.1- 3'!AF52-'Sch. 18 pp.1- 3'!P52</f>
        <v>198.43916494579207</v>
      </c>
      <c r="O52" s="29"/>
      <c r="P52" s="29">
        <f>'Sch. 18 pp.1- 3'!AH52-'Sch. 18 pp.1- 3'!R52</f>
        <v>-9.9923522844333093</v>
      </c>
      <c r="Q52" s="434"/>
      <c r="R52" s="64">
        <f>'Sch. 18 pp.1- 3'!V52</f>
        <v>55.384889252956597</v>
      </c>
      <c r="S52" s="64"/>
      <c r="T52" s="64">
        <v>0</v>
      </c>
      <c r="V52" s="64">
        <f t="shared" si="26"/>
        <v>243.83170191431537</v>
      </c>
      <c r="X52" s="389">
        <f t="shared" si="27"/>
        <v>3.1810437298185616E-3</v>
      </c>
      <c r="Y52" s="29"/>
      <c r="Z52" s="388">
        <f t="shared" si="28"/>
        <v>0</v>
      </c>
      <c r="AA52" s="29"/>
      <c r="AB52" s="388">
        <f t="shared" si="29"/>
        <v>0</v>
      </c>
      <c r="AC52" s="129"/>
      <c r="AD52" s="388">
        <f t="shared" si="30"/>
        <v>0</v>
      </c>
      <c r="AE52" s="29"/>
      <c r="AF52" s="388">
        <f t="shared" si="31"/>
        <v>1.1397398639152206E-2</v>
      </c>
      <c r="AH52" s="1037">
        <f t="shared" si="32"/>
        <v>-5.7391302951531912E-4</v>
      </c>
      <c r="AI52" s="388"/>
      <c r="AJ52" s="64">
        <v>0</v>
      </c>
      <c r="AK52" s="388"/>
      <c r="AL52" s="388">
        <f t="shared" si="34"/>
        <v>1.4004529339455448E-2</v>
      </c>
      <c r="AP52" s="64"/>
      <c r="AQ52" s="64"/>
      <c r="AR52" s="390"/>
    </row>
    <row r="53" spans="2:44" s="2" customFormat="1" ht="12.6">
      <c r="B53" s="6">
        <f>MAX(B$3:B52)+1</f>
        <v>35</v>
      </c>
      <c r="C53" s="58"/>
      <c r="D53" s="436" t="s">
        <v>163</v>
      </c>
      <c r="E53" s="6"/>
      <c r="F53" s="29">
        <v>424.03364183333326</v>
      </c>
      <c r="G53" s="29"/>
      <c r="H53" s="29">
        <f>'Sch. 18 pp.1- 3'!X53-'Sch. 18 pp.1- 3'!H53</f>
        <v>0</v>
      </c>
      <c r="I53" s="29"/>
      <c r="J53" s="29">
        <f>'Sch. 18 pp.1- 3'!AB53-'Sch. 18 pp.1- 3'!J53</f>
        <v>0</v>
      </c>
      <c r="K53" s="29"/>
      <c r="L53" s="29">
        <f>'Sch. 18 pp.1- 3'!AD53-'Sch. 18 pp.1- 3'!N53</f>
        <v>0</v>
      </c>
      <c r="M53" s="29"/>
      <c r="N53" s="29">
        <f>'Sch. 18 pp.1- 3'!AF53-'Sch. 18 pp.1- 3'!P53</f>
        <v>10.582690347298453</v>
      </c>
      <c r="O53" s="29"/>
      <c r="P53" s="29">
        <f>'Sch. 18 pp.1- 3'!AH53-'Sch. 18 pp.1- 3'!R53</f>
        <v>0</v>
      </c>
      <c r="Q53" s="434"/>
      <c r="R53" s="64">
        <f>'Sch. 18 pp.1- 3'!V53</f>
        <v>4.9749034862918506</v>
      </c>
      <c r="S53" s="64"/>
      <c r="T53" s="64">
        <v>0</v>
      </c>
      <c r="V53" s="64">
        <f t="shared" si="26"/>
        <v>15.557593833590303</v>
      </c>
      <c r="X53" s="389">
        <f t="shared" si="27"/>
        <v>1.1732332049840612E-2</v>
      </c>
      <c r="Y53" s="29"/>
      <c r="Z53" s="388">
        <f t="shared" si="28"/>
        <v>0</v>
      </c>
      <c r="AA53" s="29"/>
      <c r="AB53" s="388">
        <f t="shared" si="29"/>
        <v>0</v>
      </c>
      <c r="AC53" s="129"/>
      <c r="AD53" s="388">
        <f t="shared" si="30"/>
        <v>0</v>
      </c>
      <c r="AE53" s="29"/>
      <c r="AF53" s="388">
        <f t="shared" si="31"/>
        <v>2.4957195145044617E-2</v>
      </c>
      <c r="AH53" s="1037">
        <f t="shared" si="32"/>
        <v>0</v>
      </c>
      <c r="AI53" s="388"/>
      <c r="AJ53" s="64">
        <v>0</v>
      </c>
      <c r="AK53" s="388"/>
      <c r="AL53" s="388">
        <f t="shared" si="34"/>
        <v>3.6689527194885233E-2</v>
      </c>
      <c r="AP53" s="64"/>
      <c r="AQ53" s="64"/>
      <c r="AR53" s="390"/>
    </row>
    <row r="54" spans="2:44" s="2" customFormat="1" ht="12.6">
      <c r="B54" s="6">
        <f>MAX(B$3:B53)+1</f>
        <v>36</v>
      </c>
      <c r="C54" s="58"/>
      <c r="D54" s="436" t="s">
        <v>164</v>
      </c>
      <c r="E54" s="6"/>
      <c r="F54" s="29">
        <v>638.42606352170299</v>
      </c>
      <c r="G54" s="29"/>
      <c r="H54" s="29">
        <f>'Sch. 18 pp.1- 3'!X54-'Sch. 18 pp.1- 3'!H54</f>
        <v>0</v>
      </c>
      <c r="I54" s="29"/>
      <c r="J54" s="29">
        <f>'Sch. 18 pp.1- 3'!AB54-'Sch. 18 pp.1- 3'!J54</f>
        <v>0</v>
      </c>
      <c r="K54" s="29"/>
      <c r="L54" s="29">
        <f>'Sch. 18 pp.1- 3'!AD54-'Sch. 18 pp.1- 3'!N54</f>
        <v>0</v>
      </c>
      <c r="M54" s="29"/>
      <c r="N54" s="29">
        <f>'Sch. 18 pp.1- 3'!AF54-'Sch. 18 pp.1- 3'!P54</f>
        <v>22.061673486894804</v>
      </c>
      <c r="O54" s="29"/>
      <c r="P54" s="29">
        <f>'Sch. 18 pp.1- 3'!AH54-'Sch. 18 pp.1- 3'!R54</f>
        <v>-0.7545160860846778</v>
      </c>
      <c r="Q54" s="434"/>
      <c r="R54" s="64">
        <f>'Sch. 18 pp.1- 3'!V54</f>
        <v>12.083702468642535</v>
      </c>
      <c r="S54" s="64"/>
      <c r="T54" s="64">
        <v>0</v>
      </c>
      <c r="V54" s="64">
        <f t="shared" si="26"/>
        <v>33.390859869452662</v>
      </c>
      <c r="X54" s="389">
        <f t="shared" si="27"/>
        <v>1.8927332637370866E-2</v>
      </c>
      <c r="Y54" s="29"/>
      <c r="Z54" s="388">
        <f t="shared" si="28"/>
        <v>0</v>
      </c>
      <c r="AA54" s="29"/>
      <c r="AB54" s="388">
        <f t="shared" si="29"/>
        <v>0</v>
      </c>
      <c r="AC54" s="129"/>
      <c r="AD54" s="388">
        <f t="shared" si="30"/>
        <v>0</v>
      </c>
      <c r="AE54" s="29"/>
      <c r="AF54" s="388">
        <f t="shared" si="31"/>
        <v>3.4556348412841435E-2</v>
      </c>
      <c r="AH54" s="1037">
        <f t="shared" si="32"/>
        <v>-1.1818378496682856E-3</v>
      </c>
      <c r="AI54" s="388"/>
      <c r="AJ54" s="64">
        <v>0</v>
      </c>
      <c r="AK54" s="388"/>
      <c r="AL54" s="388">
        <f t="shared" si="34"/>
        <v>5.2301843200544013E-2</v>
      </c>
      <c r="AP54" s="64"/>
      <c r="AQ54" s="64"/>
      <c r="AR54" s="390"/>
    </row>
    <row r="55" spans="2:44" s="2" customFormat="1" ht="12.6">
      <c r="B55" s="6">
        <f>MAX(B$3:B54)+1</f>
        <v>37</v>
      </c>
      <c r="D55" s="436" t="s">
        <v>165</v>
      </c>
      <c r="E55" s="30"/>
      <c r="F55" s="29">
        <v>570.28478551477679</v>
      </c>
      <c r="G55" s="29"/>
      <c r="H55" s="29">
        <f>'Sch. 18 pp.1- 3'!X55-'Sch. 18 pp.1- 3'!H55</f>
        <v>0</v>
      </c>
      <c r="I55" s="29"/>
      <c r="J55" s="29">
        <f>'Sch. 18 pp.1- 3'!AB55-'Sch. 18 pp.1- 3'!J55</f>
        <v>0</v>
      </c>
      <c r="K55" s="29"/>
      <c r="L55" s="29">
        <f>'Sch. 18 pp.1- 3'!AD55-'Sch. 18 pp.1- 3'!N55</f>
        <v>0</v>
      </c>
      <c r="M55" s="29"/>
      <c r="N55" s="29">
        <f>'Sch. 18 pp.1- 3'!AF55-'Sch. 18 pp.1- 3'!P55</f>
        <v>2.6376237211226066</v>
      </c>
      <c r="O55" s="29"/>
      <c r="P55" s="29">
        <f>'Sch. 18 pp.1- 3'!AH55-'Sch. 18 pp.1- 3'!R55</f>
        <v>-0.16005376992270115</v>
      </c>
      <c r="Q55" s="434"/>
      <c r="R55" s="64">
        <f>'Sch. 18 pp.1- 3'!V55</f>
        <v>14.45817745292333</v>
      </c>
      <c r="S55" s="64"/>
      <c r="T55" s="64">
        <v>0</v>
      </c>
      <c r="V55" s="64">
        <f t="shared" si="26"/>
        <v>16.935747404123234</v>
      </c>
      <c r="X55" s="389">
        <f t="shared" si="27"/>
        <v>2.5352556863098535E-2</v>
      </c>
      <c r="Y55" s="29"/>
      <c r="Z55" s="388">
        <f t="shared" si="28"/>
        <v>0</v>
      </c>
      <c r="AA55" s="29"/>
      <c r="AB55" s="388">
        <f t="shared" si="29"/>
        <v>0</v>
      </c>
      <c r="AC55" s="129"/>
      <c r="AD55" s="388">
        <f t="shared" si="30"/>
        <v>0</v>
      </c>
      <c r="AE55" s="29"/>
      <c r="AF55" s="388">
        <f t="shared" si="31"/>
        <v>4.625099227821259E-3</v>
      </c>
      <c r="AH55" s="1037">
        <f t="shared" si="32"/>
        <v>-2.8065586525901444E-4</v>
      </c>
      <c r="AI55" s="388"/>
      <c r="AJ55" s="64">
        <v>0</v>
      </c>
      <c r="AK55" s="388"/>
      <c r="AL55" s="388">
        <f t="shared" si="34"/>
        <v>2.9697000225660779E-2</v>
      </c>
      <c r="AP55" s="64"/>
      <c r="AQ55" s="64"/>
      <c r="AR55" s="390"/>
    </row>
    <row r="56" spans="2:44" s="2" customFormat="1">
      <c r="B56" s="6">
        <f>MAX(B$3:B55)+1</f>
        <v>38</v>
      </c>
      <c r="D56" s="58" t="s">
        <v>166</v>
      </c>
      <c r="F56" s="131">
        <f>SUM(F48:F55)</f>
        <v>165594.99764931435</v>
      </c>
      <c r="G56" s="438"/>
      <c r="H56" s="131">
        <f>SUM(H48:H55)</f>
        <v>0</v>
      </c>
      <c r="I56" s="438"/>
      <c r="J56" s="131">
        <f>SUM(J48:J55)</f>
        <v>0</v>
      </c>
      <c r="K56" s="438"/>
      <c r="L56" s="131">
        <f>SUM(L48:L55)</f>
        <v>0</v>
      </c>
      <c r="M56" s="438"/>
      <c r="N56" s="131">
        <f>SUM(N48:N55)</f>
        <v>1396.8103568176891</v>
      </c>
      <c r="O56" s="438"/>
      <c r="P56" s="131">
        <f>SUM(P48:P55)</f>
        <v>-85.568941692194159</v>
      </c>
      <c r="Q56" s="438"/>
      <c r="R56" s="131">
        <f>SUM(R48:R55)</f>
        <v>3475.4036927378611</v>
      </c>
      <c r="S56" s="132"/>
      <c r="T56" s="407">
        <v>0</v>
      </c>
      <c r="V56" s="407">
        <f t="shared" si="26"/>
        <v>4786.6451078633563</v>
      </c>
      <c r="X56" s="395">
        <f t="shared" si="27"/>
        <v>2.0987371249570178E-2</v>
      </c>
      <c r="Z56" s="391">
        <f t="shared" si="28"/>
        <v>0</v>
      </c>
      <c r="AA56" s="389"/>
      <c r="AB56" s="391">
        <f t="shared" si="29"/>
        <v>0</v>
      </c>
      <c r="AC56" s="389"/>
      <c r="AD56" s="391">
        <f t="shared" si="30"/>
        <v>0</v>
      </c>
      <c r="AE56" s="389"/>
      <c r="AF56" s="391">
        <f t="shared" si="31"/>
        <v>8.4350999525707755E-3</v>
      </c>
      <c r="AG56" s="389"/>
      <c r="AH56" s="1038">
        <f t="shared" si="32"/>
        <v>-5.1673627166809802E-4</v>
      </c>
      <c r="AI56" s="392"/>
      <c r="AJ56" s="407">
        <v>0</v>
      </c>
      <c r="AK56" s="392"/>
      <c r="AL56" s="441">
        <f t="shared" si="34"/>
        <v>2.8905734930472857E-2</v>
      </c>
      <c r="AO56" s="387"/>
      <c r="AP56" s="64"/>
      <c r="AQ56" s="64"/>
      <c r="AR56" s="390"/>
    </row>
    <row r="57" spans="2:44" s="2" customFormat="1" ht="12.6">
      <c r="B57" s="6"/>
      <c r="C57" s="58"/>
      <c r="G57" s="64"/>
      <c r="M57" s="64"/>
      <c r="Q57" s="394"/>
      <c r="R57" s="6"/>
      <c r="S57" s="6"/>
      <c r="T57" s="6"/>
      <c r="V57" s="64"/>
      <c r="AJ57" s="6"/>
      <c r="AP57" s="64"/>
      <c r="AQ57" s="64"/>
      <c r="AR57" s="390"/>
    </row>
    <row r="58" spans="2:44" s="2" customFormat="1" ht="12.6">
      <c r="B58" s="6">
        <f>MAX(B$3:B57)+1</f>
        <v>39</v>
      </c>
      <c r="C58" s="58"/>
      <c r="D58" s="127" t="s">
        <v>167</v>
      </c>
      <c r="F58" s="29">
        <v>1196.9395495536583</v>
      </c>
      <c r="G58" s="29"/>
      <c r="H58" s="29">
        <f>'Sch. 18 pp.1- 3'!X58-'Sch. 18 pp.1- 3'!H58</f>
        <v>0</v>
      </c>
      <c r="I58" s="29"/>
      <c r="J58" s="29">
        <f>'Sch. 18 pp.1- 3'!AB58-'Sch. 18 pp.1- 3'!J58</f>
        <v>0</v>
      </c>
      <c r="K58" s="29"/>
      <c r="L58" s="29">
        <f>'Sch. 18 pp.1- 3'!AD58-'Sch. 18 pp.1- 3'!N58</f>
        <v>0</v>
      </c>
      <c r="M58" s="29"/>
      <c r="N58" s="29">
        <f>'Sch. 18 pp.1- 3'!AF58-'Sch. 18 pp.1- 3'!P58</f>
        <v>0</v>
      </c>
      <c r="O58" s="29"/>
      <c r="P58" s="29">
        <f>'Sch. 18 pp.1- 3'!AH58-'Sch. 18 pp.1- 3'!R58</f>
        <v>0</v>
      </c>
      <c r="Q58" s="434"/>
      <c r="R58" s="64">
        <f>'Sch. 18 pp.1- 3'!V58</f>
        <v>13.234035539499473</v>
      </c>
      <c r="S58" s="64"/>
      <c r="T58" s="64">
        <v>0</v>
      </c>
      <c r="V58" s="64">
        <f t="shared" si="26"/>
        <v>13.234035539499473</v>
      </c>
      <c r="W58" s="29"/>
      <c r="X58" s="389">
        <f t="shared" ref="X58" si="35">R58/F58</f>
        <v>1.1056561331300714E-2</v>
      </c>
      <c r="Y58" s="29"/>
      <c r="Z58" s="388">
        <f t="shared" ref="Z58" si="36">H58/F58</f>
        <v>0</v>
      </c>
      <c r="AA58" s="29"/>
      <c r="AB58" s="388">
        <f t="shared" ref="AB58" si="37">J58/F58</f>
        <v>0</v>
      </c>
      <c r="AC58" s="129"/>
      <c r="AD58" s="388">
        <f t="shared" ref="AD58" si="38">L58/F58</f>
        <v>0</v>
      </c>
      <c r="AE58" s="29"/>
      <c r="AF58" s="388">
        <f t="shared" ref="AF58" si="39">N58/F58</f>
        <v>0</v>
      </c>
      <c r="AH58" s="388">
        <f t="shared" ref="AH58" si="40">P58/F58</f>
        <v>0</v>
      </c>
      <c r="AI58" s="388"/>
      <c r="AJ58" s="64">
        <v>0</v>
      </c>
      <c r="AK58" s="388"/>
      <c r="AL58" s="442">
        <f t="shared" si="34"/>
        <v>1.1056561331300714E-2</v>
      </c>
      <c r="AO58" s="387"/>
      <c r="AP58" s="64"/>
      <c r="AQ58" s="64"/>
      <c r="AR58" s="390"/>
    </row>
    <row r="59" spans="2:44" s="2" customFormat="1" ht="12.6">
      <c r="B59" s="1"/>
      <c r="Q59" s="394"/>
      <c r="R59" s="6"/>
      <c r="S59" s="6"/>
      <c r="T59" s="6"/>
      <c r="V59" s="64"/>
      <c r="AH59" s="64"/>
      <c r="AI59" s="64"/>
      <c r="AJ59" s="6"/>
      <c r="AK59" s="64"/>
      <c r="AL59" s="64"/>
      <c r="AP59" s="64"/>
      <c r="AQ59" s="64"/>
      <c r="AR59" s="390"/>
    </row>
    <row r="60" spans="2:44" s="2" customFormat="1" ht="14.45" thickBot="1">
      <c r="B60" s="6">
        <f>MAX(B$3:B58)+1</f>
        <v>40</v>
      </c>
      <c r="C60" s="58"/>
      <c r="D60" s="3" t="s">
        <v>8</v>
      </c>
      <c r="F60" s="439">
        <f>ROUND(F45+F56+F58,0)</f>
        <v>5949261</v>
      </c>
      <c r="G60" s="438"/>
      <c r="H60" s="439">
        <f>ROUND(H45+H56+H58,0)</f>
        <v>39210</v>
      </c>
      <c r="I60" s="438"/>
      <c r="J60" s="439">
        <f>ROUND(J45+J56+J58,0)</f>
        <v>-535</v>
      </c>
      <c r="K60" s="438"/>
      <c r="L60" s="439">
        <f>ROUND(L45+L56+L58,0)</f>
        <v>-395</v>
      </c>
      <c r="M60" s="438"/>
      <c r="N60" s="439">
        <f>ROUND(N45+N56+N58,0)</f>
        <v>6115</v>
      </c>
      <c r="O60" s="438"/>
      <c r="P60" s="439">
        <f>ROUND(P45+P56+P58,0)</f>
        <v>-1287</v>
      </c>
      <c r="Q60" s="438"/>
      <c r="R60" s="439">
        <f>ROUND(R45+R56+R58,0)</f>
        <v>71210</v>
      </c>
      <c r="S60" s="132"/>
      <c r="T60" s="439">
        <f>ROUND(T45+T56+T58,0)</f>
        <v>2042</v>
      </c>
      <c r="V60" s="439">
        <f>H60+J60+L60+N60+P60+R60+T60</f>
        <v>116360</v>
      </c>
      <c r="X60" s="396">
        <f>R60/F60</f>
        <v>1.1969553865597761E-2</v>
      </c>
      <c r="Y60" s="389"/>
      <c r="Z60" s="397">
        <f>H60/F60</f>
        <v>6.5907345466941188E-3</v>
      </c>
      <c r="AA60" s="389"/>
      <c r="AB60" s="397">
        <f>J60/F60</f>
        <v>-8.9927135487920262E-5</v>
      </c>
      <c r="AC60" s="389"/>
      <c r="AD60" s="397">
        <f>L60/F60</f>
        <v>-6.6394800967716836E-5</v>
      </c>
      <c r="AE60" s="389"/>
      <c r="AF60" s="397">
        <f>N60/F60</f>
        <v>1.0278587542217428E-3</v>
      </c>
      <c r="AG60" s="389"/>
      <c r="AH60" s="397">
        <f>P60/F60</f>
        <v>-2.1632938948215586E-4</v>
      </c>
      <c r="AI60" s="392"/>
      <c r="AJ60" s="397">
        <f>T60/F60</f>
        <v>3.4323590778753866E-4</v>
      </c>
      <c r="AK60" s="392"/>
      <c r="AL60" s="397">
        <f>SUM(X60:AJ60)</f>
        <v>1.9558731748363371E-2</v>
      </c>
      <c r="AO60" s="387"/>
      <c r="AP60" s="64"/>
      <c r="AQ60" s="64"/>
      <c r="AR60" s="390"/>
    </row>
    <row r="61" spans="2:44" s="2" customFormat="1" ht="12.95" thickTop="1">
      <c r="B61" s="1"/>
      <c r="E61" s="58"/>
      <c r="F61" s="58"/>
      <c r="G61" s="16"/>
      <c r="H61" s="16"/>
      <c r="I61" s="16"/>
      <c r="J61" s="16"/>
      <c r="K61" s="16"/>
      <c r="L61" s="16"/>
      <c r="M61" s="134"/>
      <c r="N61" s="16"/>
      <c r="O61" s="16"/>
      <c r="P61" s="16"/>
      <c r="Q61" s="16"/>
      <c r="R61" s="16"/>
      <c r="S61" s="16"/>
      <c r="T61" s="16"/>
      <c r="V61" s="64"/>
    </row>
    <row r="62" spans="2:44" s="2" customFormat="1" ht="12.6">
      <c r="B62" s="47" t="s">
        <v>80</v>
      </c>
      <c r="C62" s="58"/>
      <c r="D62" s="58"/>
      <c r="E62" s="16"/>
      <c r="F62" s="134"/>
      <c r="G62" s="16"/>
      <c r="Q62" s="16"/>
      <c r="R62" s="16"/>
      <c r="S62" s="16"/>
      <c r="T62" s="16"/>
      <c r="V62" s="2" t="s">
        <v>168</v>
      </c>
    </row>
    <row r="63" spans="2:44" s="2" customFormat="1">
      <c r="B63" s="65" t="s">
        <v>169</v>
      </c>
      <c r="D63" s="16" t="s">
        <v>220</v>
      </c>
      <c r="E63" s="16"/>
      <c r="F63" s="16"/>
      <c r="U63" s="114"/>
      <c r="V63" s="438"/>
      <c r="W63" s="438"/>
      <c r="X63" s="438"/>
      <c r="Y63" s="438"/>
      <c r="Z63" s="438"/>
      <c r="AA63" s="438"/>
      <c r="AB63" s="438"/>
      <c r="AC63" s="438"/>
      <c r="AD63" s="438"/>
      <c r="AH63" s="2" t="s">
        <v>168</v>
      </c>
    </row>
    <row r="64" spans="2:44" s="2" customFormat="1">
      <c r="B64" s="65" t="s">
        <v>171</v>
      </c>
      <c r="D64" s="16" t="s">
        <v>221</v>
      </c>
      <c r="U64" s="114"/>
      <c r="V64" s="438"/>
      <c r="W64" s="438"/>
      <c r="X64" s="438"/>
      <c r="Y64" s="438"/>
      <c r="Z64" s="438"/>
      <c r="AA64" s="438"/>
      <c r="AB64" s="438"/>
      <c r="AC64" s="438"/>
      <c r="AD64" s="438"/>
    </row>
    <row r="65" spans="1:38" s="2" customFormat="1">
      <c r="B65" s="65" t="s">
        <v>173</v>
      </c>
      <c r="D65" s="16" t="s">
        <v>222</v>
      </c>
      <c r="V65" s="438"/>
      <c r="W65" s="438"/>
      <c r="X65" s="438"/>
      <c r="Y65" s="438"/>
      <c r="Z65" s="438"/>
      <c r="AA65" s="438"/>
      <c r="AB65" s="438"/>
      <c r="AC65" s="438"/>
      <c r="AD65" s="438"/>
    </row>
    <row r="66" spans="1:38" s="2" customFormat="1">
      <c r="B66" s="65" t="s">
        <v>175</v>
      </c>
      <c r="C66" s="16"/>
      <c r="D66" s="16" t="s">
        <v>223</v>
      </c>
      <c r="V66" s="438"/>
      <c r="W66" s="438"/>
      <c r="X66" s="438"/>
      <c r="Y66" s="438"/>
      <c r="Z66" s="438"/>
      <c r="AA66" s="438"/>
      <c r="AB66" s="438"/>
      <c r="AC66" s="438"/>
      <c r="AD66" s="438"/>
    </row>
    <row r="67" spans="1:38" s="2" customFormat="1" ht="12.6">
      <c r="B67" s="65" t="s">
        <v>177</v>
      </c>
      <c r="C67" s="16"/>
      <c r="D67" s="16" t="s">
        <v>224</v>
      </c>
    </row>
    <row r="68" spans="1:38" s="2" customFormat="1" ht="12.6">
      <c r="B68" s="65" t="s">
        <v>179</v>
      </c>
      <c r="D68" s="16" t="s">
        <v>225</v>
      </c>
    </row>
    <row r="69" spans="1:38">
      <c r="A69" s="438"/>
      <c r="B69" s="65" t="s">
        <v>226</v>
      </c>
      <c r="C69" s="438"/>
      <c r="D69" s="16" t="s">
        <v>227</v>
      </c>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row>
    <row r="70" spans="1:38">
      <c r="B70" s="65" t="s">
        <v>228</v>
      </c>
      <c r="D70" s="136" t="s">
        <v>229</v>
      </c>
      <c r="L70" s="409"/>
      <c r="M70" s="409"/>
      <c r="N70" s="409"/>
      <c r="O70" s="409"/>
      <c r="P70" s="409"/>
    </row>
  </sheetData>
  <mergeCells count="4">
    <mergeCell ref="B3:AL3"/>
    <mergeCell ref="B4:AL4"/>
    <mergeCell ref="H7:R7"/>
    <mergeCell ref="X7:AL7"/>
  </mergeCells>
  <pageMargins left="0.7" right="0.7" top="0.75" bottom="0.75" header="0.3" footer="0.3"/>
  <pageSetup scale="49" firstPageNumber="4" orientation="landscape" useFirstPageNumber="1" horizontalDpi="300" verticalDpi="300" r:id="rId1"/>
  <headerFooter>
    <oddHeader>&amp;R&amp;10Filed: 2024-02-16
EB-2022-0200
Rate Order
Working Papers
Schedule 18
Page &amp;P of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4F846-FF97-460F-AF8A-4143A3A35756}">
  <dimension ref="A1:AM1084"/>
  <sheetViews>
    <sheetView view="pageLayout" topLeftCell="H951" zoomScale="70" zoomScaleNormal="80" zoomScaleSheetLayoutView="80" zoomScalePageLayoutView="70" workbookViewId="0">
      <selection activeCell="Q960" sqref="Q960"/>
    </sheetView>
  </sheetViews>
  <sheetFormatPr defaultColWidth="8" defaultRowHeight="12.6"/>
  <cols>
    <col min="1" max="1" width="4" style="1" customWidth="1"/>
    <col min="2" max="2" width="2.75" style="2" customWidth="1"/>
    <col min="3" max="3" width="36" style="2" customWidth="1"/>
    <col min="4" max="4" width="1.25" style="2" customWidth="1"/>
    <col min="5" max="5" width="8.25" style="2" customWidth="1"/>
    <col min="6" max="6" width="1.25" style="2" customWidth="1"/>
    <col min="7" max="7" width="11" style="2" bestFit="1" customWidth="1"/>
    <col min="8" max="8" width="1.25" style="2" customWidth="1"/>
    <col min="9" max="9" width="9.5" style="2" customWidth="1"/>
    <col min="10" max="10" width="9.75" style="2" bestFit="1" customWidth="1"/>
    <col min="11" max="11" width="1.25" style="2" customWidth="1"/>
    <col min="12" max="13" width="8" style="252"/>
    <col min="14" max="14" width="8.25" style="252" bestFit="1" customWidth="1"/>
    <col min="15" max="15" width="9.125" style="252" bestFit="1" customWidth="1"/>
    <col min="16" max="16" width="10.75" style="252" customWidth="1"/>
    <col min="17" max="17" width="13.625" style="252" customWidth="1"/>
    <col min="18" max="18" width="1.25" style="2" customWidth="1"/>
    <col min="19" max="19" width="10.75" style="2" customWidth="1"/>
    <col min="20" max="20" width="10" style="252" bestFit="1" customWidth="1"/>
    <col min="21" max="21" width="9.125" style="252" bestFit="1" customWidth="1"/>
    <col min="22" max="22" width="8.25" style="252" bestFit="1" customWidth="1"/>
    <col min="23" max="23" width="9.125" style="252" bestFit="1" customWidth="1"/>
    <col min="24" max="24" width="11" style="252" customWidth="1"/>
    <col min="25" max="25" width="1.25" style="2" customWidth="1"/>
    <col min="26" max="26" width="10" style="2" customWidth="1"/>
    <col min="27" max="27" width="11" style="2" customWidth="1"/>
    <col min="28" max="28" width="11.25" style="252" customWidth="1"/>
    <col min="29" max="29" width="12.625" style="252" customWidth="1"/>
    <col min="30" max="30" width="9.25" style="252" customWidth="1"/>
    <col min="31" max="31" width="8" style="252"/>
    <col min="32" max="32" width="9.25" style="530" customWidth="1"/>
    <col min="33" max="33" width="5.625" style="530" bestFit="1" customWidth="1"/>
    <col min="34" max="34" width="3.25" style="530" customWidth="1"/>
    <col min="35" max="35" width="8.75" style="530" customWidth="1"/>
    <col min="36" max="36" width="5.625" style="530" bestFit="1" customWidth="1"/>
    <col min="37" max="37" width="12.625" style="530" customWidth="1"/>
    <col min="38" max="38" width="5.625" style="530" bestFit="1" customWidth="1"/>
    <col min="39" max="39" width="10" style="252" bestFit="1" customWidth="1"/>
    <col min="40" max="40" width="13.25" style="252" customWidth="1"/>
    <col min="41" max="16384" width="8" style="252"/>
  </cols>
  <sheetData>
    <row r="1" spans="1:39">
      <c r="L1" s="2"/>
      <c r="M1" s="2"/>
      <c r="N1" s="2"/>
      <c r="O1" s="2"/>
      <c r="P1" s="501"/>
      <c r="Q1" s="501"/>
      <c r="T1" s="501"/>
      <c r="U1" s="501"/>
      <c r="V1" s="501"/>
      <c r="W1" s="501"/>
      <c r="X1" s="501"/>
      <c r="AB1" s="501"/>
      <c r="AC1" s="501"/>
    </row>
    <row r="2" spans="1:39">
      <c r="L2" s="2"/>
      <c r="M2" s="2"/>
      <c r="N2" s="2"/>
      <c r="O2" s="2"/>
      <c r="P2" s="501"/>
      <c r="Q2" s="501"/>
      <c r="T2" s="501"/>
      <c r="U2" s="501"/>
      <c r="V2" s="501"/>
      <c r="W2" s="501"/>
      <c r="X2" s="501"/>
      <c r="AB2" s="501"/>
      <c r="AC2" s="501"/>
    </row>
    <row r="3" spans="1:39">
      <c r="L3" s="2"/>
      <c r="M3" s="2"/>
      <c r="N3" s="2"/>
      <c r="O3" s="2"/>
      <c r="P3" s="501"/>
      <c r="Q3" s="501"/>
      <c r="T3" s="501"/>
      <c r="U3" s="501"/>
      <c r="V3" s="501"/>
      <c r="W3" s="501"/>
      <c r="X3" s="501"/>
      <c r="AB3" s="501"/>
      <c r="AC3" s="501"/>
    </row>
    <row r="4" spans="1:39">
      <c r="L4" s="2"/>
      <c r="M4" s="2"/>
      <c r="N4" s="2"/>
      <c r="O4" s="2"/>
      <c r="P4" s="501"/>
      <c r="Q4" s="501"/>
      <c r="T4" s="501"/>
      <c r="U4" s="501"/>
      <c r="V4" s="501"/>
      <c r="W4" s="501"/>
      <c r="X4" s="501"/>
      <c r="AB4" s="501"/>
      <c r="AC4" s="501"/>
    </row>
    <row r="5" spans="1:39">
      <c r="L5" s="2"/>
      <c r="M5" s="2"/>
      <c r="N5" s="2"/>
      <c r="O5" s="2"/>
      <c r="P5" s="501"/>
      <c r="Q5" s="501"/>
      <c r="T5" s="501"/>
      <c r="U5" s="501"/>
      <c r="V5" s="501"/>
      <c r="W5" s="501"/>
      <c r="X5" s="501"/>
      <c r="AB5" s="501"/>
      <c r="AC5" s="501"/>
    </row>
    <row r="6" spans="1:39">
      <c r="A6" s="1156" t="s">
        <v>230</v>
      </c>
      <c r="B6" s="1156"/>
      <c r="C6" s="1156"/>
      <c r="D6" s="1156"/>
      <c r="E6" s="1156"/>
      <c r="F6" s="1156"/>
      <c r="G6" s="1156"/>
      <c r="H6" s="1156"/>
      <c r="I6" s="1156"/>
      <c r="J6" s="1156"/>
      <c r="K6" s="1156"/>
      <c r="L6" s="1156"/>
      <c r="M6" s="1156"/>
      <c r="N6" s="1156"/>
      <c r="O6" s="1156"/>
      <c r="P6" s="1156"/>
      <c r="Q6" s="1156"/>
      <c r="R6" s="1156"/>
      <c r="S6" s="1156"/>
      <c r="T6" s="1156"/>
      <c r="U6" s="1156"/>
      <c r="V6" s="1156"/>
      <c r="W6" s="1156"/>
      <c r="X6" s="1156"/>
      <c r="Y6" s="1156"/>
      <c r="Z6" s="1156"/>
      <c r="AA6" s="1156"/>
      <c r="AB6" s="1156"/>
      <c r="AC6" s="1156"/>
      <c r="AD6" s="531"/>
    </row>
    <row r="7" spans="1:39">
      <c r="A7" s="57"/>
      <c r="B7" s="57"/>
      <c r="C7" s="57"/>
      <c r="D7" s="57"/>
      <c r="E7" s="3"/>
      <c r="F7" s="57"/>
      <c r="G7" s="3"/>
      <c r="H7" s="57"/>
      <c r="I7" s="57"/>
      <c r="J7" s="57"/>
      <c r="K7" s="57"/>
      <c r="L7" s="57"/>
      <c r="M7" s="57"/>
      <c r="N7" s="4"/>
      <c r="O7" s="4"/>
      <c r="P7" s="501"/>
      <c r="Q7" s="501"/>
      <c r="R7" s="57"/>
      <c r="S7" s="57"/>
      <c r="T7" s="501"/>
      <c r="U7" s="501"/>
      <c r="V7" s="501"/>
      <c r="W7" s="501"/>
      <c r="X7" s="501"/>
      <c r="Y7" s="57"/>
      <c r="Z7" s="57"/>
      <c r="AA7" s="57"/>
      <c r="AB7" s="501"/>
      <c r="AC7" s="501"/>
    </row>
    <row r="8" spans="1:39">
      <c r="A8" s="3"/>
      <c r="B8" s="3"/>
      <c r="C8" s="3"/>
      <c r="D8" s="3"/>
      <c r="E8" s="57"/>
      <c r="F8" s="3"/>
      <c r="G8" s="1152" t="s">
        <v>231</v>
      </c>
      <c r="H8" s="1152"/>
      <c r="I8" s="1152"/>
      <c r="J8" s="1152"/>
      <c r="K8" s="3"/>
      <c r="L8" s="1152" t="s">
        <v>94</v>
      </c>
      <c r="M8" s="1152"/>
      <c r="N8" s="1152"/>
      <c r="O8" s="1152"/>
      <c r="P8" s="1152"/>
      <c r="Q8" s="58"/>
      <c r="R8" s="3"/>
      <c r="S8" s="1152" t="s">
        <v>95</v>
      </c>
      <c r="T8" s="1152"/>
      <c r="U8" s="1152"/>
      <c r="V8" s="1152"/>
      <c r="W8" s="1152"/>
      <c r="X8" s="1152"/>
      <c r="Y8" s="3"/>
      <c r="Z8" s="1152" t="s">
        <v>232</v>
      </c>
      <c r="AA8" s="1152"/>
      <c r="AB8" s="1152"/>
      <c r="AC8" s="1152"/>
      <c r="AD8" s="6"/>
    </row>
    <row r="9" spans="1:39" ht="37.5">
      <c r="A9" s="5" t="s">
        <v>56</v>
      </c>
      <c r="B9" s="5"/>
      <c r="C9" s="5"/>
      <c r="D9" s="5"/>
      <c r="E9" s="6" t="s">
        <v>233</v>
      </c>
      <c r="F9" s="5"/>
      <c r="G9" s="17" t="s">
        <v>234</v>
      </c>
      <c r="H9" s="5"/>
      <c r="I9" s="17" t="s">
        <v>235</v>
      </c>
      <c r="J9" s="17" t="s">
        <v>101</v>
      </c>
      <c r="K9" s="5"/>
      <c r="L9" s="17" t="s">
        <v>106</v>
      </c>
      <c r="M9" s="17" t="s">
        <v>236</v>
      </c>
      <c r="N9" s="5" t="s">
        <v>237</v>
      </c>
      <c r="O9" s="5" t="s">
        <v>109</v>
      </c>
      <c r="P9" s="5" t="s">
        <v>238</v>
      </c>
      <c r="Q9" s="5" t="s">
        <v>239</v>
      </c>
      <c r="R9" s="5"/>
      <c r="S9" s="5" t="s">
        <v>240</v>
      </c>
      <c r="T9" s="17" t="s">
        <v>106</v>
      </c>
      <c r="U9" s="17" t="s">
        <v>236</v>
      </c>
      <c r="V9" s="5" t="s">
        <v>237</v>
      </c>
      <c r="W9" s="5" t="s">
        <v>109</v>
      </c>
      <c r="X9" s="5" t="s">
        <v>238</v>
      </c>
      <c r="Y9" s="5"/>
      <c r="Z9" s="17" t="s">
        <v>241</v>
      </c>
      <c r="AA9" s="17" t="s">
        <v>242</v>
      </c>
      <c r="AB9" s="17" t="s">
        <v>243</v>
      </c>
      <c r="AC9" s="5" t="s">
        <v>244</v>
      </c>
      <c r="AD9" s="5"/>
    </row>
    <row r="10" spans="1:39" ht="14.45">
      <c r="A10" s="237" t="s">
        <v>57</v>
      </c>
      <c r="B10" s="58"/>
      <c r="C10" s="59" t="s">
        <v>194</v>
      </c>
      <c r="D10" s="58"/>
      <c r="E10" s="237" t="s">
        <v>245</v>
      </c>
      <c r="F10" s="58"/>
      <c r="G10" s="237" t="s">
        <v>246</v>
      </c>
      <c r="H10" s="58"/>
      <c r="I10" s="237" t="s">
        <v>247</v>
      </c>
      <c r="J10" s="237" t="s">
        <v>248</v>
      </c>
      <c r="K10" s="58"/>
      <c r="L10" s="237" t="s">
        <v>248</v>
      </c>
      <c r="M10" s="237" t="s">
        <v>248</v>
      </c>
      <c r="N10" s="237" t="s">
        <v>248</v>
      </c>
      <c r="O10" s="237" t="s">
        <v>248</v>
      </c>
      <c r="P10" s="237" t="s">
        <v>248</v>
      </c>
      <c r="Q10" s="237" t="s">
        <v>248</v>
      </c>
      <c r="R10" s="58"/>
      <c r="S10" s="237" t="s">
        <v>248</v>
      </c>
      <c r="T10" s="237" t="s">
        <v>248</v>
      </c>
      <c r="U10" s="237" t="s">
        <v>248</v>
      </c>
      <c r="V10" s="237" t="s">
        <v>248</v>
      </c>
      <c r="W10" s="237" t="s">
        <v>248</v>
      </c>
      <c r="X10" s="237" t="s">
        <v>248</v>
      </c>
      <c r="Y10" s="58"/>
      <c r="Z10" s="237" t="s">
        <v>248</v>
      </c>
      <c r="AA10" s="237" t="s">
        <v>247</v>
      </c>
      <c r="AB10" s="237" t="s">
        <v>248</v>
      </c>
      <c r="AC10" s="237" t="s">
        <v>249</v>
      </c>
      <c r="AD10" s="6"/>
      <c r="AF10" s="532"/>
    </row>
    <row r="11" spans="1:39">
      <c r="A11" s="6"/>
      <c r="B11" s="58"/>
      <c r="C11" s="58"/>
      <c r="D11" s="58"/>
      <c r="E11" s="6"/>
      <c r="F11" s="58"/>
      <c r="G11" s="6" t="s">
        <v>9</v>
      </c>
      <c r="H11" s="6"/>
      <c r="I11" s="6" t="s">
        <v>10</v>
      </c>
      <c r="J11" s="6" t="s">
        <v>58</v>
      </c>
      <c r="K11" s="6"/>
      <c r="L11" s="123" t="s">
        <v>12</v>
      </c>
      <c r="M11" s="123" t="s">
        <v>13</v>
      </c>
      <c r="N11" s="123" t="s">
        <v>115</v>
      </c>
      <c r="O11" s="123" t="s">
        <v>209</v>
      </c>
      <c r="P11" s="6" t="s">
        <v>210</v>
      </c>
      <c r="Q11" s="6" t="s">
        <v>250</v>
      </c>
      <c r="R11" s="6"/>
      <c r="S11" s="6" t="s">
        <v>251</v>
      </c>
      <c r="T11" s="6" t="s">
        <v>120</v>
      </c>
      <c r="U11" s="6" t="s">
        <v>121</v>
      </c>
      <c r="V11" s="6" t="s">
        <v>122</v>
      </c>
      <c r="W11" s="6" t="s">
        <v>252</v>
      </c>
      <c r="X11" s="6" t="s">
        <v>253</v>
      </c>
      <c r="Y11" s="6"/>
      <c r="Z11" s="6" t="s">
        <v>254</v>
      </c>
      <c r="AA11" s="6" t="s">
        <v>255</v>
      </c>
      <c r="AB11" s="6" t="s">
        <v>256</v>
      </c>
      <c r="AC11" s="6" t="s">
        <v>257</v>
      </c>
      <c r="AD11" s="6"/>
      <c r="AF11" s="532"/>
    </row>
    <row r="12" spans="1:39" ht="12.95">
      <c r="A12" s="6"/>
      <c r="B12" s="58"/>
      <c r="C12" s="9" t="s">
        <v>125</v>
      </c>
      <c r="D12" s="58"/>
      <c r="E12" s="533"/>
      <c r="F12" s="58"/>
      <c r="G12" s="533"/>
      <c r="H12" s="58"/>
      <c r="I12" s="534"/>
      <c r="J12" s="534"/>
      <c r="K12" s="58"/>
      <c r="L12" s="534"/>
      <c r="M12" s="534"/>
      <c r="N12" s="534"/>
      <c r="O12" s="534"/>
      <c r="P12" s="534"/>
      <c r="Q12" s="534"/>
      <c r="R12" s="58"/>
      <c r="S12" s="58"/>
      <c r="T12" s="534"/>
      <c r="U12" s="534"/>
      <c r="V12" s="534"/>
      <c r="W12" s="501"/>
      <c r="X12" s="501"/>
      <c r="Y12" s="58"/>
      <c r="Z12" s="58"/>
      <c r="AA12" s="58"/>
      <c r="AB12" s="501"/>
      <c r="AC12" s="501"/>
      <c r="AF12" s="532"/>
    </row>
    <row r="13" spans="1:39" ht="12.95">
      <c r="A13" s="6"/>
      <c r="B13" s="58"/>
      <c r="C13" s="9" t="s">
        <v>127</v>
      </c>
      <c r="D13" s="58"/>
      <c r="E13" s="533"/>
      <c r="F13" s="58"/>
      <c r="G13" s="533"/>
      <c r="H13" s="58"/>
      <c r="I13" s="534"/>
      <c r="J13" s="534"/>
      <c r="K13" s="58"/>
      <c r="L13" s="534"/>
      <c r="M13" s="534"/>
      <c r="N13" s="534"/>
      <c r="O13" s="534"/>
      <c r="P13" s="534"/>
      <c r="Q13" s="534"/>
      <c r="R13" s="58"/>
      <c r="S13" s="58"/>
      <c r="T13" s="534"/>
      <c r="U13" s="534"/>
      <c r="V13" s="534"/>
      <c r="W13" s="501"/>
      <c r="X13" s="501"/>
      <c r="Y13" s="58"/>
      <c r="Z13" s="58"/>
      <c r="AA13" s="58"/>
      <c r="AB13" s="501"/>
      <c r="AC13" s="501"/>
      <c r="AF13" s="532"/>
    </row>
    <row r="14" spans="1:39">
      <c r="A14" s="6">
        <v>1</v>
      </c>
      <c r="B14" s="58"/>
      <c r="C14" s="10" t="s">
        <v>258</v>
      </c>
      <c r="D14" s="58"/>
      <c r="E14" s="535" t="s">
        <v>259</v>
      </c>
      <c r="F14" s="58"/>
      <c r="G14" s="536">
        <v>25957058</v>
      </c>
      <c r="H14" s="58"/>
      <c r="I14" s="537">
        <v>21.878786989991127</v>
      </c>
      <c r="J14" s="536">
        <f>G14*I14/1000</f>
        <v>567908.94286884507</v>
      </c>
      <c r="K14" s="58"/>
      <c r="L14" s="538">
        <v>0</v>
      </c>
      <c r="M14" s="538">
        <v>0</v>
      </c>
      <c r="N14" s="538">
        <v>0</v>
      </c>
      <c r="O14" s="538">
        <v>0</v>
      </c>
      <c r="P14" s="538">
        <v>0</v>
      </c>
      <c r="Q14" s="534">
        <f>J14-L14-M14-N14-O14-P14</f>
        <v>567908.94286884507</v>
      </c>
      <c r="R14" s="58"/>
      <c r="S14" s="536">
        <v>15518.274592247908</v>
      </c>
      <c r="T14" s="536">
        <v>58464.788364658962</v>
      </c>
      <c r="U14" s="538">
        <v>0</v>
      </c>
      <c r="V14" s="538">
        <v>0</v>
      </c>
      <c r="W14" s="538">
        <v>0</v>
      </c>
      <c r="X14" s="538">
        <v>0</v>
      </c>
      <c r="Y14" s="58"/>
      <c r="Z14" s="539">
        <f>Q14+S14+T14+U14+V14+W14+X14</f>
        <v>641892.00582575193</v>
      </c>
      <c r="AA14" s="540">
        <f>Z14/G14*1000</f>
        <v>24.728996861884422</v>
      </c>
      <c r="AB14" s="534">
        <f>Z14-J14</f>
        <v>73983.062956906855</v>
      </c>
      <c r="AC14" s="541">
        <f>AA14/I14-1</f>
        <v>0.13027275566955243</v>
      </c>
      <c r="AD14" s="542"/>
      <c r="AF14" s="543"/>
      <c r="AI14" s="543"/>
      <c r="AK14" s="543"/>
      <c r="AM14" s="544"/>
    </row>
    <row r="15" spans="1:39">
      <c r="A15" s="6"/>
      <c r="B15" s="58"/>
      <c r="C15" s="521" t="s">
        <v>260</v>
      </c>
      <c r="D15" s="58"/>
      <c r="E15" s="545"/>
      <c r="F15" s="58"/>
      <c r="G15" s="536"/>
      <c r="H15" s="58"/>
      <c r="I15" s="546"/>
      <c r="J15" s="534"/>
      <c r="K15" s="58"/>
      <c r="L15" s="538"/>
      <c r="M15" s="538"/>
      <c r="N15" s="538"/>
      <c r="O15" s="538"/>
      <c r="P15" s="538"/>
      <c r="Q15" s="534"/>
      <c r="R15" s="58"/>
      <c r="S15" s="58"/>
      <c r="T15" s="534"/>
      <c r="U15" s="538"/>
      <c r="V15" s="538"/>
      <c r="W15" s="538"/>
      <c r="X15" s="538"/>
      <c r="Y15" s="58"/>
      <c r="Z15" s="539"/>
      <c r="AA15" s="540"/>
      <c r="AB15" s="534"/>
      <c r="AC15" s="541"/>
      <c r="AD15" s="542"/>
      <c r="AF15" s="532"/>
      <c r="AI15" s="543"/>
    </row>
    <row r="16" spans="1:39">
      <c r="A16" s="6">
        <f>MAX(A$14:A15)+1</f>
        <v>2</v>
      </c>
      <c r="B16" s="58"/>
      <c r="C16" s="12" t="s">
        <v>261</v>
      </c>
      <c r="D16" s="58"/>
      <c r="E16" s="535" t="s">
        <v>262</v>
      </c>
      <c r="F16" s="58"/>
      <c r="G16" s="536">
        <v>712504.72543658817</v>
      </c>
      <c r="H16" s="58"/>
      <c r="I16" s="547">
        <v>10.625586308573068</v>
      </c>
      <c r="J16" s="536">
        <f>G16*I16/100</f>
        <v>75707.804553926238</v>
      </c>
      <c r="K16" s="58"/>
      <c r="L16" s="536">
        <v>6370.5021444180629</v>
      </c>
      <c r="M16" s="538">
        <v>0</v>
      </c>
      <c r="N16" s="536">
        <v>75.363704646275892</v>
      </c>
      <c r="O16" s="536">
        <v>1852.1238562290882</v>
      </c>
      <c r="P16" s="536">
        <v>850.92417633214632</v>
      </c>
      <c r="Q16" s="534">
        <f>J16-L16-M16-N16-O16-P16</f>
        <v>66558.890672300666</v>
      </c>
      <c r="R16" s="58"/>
      <c r="S16" s="536">
        <v>1687.5234351447725</v>
      </c>
      <c r="T16" s="536">
        <v>1489.3069266303887</v>
      </c>
      <c r="U16" s="538">
        <v>0</v>
      </c>
      <c r="V16" s="536">
        <v>63.025010984317262</v>
      </c>
      <c r="W16" s="536">
        <v>2029.7810962375736</v>
      </c>
      <c r="X16" s="536">
        <v>760.00782252723377</v>
      </c>
      <c r="Y16" s="58"/>
      <c r="Z16" s="539">
        <f>Q16+S16+T16+U16+V16+W16+X16</f>
        <v>72588.534963824961</v>
      </c>
      <c r="AA16" s="548">
        <f>Z16/G16*100</f>
        <v>10.187796988903653</v>
      </c>
      <c r="AB16" s="549">
        <f>Z16-J16</f>
        <v>-3119.2695901012776</v>
      </c>
      <c r="AC16" s="541"/>
      <c r="AD16" s="542"/>
      <c r="AF16" s="543"/>
      <c r="AI16" s="543"/>
      <c r="AK16" s="543"/>
      <c r="AM16" s="544"/>
    </row>
    <row r="17" spans="1:39">
      <c r="A17" s="6">
        <f>MAX(A$14:A16)+1</f>
        <v>3</v>
      </c>
      <c r="B17" s="58"/>
      <c r="C17" s="12" t="s">
        <v>263</v>
      </c>
      <c r="D17" s="58"/>
      <c r="E17" s="535" t="s">
        <v>262</v>
      </c>
      <c r="F17" s="58"/>
      <c r="G17" s="536">
        <v>1022924.1636396735</v>
      </c>
      <c r="H17" s="58"/>
      <c r="I17" s="547">
        <v>9.9455984153461188</v>
      </c>
      <c r="J17" s="536">
        <f>G17*I17/100</f>
        <v>101735.92940913991</v>
      </c>
      <c r="K17" s="58"/>
      <c r="L17" s="536">
        <v>9145.9612061528078</v>
      </c>
      <c r="M17" s="538">
        <v>0</v>
      </c>
      <c r="N17" s="536">
        <v>108.19767475484646</v>
      </c>
      <c r="O17" s="536">
        <v>2659.0451669346044</v>
      </c>
      <c r="P17" s="536">
        <v>1221.6493032547696</v>
      </c>
      <c r="Q17" s="534">
        <f>J17-L17-M17-N17-O17-P17</f>
        <v>88601.076058042876</v>
      </c>
      <c r="R17" s="58"/>
      <c r="S17" s="536">
        <v>2233.8795094032248</v>
      </c>
      <c r="T17" s="536">
        <v>2138.1585103069574</v>
      </c>
      <c r="U17" s="538">
        <v>0</v>
      </c>
      <c r="V17" s="536">
        <v>90.483339054362091</v>
      </c>
      <c r="W17" s="536">
        <v>2914.1029611672775</v>
      </c>
      <c r="X17" s="536">
        <v>1091.123102014388</v>
      </c>
      <c r="Y17" s="58"/>
      <c r="Z17" s="539">
        <f>Q17+S17+T17+U17+V17+W17+X17</f>
        <v>97068.823479989078</v>
      </c>
      <c r="AA17" s="548">
        <f>Z17/G17*100</f>
        <v>9.4893470044355812</v>
      </c>
      <c r="AB17" s="549">
        <f>Z17-J17</f>
        <v>-4667.1059291508282</v>
      </c>
      <c r="AC17" s="541"/>
      <c r="AD17" s="542"/>
      <c r="AF17" s="543"/>
      <c r="AI17" s="543"/>
      <c r="AK17" s="543"/>
      <c r="AM17" s="544"/>
    </row>
    <row r="18" spans="1:39">
      <c r="A18" s="6">
        <f>MAX(A$14:A17)+1</f>
        <v>4</v>
      </c>
      <c r="B18" s="58"/>
      <c r="C18" s="12" t="s">
        <v>264</v>
      </c>
      <c r="D18" s="58"/>
      <c r="E18" s="535" t="s">
        <v>262</v>
      </c>
      <c r="F18" s="58"/>
      <c r="G18" s="536">
        <v>1109755.6772268531</v>
      </c>
      <c r="H18" s="58"/>
      <c r="I18" s="547">
        <v>9.4131350011351689</v>
      </c>
      <c r="J18" s="536">
        <f>G18*I18/100</f>
        <v>104462.80008012554</v>
      </c>
      <c r="K18" s="58"/>
      <c r="L18" s="536">
        <v>9922.3214515831023</v>
      </c>
      <c r="M18" s="538">
        <v>0</v>
      </c>
      <c r="N18" s="536">
        <v>117.38209741248355</v>
      </c>
      <c r="O18" s="536">
        <v>2884.7597650921834</v>
      </c>
      <c r="P18" s="536">
        <v>1325.3497160956388</v>
      </c>
      <c r="Q18" s="534">
        <f>J18-L18-M18-N18-O18-P18</f>
        <v>90212.987049942138</v>
      </c>
      <c r="R18" s="58"/>
      <c r="S18" s="536">
        <v>2263.0698819809768</v>
      </c>
      <c r="T18" s="536">
        <v>2319.6573411476188</v>
      </c>
      <c r="U18" s="538">
        <v>0</v>
      </c>
      <c r="V18" s="536">
        <v>98.16407000567412</v>
      </c>
      <c r="W18" s="536">
        <v>3161.4682887852196</v>
      </c>
      <c r="X18" s="536">
        <v>1183.7437222182741</v>
      </c>
      <c r="Y18" s="58"/>
      <c r="Z18" s="539">
        <f>Q18+S18+T18+U18+V18+W18+X18</f>
        <v>99239.090354079905</v>
      </c>
      <c r="AA18" s="548">
        <f>Z18/G18*100</f>
        <v>8.942426913468605</v>
      </c>
      <c r="AB18" s="549">
        <f>Z18-J18</f>
        <v>-5223.7097260456358</v>
      </c>
      <c r="AC18" s="541"/>
      <c r="AD18" s="542"/>
      <c r="AF18" s="543"/>
      <c r="AI18" s="543"/>
      <c r="AK18" s="543"/>
      <c r="AM18" s="544"/>
    </row>
    <row r="19" spans="1:39">
      <c r="A19" s="6">
        <f>MAX(A$14:A18)+1</f>
        <v>5</v>
      </c>
      <c r="B19" s="58"/>
      <c r="C19" s="12" t="s">
        <v>265</v>
      </c>
      <c r="D19" s="58"/>
      <c r="E19" s="535" t="s">
        <v>262</v>
      </c>
      <c r="F19" s="58"/>
      <c r="G19" s="536">
        <v>2166403.060431628</v>
      </c>
      <c r="H19" s="58"/>
      <c r="I19" s="547">
        <v>9.0162092414560693</v>
      </c>
      <c r="J19" s="536">
        <f>G19*I19/100</f>
        <v>195327.43294182356</v>
      </c>
      <c r="K19" s="58"/>
      <c r="L19" s="536">
        <v>19369.80184053785</v>
      </c>
      <c r="M19" s="538">
        <v>0</v>
      </c>
      <c r="N19" s="536">
        <v>229.14677554049152</v>
      </c>
      <c r="O19" s="536">
        <v>5631.4669183063925</v>
      </c>
      <c r="P19" s="536">
        <v>2587.2737035837213</v>
      </c>
      <c r="Q19" s="534">
        <f>J19-L19-M19-N19-O19-P19</f>
        <v>167509.74370385511</v>
      </c>
      <c r="R19" s="58"/>
      <c r="S19" s="536">
        <v>4184.3700727239193</v>
      </c>
      <c r="T19" s="536">
        <v>4528.3055235838492</v>
      </c>
      <c r="U19" s="538">
        <v>0</v>
      </c>
      <c r="V19" s="536">
        <v>191.63041563899569</v>
      </c>
      <c r="W19" s="536">
        <v>6171.6418458851322</v>
      </c>
      <c r="X19" s="536">
        <v>2310.8383901118577</v>
      </c>
      <c r="Y19" s="58"/>
      <c r="Z19" s="539">
        <f>Q19+S19+T19+U19+V19+W19+X19</f>
        <v>184896.52995179888</v>
      </c>
      <c r="AA19" s="548">
        <f>Z19/G19*100</f>
        <v>8.5347243700329987</v>
      </c>
      <c r="AB19" s="549">
        <f>Z19-J19</f>
        <v>-10430.902990024682</v>
      </c>
      <c r="AC19" s="541"/>
      <c r="AD19" s="542"/>
      <c r="AF19" s="543"/>
      <c r="AI19" s="543"/>
      <c r="AK19" s="543"/>
      <c r="AM19" s="544"/>
    </row>
    <row r="20" spans="1:39">
      <c r="A20" s="6">
        <f>MAX(A$14:A19)+1</f>
        <v>6</v>
      </c>
      <c r="B20" s="58"/>
      <c r="C20" s="521" t="s">
        <v>260</v>
      </c>
      <c r="D20" s="58"/>
      <c r="E20" s="545"/>
      <c r="F20" s="58"/>
      <c r="G20" s="550">
        <f>SUM(G16:G19)</f>
        <v>5011587.6267347429</v>
      </c>
      <c r="H20" s="58"/>
      <c r="I20" s="551">
        <f>J20/G20*100</f>
        <v>9.5226104486165184</v>
      </c>
      <c r="J20" s="552">
        <f>SUM(J16:J19)</f>
        <v>477233.96698501526</v>
      </c>
      <c r="K20" s="58"/>
      <c r="L20" s="553">
        <f>SUM(L16:L19)</f>
        <v>44808.586642691822</v>
      </c>
      <c r="M20" s="411">
        <f t="shared" ref="M20:P20" si="0">SUM(M16:M19)</f>
        <v>0</v>
      </c>
      <c r="N20" s="553">
        <f t="shared" si="0"/>
        <v>530.0902523540974</v>
      </c>
      <c r="O20" s="553">
        <f t="shared" si="0"/>
        <v>13027.395706562269</v>
      </c>
      <c r="P20" s="553">
        <f t="shared" si="0"/>
        <v>5985.1968992662751</v>
      </c>
      <c r="Q20" s="552">
        <f>SUM(Q16:Q19)</f>
        <v>412882.69748414075</v>
      </c>
      <c r="R20" s="58"/>
      <c r="S20" s="554">
        <f>SUM(S16:S19)</f>
        <v>10368.842899252893</v>
      </c>
      <c r="T20" s="552">
        <f>SUM(T16:T19)</f>
        <v>10475.428301668813</v>
      </c>
      <c r="U20" s="555">
        <f t="shared" ref="U20:X20" si="1">SUM(U16:U19)</f>
        <v>0</v>
      </c>
      <c r="V20" s="552">
        <f t="shared" si="1"/>
        <v>443.30283568334914</v>
      </c>
      <c r="W20" s="552">
        <f t="shared" si="1"/>
        <v>14276.994192075203</v>
      </c>
      <c r="X20" s="552">
        <f t="shared" si="1"/>
        <v>5345.7130368717535</v>
      </c>
      <c r="Y20" s="58"/>
      <c r="Z20" s="554">
        <f>SUM(Z16:Z19)</f>
        <v>453792.97874969279</v>
      </c>
      <c r="AA20" s="556">
        <f>Z20/G20*100</f>
        <v>9.0548746734247505</v>
      </c>
      <c r="AB20" s="557">
        <f>SUM(AB16:AB19)</f>
        <v>-23440.988235322424</v>
      </c>
      <c r="AC20" s="558">
        <f>AA20/I20-1</f>
        <v>-4.911844054901171E-2</v>
      </c>
      <c r="AD20" s="559"/>
      <c r="AF20" s="543"/>
      <c r="AI20" s="543"/>
      <c r="AK20" s="543"/>
      <c r="AM20" s="560"/>
    </row>
    <row r="21" spans="1:39">
      <c r="A21" s="6"/>
      <c r="B21" s="58"/>
      <c r="C21" s="10"/>
      <c r="D21" s="58"/>
      <c r="E21" s="545"/>
      <c r="F21" s="58"/>
      <c r="G21" s="536"/>
      <c r="H21" s="58"/>
      <c r="I21" s="534"/>
      <c r="J21" s="534"/>
      <c r="K21" s="58"/>
      <c r="L21" s="538"/>
      <c r="M21" s="538"/>
      <c r="N21" s="538"/>
      <c r="O21" s="538"/>
      <c r="P21" s="538"/>
      <c r="Q21" s="534"/>
      <c r="R21" s="58"/>
      <c r="S21" s="58"/>
      <c r="T21" s="534"/>
      <c r="U21" s="538"/>
      <c r="V21" s="538"/>
      <c r="W21" s="538"/>
      <c r="X21" s="538"/>
      <c r="Y21" s="58"/>
      <c r="Z21" s="58"/>
      <c r="AA21" s="58"/>
      <c r="AB21" s="501"/>
      <c r="AC21" s="541"/>
      <c r="AD21" s="542"/>
      <c r="AF21" s="532"/>
      <c r="AI21" s="543"/>
      <c r="AM21" s="560"/>
    </row>
    <row r="22" spans="1:39">
      <c r="A22" s="6">
        <f>MAX(A$14:A21)+1</f>
        <v>7</v>
      </c>
      <c r="B22" s="58"/>
      <c r="C22" s="10" t="s">
        <v>266</v>
      </c>
      <c r="D22" s="58"/>
      <c r="E22" s="545"/>
      <c r="F22" s="58"/>
      <c r="G22" s="550">
        <f>G20</f>
        <v>5011587.6267347429</v>
      </c>
      <c r="H22" s="58"/>
      <c r="I22" s="551">
        <f>J22/G22*100</f>
        <v>20.854527301457445</v>
      </c>
      <c r="J22" s="552">
        <f>J14+J20</f>
        <v>1045142.9098538603</v>
      </c>
      <c r="K22" s="534"/>
      <c r="L22" s="552">
        <f>L14+L20</f>
        <v>44808.586642691822</v>
      </c>
      <c r="M22" s="555">
        <f t="shared" ref="M22:Z22" si="2">M14+M20</f>
        <v>0</v>
      </c>
      <c r="N22" s="561">
        <f t="shared" si="2"/>
        <v>530.0902523540974</v>
      </c>
      <c r="O22" s="552">
        <f t="shared" si="2"/>
        <v>13027.395706562269</v>
      </c>
      <c r="P22" s="552">
        <f t="shared" si="2"/>
        <v>5985.1968992662751</v>
      </c>
      <c r="Q22" s="552">
        <f t="shared" si="2"/>
        <v>980791.64035298582</v>
      </c>
      <c r="R22" s="534"/>
      <c r="S22" s="552">
        <f t="shared" si="2"/>
        <v>25887.117491500801</v>
      </c>
      <c r="T22" s="552">
        <f t="shared" si="2"/>
        <v>68940.216666327775</v>
      </c>
      <c r="U22" s="555">
        <f t="shared" si="2"/>
        <v>0</v>
      </c>
      <c r="V22" s="552">
        <f t="shared" si="2"/>
        <v>443.30283568334914</v>
      </c>
      <c r="W22" s="552">
        <f t="shared" si="2"/>
        <v>14276.994192075203</v>
      </c>
      <c r="X22" s="552">
        <f t="shared" si="2"/>
        <v>5345.7130368717535</v>
      </c>
      <c r="Y22" s="534"/>
      <c r="Z22" s="552">
        <f t="shared" si="2"/>
        <v>1095684.9845754448</v>
      </c>
      <c r="AA22" s="556">
        <f>Z22/G22*100</f>
        <v>21.863031561703512</v>
      </c>
      <c r="AB22" s="557">
        <f>AB14+AB20</f>
        <v>50542.074721584431</v>
      </c>
      <c r="AC22" s="562">
        <f>AA22/I22-1</f>
        <v>4.8359008366283485E-2</v>
      </c>
      <c r="AD22" s="542"/>
      <c r="AE22" s="563"/>
      <c r="AF22" s="543"/>
      <c r="AI22" s="543"/>
      <c r="AK22" s="543"/>
      <c r="AM22" s="560"/>
    </row>
    <row r="23" spans="1:39">
      <c r="E23" s="545"/>
      <c r="G23" s="536"/>
      <c r="I23" s="534"/>
      <c r="J23" s="534"/>
      <c r="L23" s="538"/>
      <c r="M23" s="538"/>
      <c r="N23" s="538"/>
      <c r="O23" s="538"/>
      <c r="P23" s="538"/>
      <c r="Q23" s="538"/>
      <c r="R23" s="64"/>
      <c r="S23" s="64"/>
      <c r="T23" s="538"/>
      <c r="U23" s="538"/>
      <c r="V23" s="538"/>
      <c r="W23" s="538"/>
      <c r="X23" s="538"/>
      <c r="Y23" s="64"/>
      <c r="Z23" s="64"/>
      <c r="AA23" s="64"/>
      <c r="AB23" s="538"/>
      <c r="AC23" s="541"/>
      <c r="AD23" s="542"/>
      <c r="AE23" s="563"/>
      <c r="AF23" s="532"/>
      <c r="AI23" s="543"/>
      <c r="AM23" s="560"/>
    </row>
    <row r="24" spans="1:39">
      <c r="A24" s="6">
        <f>MAX(A$14:A23)+1</f>
        <v>8</v>
      </c>
      <c r="B24" s="58"/>
      <c r="C24" s="12" t="s">
        <v>267</v>
      </c>
      <c r="D24" s="58"/>
      <c r="E24" s="535" t="s">
        <v>262</v>
      </c>
      <c r="F24" s="58"/>
      <c r="G24" s="536">
        <v>5011587.6267347429</v>
      </c>
      <c r="H24" s="58"/>
      <c r="I24" s="547">
        <v>1.2932710721024872</v>
      </c>
      <c r="J24" s="536">
        <f>G24*I24/100</f>
        <v>64813.413029628005</v>
      </c>
      <c r="K24" s="58"/>
      <c r="L24" s="538">
        <v>0</v>
      </c>
      <c r="M24" s="536">
        <v>15787.788096522025</v>
      </c>
      <c r="N24" s="538">
        <v>0</v>
      </c>
      <c r="O24" s="538">
        <v>0</v>
      </c>
      <c r="P24" s="538">
        <v>0</v>
      </c>
      <c r="Q24" s="534">
        <f>J24-L24-M24-N24-O24-P24</f>
        <v>49025.624933105981</v>
      </c>
      <c r="R24" s="564"/>
      <c r="S24" s="536">
        <v>519.29569540369266</v>
      </c>
      <c r="T24" s="538">
        <v>0</v>
      </c>
      <c r="U24" s="536">
        <v>15733.138523330314</v>
      </c>
      <c r="V24" s="538">
        <v>0</v>
      </c>
      <c r="W24" s="538">
        <v>0</v>
      </c>
      <c r="X24" s="538">
        <v>0</v>
      </c>
      <c r="Y24" s="564"/>
      <c r="Z24" s="539">
        <f>Q24+S24+T24+U24+V24+W24+X24</f>
        <v>65278.059151839989</v>
      </c>
      <c r="AA24" s="548">
        <f>Z24/G24*100</f>
        <v>1.3025425077595889</v>
      </c>
      <c r="AB24" s="549">
        <f>Z24-J24</f>
        <v>464.64612221198331</v>
      </c>
      <c r="AC24" s="559">
        <f>AA24/I24-1</f>
        <v>7.1689809329988918E-3</v>
      </c>
      <c r="AD24" s="559"/>
      <c r="AE24" s="563"/>
      <c r="AF24" s="543"/>
      <c r="AI24" s="543"/>
      <c r="AK24" s="543"/>
      <c r="AM24" s="560"/>
    </row>
    <row r="25" spans="1:39">
      <c r="A25" s="6"/>
      <c r="B25" s="58"/>
      <c r="C25" s="12"/>
      <c r="D25" s="58"/>
      <c r="E25" s="535"/>
      <c r="F25" s="58"/>
      <c r="G25" s="536"/>
      <c r="H25" s="58"/>
      <c r="I25" s="547"/>
      <c r="J25" s="536"/>
      <c r="K25" s="58"/>
      <c r="L25" s="538"/>
      <c r="M25" s="536"/>
      <c r="N25" s="538"/>
      <c r="O25" s="538"/>
      <c r="P25" s="538"/>
      <c r="Q25" s="538"/>
      <c r="R25" s="564"/>
      <c r="S25" s="536"/>
      <c r="T25" s="538"/>
      <c r="U25" s="536"/>
      <c r="V25" s="538"/>
      <c r="W25" s="538"/>
      <c r="X25" s="538"/>
      <c r="Y25" s="564"/>
      <c r="Z25" s="564"/>
      <c r="AA25" s="565"/>
      <c r="AB25" s="538"/>
      <c r="AC25" s="559"/>
      <c r="AD25" s="559"/>
      <c r="AE25" s="563"/>
      <c r="AF25" s="543"/>
      <c r="AI25" s="543"/>
      <c r="AK25" s="543"/>
      <c r="AM25" s="560"/>
    </row>
    <row r="26" spans="1:39">
      <c r="A26" s="6"/>
      <c r="B26" s="58"/>
      <c r="C26" s="10" t="s">
        <v>268</v>
      </c>
      <c r="D26" s="58"/>
      <c r="E26" s="535"/>
      <c r="F26" s="58"/>
      <c r="G26" s="536"/>
      <c r="H26" s="58"/>
      <c r="I26" s="547"/>
      <c r="J26" s="536"/>
      <c r="K26" s="58"/>
      <c r="L26" s="538"/>
      <c r="M26" s="536"/>
      <c r="N26" s="538"/>
      <c r="O26" s="538"/>
      <c r="P26" s="538"/>
      <c r="Q26" s="538"/>
      <c r="R26" s="564"/>
      <c r="S26" s="536"/>
      <c r="T26" s="538"/>
      <c r="U26" s="536"/>
      <c r="V26" s="538"/>
      <c r="W26" s="538"/>
      <c r="X26" s="538"/>
      <c r="Y26" s="564"/>
      <c r="Z26" s="564"/>
      <c r="AA26" s="565"/>
      <c r="AB26" s="538"/>
      <c r="AC26" s="559"/>
      <c r="AD26" s="559"/>
      <c r="AE26" s="563"/>
      <c r="AF26" s="543"/>
      <c r="AI26" s="543"/>
      <c r="AK26" s="543"/>
      <c r="AM26" s="560"/>
    </row>
    <row r="27" spans="1:39">
      <c r="A27" s="6">
        <f>MAX(A$14:A26)+1</f>
        <v>9</v>
      </c>
      <c r="B27" s="58"/>
      <c r="C27" s="12" t="s">
        <v>268</v>
      </c>
      <c r="D27" s="58"/>
      <c r="E27" s="535" t="s">
        <v>262</v>
      </c>
      <c r="F27" s="58"/>
      <c r="G27" s="536">
        <v>4941365.8225043351</v>
      </c>
      <c r="H27" s="58"/>
      <c r="I27" s="547">
        <v>3.9267443870173873</v>
      </c>
      <c r="J27" s="536">
        <f>G27*I27/100</f>
        <v>194034.80507718452</v>
      </c>
      <c r="K27" s="58"/>
      <c r="L27" s="538">
        <v>0</v>
      </c>
      <c r="M27" s="538">
        <v>0</v>
      </c>
      <c r="N27" s="538">
        <v>0</v>
      </c>
      <c r="O27" s="538">
        <v>0</v>
      </c>
      <c r="P27" s="538">
        <v>0</v>
      </c>
      <c r="Q27" s="534">
        <f>J27-L27-M27-N27-O27-P27</f>
        <v>194034.80507718452</v>
      </c>
      <c r="R27" s="564"/>
      <c r="S27" s="536">
        <v>101.60290604053898</v>
      </c>
      <c r="T27" s="538">
        <v>0</v>
      </c>
      <c r="U27" s="538">
        <v>0</v>
      </c>
      <c r="V27" s="538">
        <v>0</v>
      </c>
      <c r="W27" s="538">
        <v>0</v>
      </c>
      <c r="X27" s="538">
        <v>0</v>
      </c>
      <c r="Y27" s="564"/>
      <c r="Z27" s="539">
        <f>Q27+S27+T27+U27+V27+W27+X27</f>
        <v>194136.40798322504</v>
      </c>
      <c r="AA27" s="548">
        <f>Z27/G27*100</f>
        <v>3.9288005575113383</v>
      </c>
      <c r="AB27" s="549">
        <f>Z27-J27</f>
        <v>101.60290604052716</v>
      </c>
      <c r="AC27" s="541"/>
      <c r="AD27" s="542"/>
      <c r="AE27" s="563"/>
      <c r="AF27" s="543"/>
      <c r="AI27" s="543"/>
      <c r="AK27" s="543"/>
      <c r="AM27" s="560"/>
    </row>
    <row r="28" spans="1:39">
      <c r="A28" s="6">
        <f>MAX(A$14:A27)+1</f>
        <v>10</v>
      </c>
      <c r="B28" s="58"/>
      <c r="C28" s="12" t="s">
        <v>269</v>
      </c>
      <c r="D28" s="58"/>
      <c r="E28" s="535" t="s">
        <v>262</v>
      </c>
      <c r="F28" s="58"/>
      <c r="G28" s="536">
        <v>70111.872093691025</v>
      </c>
      <c r="H28" s="58"/>
      <c r="I28" s="547">
        <v>0.96972012770460903</v>
      </c>
      <c r="J28" s="536">
        <f>G28*I28/100</f>
        <v>679.88893560303268</v>
      </c>
      <c r="K28" s="58"/>
      <c r="L28" s="538">
        <v>0</v>
      </c>
      <c r="M28" s="538">
        <v>0</v>
      </c>
      <c r="N28" s="538">
        <v>0</v>
      </c>
      <c r="O28" s="538">
        <v>0</v>
      </c>
      <c r="P28" s="538">
        <v>0</v>
      </c>
      <c r="Q28" s="534">
        <f>J28-L28-M28-N28-O28-P28</f>
        <v>679.88893560303268</v>
      </c>
      <c r="R28" s="564"/>
      <c r="S28" s="536">
        <v>11.452686139010495</v>
      </c>
      <c r="T28" s="538">
        <v>0</v>
      </c>
      <c r="U28" s="538">
        <v>0</v>
      </c>
      <c r="V28" s="538">
        <v>0</v>
      </c>
      <c r="W28" s="538">
        <v>0</v>
      </c>
      <c r="X28" s="538">
        <v>0</v>
      </c>
      <c r="Y28" s="564"/>
      <c r="Z28" s="539">
        <f>Q28+S28+T28+U28+V28+W28+X28</f>
        <v>691.34162174204312</v>
      </c>
      <c r="AA28" s="548">
        <f>Z28/G28*100</f>
        <v>0.98605500195202045</v>
      </c>
      <c r="AB28" s="549">
        <f>Z28-J28</f>
        <v>11.452686139010439</v>
      </c>
      <c r="AC28" s="541"/>
      <c r="AD28" s="542"/>
      <c r="AE28" s="563"/>
      <c r="AF28" s="543"/>
      <c r="AI28" s="543"/>
      <c r="AK28" s="543"/>
      <c r="AM28" s="560"/>
    </row>
    <row r="29" spans="1:39">
      <c r="A29" s="6">
        <f>MAX(A$14:A28)+1</f>
        <v>11</v>
      </c>
      <c r="B29" s="58"/>
      <c r="C29" s="10" t="s">
        <v>268</v>
      </c>
      <c r="D29" s="58"/>
      <c r="E29" s="535"/>
      <c r="F29" s="58"/>
      <c r="G29" s="553">
        <f>SUM(G27:G28)</f>
        <v>5011477.6945980266</v>
      </c>
      <c r="H29" s="58"/>
      <c r="I29" s="566">
        <f>J29/G29*100</f>
        <v>3.8853748510678687</v>
      </c>
      <c r="J29" s="553">
        <f>SUM(J27:J28)</f>
        <v>194714.69401278754</v>
      </c>
      <c r="K29" s="536"/>
      <c r="L29" s="411">
        <f t="shared" ref="L29:X29" si="3">SUM(L27:L28)</f>
        <v>0</v>
      </c>
      <c r="M29" s="411">
        <f t="shared" si="3"/>
        <v>0</v>
      </c>
      <c r="N29" s="411">
        <f t="shared" si="3"/>
        <v>0</v>
      </c>
      <c r="O29" s="411">
        <f t="shared" si="3"/>
        <v>0</v>
      </c>
      <c r="P29" s="411">
        <f t="shared" si="3"/>
        <v>0</v>
      </c>
      <c r="Q29" s="552">
        <f>SUM(Q25:Q28)</f>
        <v>194714.69401278754</v>
      </c>
      <c r="R29" s="536"/>
      <c r="S29" s="553">
        <f t="shared" si="3"/>
        <v>113.05559217954948</v>
      </c>
      <c r="T29" s="411">
        <f t="shared" si="3"/>
        <v>0</v>
      </c>
      <c r="U29" s="411">
        <f t="shared" si="3"/>
        <v>0</v>
      </c>
      <c r="V29" s="411">
        <f t="shared" si="3"/>
        <v>0</v>
      </c>
      <c r="W29" s="411">
        <f t="shared" si="3"/>
        <v>0</v>
      </c>
      <c r="X29" s="411">
        <f t="shared" si="3"/>
        <v>0</v>
      </c>
      <c r="Y29" s="536"/>
      <c r="Z29" s="554">
        <f>SUM(Z25:Z28)</f>
        <v>194827.74960496707</v>
      </c>
      <c r="AA29" s="556">
        <f>Z29/G29*100</f>
        <v>3.8876307843288589</v>
      </c>
      <c r="AB29" s="557">
        <f>SUM(AB25:AB28)</f>
        <v>113.0555921795376</v>
      </c>
      <c r="AC29" s="562">
        <f>AA29/I29-1</f>
        <v>5.8062177974149698E-4</v>
      </c>
      <c r="AD29" s="542"/>
      <c r="AE29" s="563"/>
      <c r="AF29" s="532"/>
      <c r="AI29" s="543"/>
      <c r="AK29" s="532"/>
      <c r="AM29" s="560"/>
    </row>
    <row r="30" spans="1:39">
      <c r="A30" s="6"/>
      <c r="E30" s="567"/>
      <c r="G30" s="568"/>
      <c r="I30" s="534"/>
      <c r="J30" s="536"/>
      <c r="L30" s="538"/>
      <c r="M30" s="29"/>
      <c r="N30" s="538"/>
      <c r="O30" s="538"/>
      <c r="P30" s="538"/>
      <c r="Q30" s="538"/>
      <c r="R30" s="64"/>
      <c r="S30" s="536"/>
      <c r="T30" s="538"/>
      <c r="U30" s="538"/>
      <c r="V30" s="538"/>
      <c r="W30" s="538"/>
      <c r="X30" s="538"/>
      <c r="Y30" s="64"/>
      <c r="Z30" s="564"/>
      <c r="AA30" s="565"/>
      <c r="AB30" s="538"/>
      <c r="AC30" s="541"/>
      <c r="AD30" s="542"/>
      <c r="AE30" s="563"/>
      <c r="AF30" s="543"/>
      <c r="AI30" s="543"/>
      <c r="AK30" s="543"/>
      <c r="AM30" s="560"/>
    </row>
    <row r="31" spans="1:39">
      <c r="A31" s="6">
        <f>MAX(A$14:A30)+1</f>
        <v>12</v>
      </c>
      <c r="B31" s="58"/>
      <c r="C31" s="10" t="s">
        <v>270</v>
      </c>
      <c r="D31" s="58"/>
      <c r="E31" s="535" t="s">
        <v>262</v>
      </c>
      <c r="F31" s="58"/>
      <c r="G31" s="536">
        <v>4926335.0754972538</v>
      </c>
      <c r="H31" s="58"/>
      <c r="I31" s="547">
        <v>18.377497019556195</v>
      </c>
      <c r="J31" s="536">
        <f>G31*I31/100</f>
        <v>905337.08167285915</v>
      </c>
      <c r="K31" s="58"/>
      <c r="L31" s="538">
        <v>0</v>
      </c>
      <c r="M31" s="538">
        <v>0</v>
      </c>
      <c r="N31" s="538">
        <v>0</v>
      </c>
      <c r="O31" s="538">
        <v>0</v>
      </c>
      <c r="P31" s="538">
        <v>0</v>
      </c>
      <c r="Q31" s="534">
        <f>J31-L31-M31-N31-O31-P31</f>
        <v>905337.08167285915</v>
      </c>
      <c r="R31" s="564"/>
      <c r="S31" s="536">
        <v>114.35741808653347</v>
      </c>
      <c r="T31" s="538">
        <v>0</v>
      </c>
      <c r="U31" s="538">
        <v>0</v>
      </c>
      <c r="V31" s="538">
        <v>0</v>
      </c>
      <c r="W31" s="538">
        <v>0</v>
      </c>
      <c r="X31" s="538">
        <v>0</v>
      </c>
      <c r="Y31" s="564"/>
      <c r="Z31" s="539">
        <f>Q31+S31+T31+U31+V31+W31+X31</f>
        <v>905451.43909094564</v>
      </c>
      <c r="AA31" s="548">
        <f>Z31/G31*100</f>
        <v>18.379818368314123</v>
      </c>
      <c r="AB31" s="549">
        <f>Z31-J31</f>
        <v>114.35741808649618</v>
      </c>
      <c r="AC31" s="541">
        <f>AA31/I31-1</f>
        <v>1.2631474000279752E-4</v>
      </c>
      <c r="AD31" s="542"/>
      <c r="AE31" s="563"/>
      <c r="AF31" s="543"/>
      <c r="AI31" s="543"/>
      <c r="AK31" s="543"/>
      <c r="AM31" s="560"/>
    </row>
    <row r="32" spans="1:39">
      <c r="A32" s="6"/>
      <c r="B32" s="58"/>
      <c r="C32" s="10"/>
      <c r="D32" s="58"/>
      <c r="E32" s="545"/>
      <c r="F32" s="58"/>
      <c r="G32" s="536"/>
      <c r="H32" s="58"/>
      <c r="I32" s="534"/>
      <c r="J32" s="534"/>
      <c r="K32" s="58"/>
      <c r="L32" s="538"/>
      <c r="M32" s="538"/>
      <c r="N32" s="538"/>
      <c r="O32" s="538"/>
      <c r="P32" s="538"/>
      <c r="Q32" s="538"/>
      <c r="R32" s="564"/>
      <c r="S32" s="564"/>
      <c r="T32" s="538"/>
      <c r="U32" s="538"/>
      <c r="V32" s="538"/>
      <c r="W32" s="538"/>
      <c r="X32" s="538"/>
      <c r="Y32" s="564"/>
      <c r="Z32" s="564"/>
      <c r="AA32" s="548"/>
      <c r="AB32" s="549"/>
      <c r="AC32" s="541"/>
      <c r="AD32" s="542"/>
      <c r="AE32" s="563"/>
      <c r="AI32" s="543"/>
      <c r="AM32" s="560"/>
    </row>
    <row r="33" spans="1:39" ht="12.95" thickBot="1">
      <c r="A33" s="6">
        <f>MAX(A$14:A32)+1</f>
        <v>13</v>
      </c>
      <c r="B33" s="58"/>
      <c r="C33" s="10" t="s">
        <v>271</v>
      </c>
      <c r="D33" s="58"/>
      <c r="E33" s="545"/>
      <c r="F33" s="58"/>
      <c r="G33" s="569">
        <f>G20</f>
        <v>5011587.6267347429</v>
      </c>
      <c r="H33" s="58"/>
      <c r="I33" s="570">
        <f>J33/G33*100</f>
        <v>44.097963822475293</v>
      </c>
      <c r="J33" s="571">
        <f>J22+J24+J29+J31</f>
        <v>2210008.0985691352</v>
      </c>
      <c r="K33" s="534"/>
      <c r="L33" s="571">
        <f>L22+L24+L29+L31</f>
        <v>44808.586642691822</v>
      </c>
      <c r="M33" s="571">
        <f t="shared" ref="M33:Z33" si="4">M22+M24+M29+M31</f>
        <v>15787.788096522025</v>
      </c>
      <c r="N33" s="571">
        <f t="shared" si="4"/>
        <v>530.0902523540974</v>
      </c>
      <c r="O33" s="571">
        <f t="shared" si="4"/>
        <v>13027.395706562269</v>
      </c>
      <c r="P33" s="571">
        <f t="shared" si="4"/>
        <v>5985.1968992662751</v>
      </c>
      <c r="Q33" s="571">
        <f t="shared" si="4"/>
        <v>2129869.0409717383</v>
      </c>
      <c r="R33" s="534"/>
      <c r="S33" s="571">
        <f t="shared" si="4"/>
        <v>26633.826197170576</v>
      </c>
      <c r="T33" s="571">
        <f t="shared" si="4"/>
        <v>68940.216666327775</v>
      </c>
      <c r="U33" s="571">
        <f t="shared" si="4"/>
        <v>15733.138523330314</v>
      </c>
      <c r="V33" s="571">
        <f t="shared" si="4"/>
        <v>443.30283568334914</v>
      </c>
      <c r="W33" s="571">
        <f t="shared" si="4"/>
        <v>14276.994192075203</v>
      </c>
      <c r="X33" s="571">
        <f t="shared" si="4"/>
        <v>5345.7130368717535</v>
      </c>
      <c r="Y33" s="534"/>
      <c r="Z33" s="571">
        <f t="shared" si="4"/>
        <v>2261242.2324231975</v>
      </c>
      <c r="AA33" s="572">
        <f>Z33/G33*100</f>
        <v>45.120277262247342</v>
      </c>
      <c r="AB33" s="571">
        <f>AB22+AB24+AB29+AB31</f>
        <v>51234.133854062449</v>
      </c>
      <c r="AC33" s="573">
        <f>AA33/I33-1</f>
        <v>2.3182781043759038E-2</v>
      </c>
      <c r="AD33" s="542"/>
      <c r="AE33" s="563"/>
      <c r="AF33" s="543"/>
      <c r="AI33" s="543"/>
      <c r="AK33" s="543"/>
      <c r="AM33" s="560"/>
    </row>
    <row r="34" spans="1:39" ht="12.95" thickTop="1">
      <c r="A34" s="6"/>
      <c r="B34" s="58"/>
      <c r="D34" s="58"/>
      <c r="E34" s="574"/>
      <c r="F34" s="58"/>
      <c r="G34" s="132"/>
      <c r="H34" s="58"/>
      <c r="I34" s="501"/>
      <c r="J34" s="501"/>
      <c r="K34" s="58"/>
      <c r="L34" s="501"/>
      <c r="M34" s="501"/>
      <c r="N34" s="501"/>
      <c r="O34" s="501"/>
      <c r="P34" s="501"/>
      <c r="Q34" s="501"/>
      <c r="R34" s="58"/>
      <c r="S34" s="58"/>
      <c r="T34" s="501"/>
      <c r="U34" s="501"/>
      <c r="V34" s="501"/>
      <c r="W34" s="501"/>
      <c r="X34" s="501"/>
      <c r="Y34" s="58"/>
      <c r="Z34" s="539"/>
      <c r="AA34" s="58"/>
      <c r="AB34" s="501"/>
      <c r="AC34" s="501"/>
    </row>
    <row r="35" spans="1:39" ht="12.95">
      <c r="A35" s="6"/>
      <c r="B35" s="58"/>
      <c r="C35" s="9" t="s">
        <v>128</v>
      </c>
      <c r="D35" s="58"/>
      <c r="E35" s="128"/>
      <c r="F35" s="58"/>
      <c r="G35" s="575"/>
      <c r="H35" s="58"/>
      <c r="I35" s="501"/>
      <c r="J35" s="501"/>
      <c r="K35" s="58"/>
      <c r="L35" s="501"/>
      <c r="M35" s="501"/>
      <c r="N35" s="501"/>
      <c r="O35" s="501"/>
      <c r="P35" s="501"/>
      <c r="Q35" s="501"/>
      <c r="R35" s="58"/>
      <c r="S35" s="58"/>
      <c r="T35" s="501"/>
      <c r="U35" s="501"/>
      <c r="V35" s="501"/>
      <c r="W35" s="501"/>
      <c r="X35" s="501"/>
      <c r="Y35" s="58"/>
      <c r="Z35" s="58"/>
      <c r="AA35" s="58"/>
      <c r="AB35" s="501"/>
      <c r="AC35" s="501"/>
    </row>
    <row r="36" spans="1:39">
      <c r="A36" s="6">
        <f>MAX(A$14:A35)+1</f>
        <v>14</v>
      </c>
      <c r="B36" s="58"/>
      <c r="C36" s="10" t="s">
        <v>258</v>
      </c>
      <c r="D36" s="58"/>
      <c r="E36" s="535" t="s">
        <v>259</v>
      </c>
      <c r="F36" s="58"/>
      <c r="G36" s="536">
        <v>2075693</v>
      </c>
      <c r="H36" s="58"/>
      <c r="I36" s="537">
        <v>76.575754464968981</v>
      </c>
      <c r="J36" s="536">
        <f>G36*I36/1000</f>
        <v>158947.75751265488</v>
      </c>
      <c r="K36" s="58"/>
      <c r="L36" s="538">
        <v>0</v>
      </c>
      <c r="M36" s="538">
        <v>0</v>
      </c>
      <c r="N36" s="538">
        <v>0</v>
      </c>
      <c r="O36" s="538">
        <v>0</v>
      </c>
      <c r="P36" s="538">
        <v>0</v>
      </c>
      <c r="Q36" s="534">
        <f>J36-L36-M36-N36-O36-P36</f>
        <v>158947.75751265488</v>
      </c>
      <c r="R36" s="58"/>
      <c r="S36" s="536">
        <v>4343.2930188476748</v>
      </c>
      <c r="T36" s="29">
        <v>0</v>
      </c>
      <c r="U36" s="538">
        <v>0</v>
      </c>
      <c r="V36" s="538">
        <v>0</v>
      </c>
      <c r="W36" s="538">
        <v>0</v>
      </c>
      <c r="X36" s="538">
        <v>0</v>
      </c>
      <c r="Y36" s="58"/>
      <c r="Z36" s="539">
        <f>Q36+S36+T36+U36+V36+W36+X36</f>
        <v>163291.05053150255</v>
      </c>
      <c r="AA36" s="540">
        <f>Z36/G36*1000</f>
        <v>78.668208897704304</v>
      </c>
      <c r="AB36" s="534">
        <f>Z36-J36</f>
        <v>4343.2930188476748</v>
      </c>
      <c r="AC36" s="541">
        <f>AA36/I36-1</f>
        <v>2.7325286539521487E-2</v>
      </c>
      <c r="AD36" s="542"/>
      <c r="AF36" s="543"/>
      <c r="AI36" s="543"/>
      <c r="AK36" s="543"/>
      <c r="AM36" s="544"/>
    </row>
    <row r="37" spans="1:39">
      <c r="A37" s="6"/>
      <c r="B37" s="58"/>
      <c r="C37" s="521" t="s">
        <v>260</v>
      </c>
      <c r="D37" s="58"/>
      <c r="E37" s="545"/>
      <c r="F37" s="58"/>
      <c r="G37" s="536"/>
      <c r="H37" s="58"/>
      <c r="I37" s="546"/>
      <c r="J37" s="534"/>
      <c r="K37" s="58"/>
      <c r="L37" s="538"/>
      <c r="M37" s="538"/>
      <c r="N37" s="538"/>
      <c r="O37" s="538"/>
      <c r="P37" s="538"/>
      <c r="Q37" s="534"/>
      <c r="R37" s="58"/>
      <c r="S37" s="58"/>
      <c r="T37" s="534"/>
      <c r="U37" s="538"/>
      <c r="V37" s="538"/>
      <c r="W37" s="538"/>
      <c r="X37" s="538"/>
      <c r="Y37" s="58"/>
      <c r="Z37" s="539"/>
      <c r="AA37" s="540"/>
      <c r="AB37" s="534"/>
      <c r="AC37" s="541"/>
      <c r="AD37" s="542"/>
      <c r="AF37" s="543"/>
      <c r="AK37" s="543"/>
    </row>
    <row r="38" spans="1:39">
      <c r="A38" s="6">
        <f>MAX(A$14:A37)+1</f>
        <v>15</v>
      </c>
      <c r="B38" s="58"/>
      <c r="C38" s="12" t="s">
        <v>272</v>
      </c>
      <c r="D38" s="58"/>
      <c r="E38" s="535" t="s">
        <v>262</v>
      </c>
      <c r="F38" s="58"/>
      <c r="G38" s="536">
        <v>581366.01608913206</v>
      </c>
      <c r="H38" s="58"/>
      <c r="I38" s="547">
        <v>10.02372105089005</v>
      </c>
      <c r="J38" s="536">
        <f t="shared" ref="J38:J43" si="5">G38*I38/100</f>
        <v>58274.507737447166</v>
      </c>
      <c r="K38" s="58"/>
      <c r="L38" s="536">
        <v>2833.9180250907939</v>
      </c>
      <c r="M38" s="538">
        <v>0</v>
      </c>
      <c r="N38" s="536">
        <v>61.492780558158977</v>
      </c>
      <c r="O38" s="536">
        <v>1491.6446912700828</v>
      </c>
      <c r="P38" s="536">
        <v>591.47125002692655</v>
      </c>
      <c r="Q38" s="534">
        <f t="shared" ref="Q38:Q43" si="6">J38-L38-M38-N38-O38-P38</f>
        <v>53295.980990501201</v>
      </c>
      <c r="R38" s="58"/>
      <c r="S38" s="536">
        <v>1359.3894793747313</v>
      </c>
      <c r="T38" s="536">
        <v>3808.8893325852423</v>
      </c>
      <c r="U38" s="538">
        <v>0</v>
      </c>
      <c r="V38" s="536">
        <v>51.42506181622128</v>
      </c>
      <c r="W38" s="536">
        <v>1634.7244739925482</v>
      </c>
      <c r="X38" s="536">
        <v>528.27594904879106</v>
      </c>
      <c r="Y38" s="58"/>
      <c r="Z38" s="539">
        <f t="shared" ref="Z38:Z43" si="7">Q38+S38+T38+U38+V38+W38+X38</f>
        <v>60678.685287318724</v>
      </c>
      <c r="AA38" s="548">
        <f t="shared" ref="AA38:AA44" si="8">Z38/G38*100</f>
        <v>10.437260453492998</v>
      </c>
      <c r="AB38" s="534">
        <f t="shared" ref="AB38:AB43" si="9">Z38-J38</f>
        <v>2404.1775498715579</v>
      </c>
      <c r="AC38" s="541"/>
      <c r="AD38" s="542"/>
      <c r="AF38" s="543"/>
      <c r="AI38" s="543"/>
      <c r="AK38" s="543"/>
      <c r="AM38" s="560"/>
    </row>
    <row r="39" spans="1:39">
      <c r="A39" s="6">
        <f>MAX(A$14:A38)+1</f>
        <v>16</v>
      </c>
      <c r="B39" s="58"/>
      <c r="C39" s="12" t="s">
        <v>273</v>
      </c>
      <c r="D39" s="58"/>
      <c r="E39" s="535" t="s">
        <v>262</v>
      </c>
      <c r="F39" s="58"/>
      <c r="G39" s="536">
        <v>654833.14152139914</v>
      </c>
      <c r="H39" s="58"/>
      <c r="I39" s="547">
        <v>7.6575306126998592</v>
      </c>
      <c r="J39" s="536">
        <f t="shared" si="5"/>
        <v>50144.048274105327</v>
      </c>
      <c r="K39" s="58"/>
      <c r="L39" s="536">
        <v>3192.0397681102345</v>
      </c>
      <c r="M39" s="538">
        <v>0</v>
      </c>
      <c r="N39" s="536">
        <v>69.263612869335049</v>
      </c>
      <c r="O39" s="536">
        <v>1680.1435794079014</v>
      </c>
      <c r="P39" s="536">
        <v>666.21537216812499</v>
      </c>
      <c r="Q39" s="534">
        <f t="shared" si="6"/>
        <v>44536.385941549735</v>
      </c>
      <c r="R39" s="58"/>
      <c r="S39" s="536">
        <v>1113.1437458581495</v>
      </c>
      <c r="T39" s="536">
        <v>4290.2180353482227</v>
      </c>
      <c r="U39" s="538">
        <v>0</v>
      </c>
      <c r="V39" s="536">
        <v>57.923638207441201</v>
      </c>
      <c r="W39" s="536">
        <v>1841.3043301491118</v>
      </c>
      <c r="X39" s="536">
        <v>595.03409166039353</v>
      </c>
      <c r="Y39" s="58"/>
      <c r="Z39" s="539">
        <f t="shared" si="7"/>
        <v>52434.009782773057</v>
      </c>
      <c r="AA39" s="548">
        <f t="shared" si="8"/>
        <v>8.0072321417561572</v>
      </c>
      <c r="AB39" s="534">
        <f t="shared" si="9"/>
        <v>2289.9615086677295</v>
      </c>
      <c r="AC39" s="541"/>
      <c r="AD39" s="542"/>
      <c r="AF39" s="543"/>
      <c r="AI39" s="543"/>
      <c r="AK39" s="543"/>
      <c r="AM39" s="560"/>
    </row>
    <row r="40" spans="1:39">
      <c r="A40" s="6">
        <f>MAX(A$14:A39)+1</f>
        <v>17</v>
      </c>
      <c r="C40" s="12" t="s">
        <v>274</v>
      </c>
      <c r="E40" s="535" t="s">
        <v>262</v>
      </c>
      <c r="G40" s="536">
        <v>1156632.1092895225</v>
      </c>
      <c r="H40" s="58"/>
      <c r="I40" s="547">
        <v>6.0005324475411648</v>
      </c>
      <c r="J40" s="536">
        <f t="shared" si="5"/>
        <v>69404.085016597586</v>
      </c>
      <c r="K40" s="58"/>
      <c r="L40" s="536">
        <v>5638.1014579493876</v>
      </c>
      <c r="M40" s="538">
        <v>0</v>
      </c>
      <c r="N40" s="536">
        <v>122.34035446639645</v>
      </c>
      <c r="O40" s="536">
        <v>2967.6384546525037</v>
      </c>
      <c r="P40" s="536">
        <v>1176.7365490415418</v>
      </c>
      <c r="Q40" s="534">
        <f t="shared" si="6"/>
        <v>59499.268200487764</v>
      </c>
      <c r="R40" s="58"/>
      <c r="S40" s="536">
        <v>1449.0809448228611</v>
      </c>
      <c r="T40" s="536">
        <v>7577.8142871753344</v>
      </c>
      <c r="U40" s="538">
        <v>0</v>
      </c>
      <c r="V40" s="536">
        <v>102.31055148177246</v>
      </c>
      <c r="W40" s="536">
        <v>3252.2967702524297</v>
      </c>
      <c r="X40" s="536">
        <v>1051.0090172548871</v>
      </c>
      <c r="Y40" s="58"/>
      <c r="Z40" s="539">
        <f t="shared" si="7"/>
        <v>72931.779771475049</v>
      </c>
      <c r="AA40" s="548">
        <f t="shared" si="8"/>
        <v>6.3055295790010888</v>
      </c>
      <c r="AB40" s="534">
        <f t="shared" si="9"/>
        <v>3527.6947548774624</v>
      </c>
      <c r="AC40" s="541"/>
      <c r="AD40" s="542"/>
      <c r="AF40" s="543"/>
      <c r="AI40" s="543"/>
      <c r="AK40" s="543"/>
      <c r="AM40" s="560"/>
    </row>
    <row r="41" spans="1:39">
      <c r="A41" s="6">
        <f>MAX(A$14:A40)+1</f>
        <v>18</v>
      </c>
      <c r="C41" s="12" t="s">
        <v>275</v>
      </c>
      <c r="E41" s="535" t="s">
        <v>262</v>
      </c>
      <c r="G41" s="536">
        <v>751680.94105884049</v>
      </c>
      <c r="H41" s="58"/>
      <c r="I41" s="547">
        <v>4.9359527096542184</v>
      </c>
      <c r="J41" s="536">
        <f t="shared" si="5"/>
        <v>37102.615778148167</v>
      </c>
      <c r="K41" s="58"/>
      <c r="L41" s="536">
        <v>3664.1325929468626</v>
      </c>
      <c r="M41" s="538">
        <v>0</v>
      </c>
      <c r="N41" s="536">
        <v>79.507487329969834</v>
      </c>
      <c r="O41" s="536">
        <v>1928.6316265989249</v>
      </c>
      <c r="P41" s="536">
        <v>764.7465684704307</v>
      </c>
      <c r="Q41" s="534">
        <f t="shared" si="6"/>
        <v>30665.597502801978</v>
      </c>
      <c r="R41" s="58"/>
      <c r="S41" s="536">
        <v>725.84598156285574</v>
      </c>
      <c r="T41" s="536">
        <v>4924.7280347871292</v>
      </c>
      <c r="U41" s="538">
        <v>0</v>
      </c>
      <c r="V41" s="536">
        <v>66.490365432883905</v>
      </c>
      <c r="W41" s="536">
        <v>2113.627554718033</v>
      </c>
      <c r="X41" s="536">
        <v>683.03779638001208</v>
      </c>
      <c r="Y41" s="58"/>
      <c r="Z41" s="539">
        <f t="shared" si="7"/>
        <v>39179.327235682889</v>
      </c>
      <c r="AA41" s="548">
        <f t="shared" si="8"/>
        <v>5.2122283665319094</v>
      </c>
      <c r="AB41" s="534">
        <f t="shared" si="9"/>
        <v>2076.7114575347223</v>
      </c>
      <c r="AC41" s="541"/>
      <c r="AD41" s="542"/>
      <c r="AF41" s="543"/>
      <c r="AI41" s="543"/>
      <c r="AK41" s="543"/>
      <c r="AM41" s="560"/>
    </row>
    <row r="42" spans="1:39">
      <c r="A42" s="6">
        <f>MAX(A$14:A41)+1</f>
        <v>19</v>
      </c>
      <c r="C42" s="12" t="s">
        <v>276</v>
      </c>
      <c r="E42" s="535" t="s">
        <v>262</v>
      </c>
      <c r="G42" s="536">
        <v>714347.32692564209</v>
      </c>
      <c r="H42" s="58"/>
      <c r="I42" s="547">
        <v>4.4628924854344909</v>
      </c>
      <c r="J42" s="536">
        <f t="shared" si="5"/>
        <v>31880.553173266635</v>
      </c>
      <c r="K42" s="58"/>
      <c r="L42" s="536">
        <v>3482.1467198379078</v>
      </c>
      <c r="M42" s="538">
        <v>0</v>
      </c>
      <c r="N42" s="536">
        <v>75.558601984418814</v>
      </c>
      <c r="O42" s="536">
        <v>1832.8425956157771</v>
      </c>
      <c r="P42" s="536">
        <v>726.76402596144385</v>
      </c>
      <c r="Q42" s="534">
        <f t="shared" si="6"/>
        <v>25763.241229867086</v>
      </c>
      <c r="R42" s="58"/>
      <c r="S42" s="536">
        <v>598.62509940650489</v>
      </c>
      <c r="T42" s="536">
        <v>4680.1323744226411</v>
      </c>
      <c r="U42" s="538">
        <v>0</v>
      </c>
      <c r="V42" s="536">
        <v>63.187999347680304</v>
      </c>
      <c r="W42" s="536">
        <v>2008.6503612854249</v>
      </c>
      <c r="X42" s="536">
        <v>649.11347006608275</v>
      </c>
      <c r="Y42" s="58"/>
      <c r="Z42" s="539">
        <f t="shared" si="7"/>
        <v>33762.950534395422</v>
      </c>
      <c r="AA42" s="548">
        <f t="shared" si="8"/>
        <v>4.7264053859768804</v>
      </c>
      <c r="AB42" s="534">
        <f t="shared" si="9"/>
        <v>1882.3973611287875</v>
      </c>
      <c r="AC42" s="541"/>
      <c r="AD42" s="542"/>
      <c r="AF42" s="543"/>
      <c r="AI42" s="543"/>
      <c r="AK42" s="543"/>
      <c r="AM42" s="560"/>
    </row>
    <row r="43" spans="1:39">
      <c r="A43" s="6">
        <f>MAX(A$14:A42)+1</f>
        <v>20</v>
      </c>
      <c r="C43" s="12" t="s">
        <v>277</v>
      </c>
      <c r="E43" s="535" t="s">
        <v>262</v>
      </c>
      <c r="G43" s="536">
        <v>940380.33721585828</v>
      </c>
      <c r="H43" s="58"/>
      <c r="I43" s="547">
        <v>4.3440974799090117</v>
      </c>
      <c r="J43" s="536">
        <f t="shared" si="5"/>
        <v>40851.038530553968</v>
      </c>
      <c r="K43" s="58"/>
      <c r="L43" s="536">
        <v>4583.9638271329604</v>
      </c>
      <c r="M43" s="538">
        <v>0</v>
      </c>
      <c r="N43" s="536">
        <v>99.466773284451207</v>
      </c>
      <c r="O43" s="536">
        <v>2412.788671788735</v>
      </c>
      <c r="P43" s="536">
        <v>956.7259147609542</v>
      </c>
      <c r="Q43" s="534">
        <f t="shared" si="6"/>
        <v>32798.093343586865</v>
      </c>
      <c r="R43" s="58"/>
      <c r="S43" s="536">
        <v>757.90215826747954</v>
      </c>
      <c r="T43" s="536">
        <v>6161.0148097223</v>
      </c>
      <c r="U43" s="538">
        <v>0</v>
      </c>
      <c r="V43" s="536">
        <v>83.181877911264692</v>
      </c>
      <c r="W43" s="536">
        <v>2644.2253409467326</v>
      </c>
      <c r="X43" s="536">
        <v>854.50525376661494</v>
      </c>
      <c r="Y43" s="58"/>
      <c r="Z43" s="539">
        <f t="shared" si="7"/>
        <v>43298.922784201248</v>
      </c>
      <c r="AA43" s="548">
        <f t="shared" si="8"/>
        <v>4.6044053741483379</v>
      </c>
      <c r="AB43" s="534">
        <f t="shared" si="9"/>
        <v>2447.8842536472803</v>
      </c>
      <c r="AC43" s="541"/>
      <c r="AD43" s="542"/>
      <c r="AF43" s="543"/>
      <c r="AI43" s="543"/>
      <c r="AK43" s="543"/>
      <c r="AM43" s="560"/>
    </row>
    <row r="44" spans="1:39">
      <c r="A44" s="6">
        <f>MAX(A$14:A43)+1</f>
        <v>21</v>
      </c>
      <c r="B44" s="58"/>
      <c r="C44" s="521" t="s">
        <v>260</v>
      </c>
      <c r="D44" s="58"/>
      <c r="E44" s="545"/>
      <c r="F44" s="58"/>
      <c r="G44" s="550">
        <f>SUM(G38:G43)</f>
        <v>4799239.8721003952</v>
      </c>
      <c r="H44" s="58"/>
      <c r="I44" s="551">
        <f>J44/G44*100</f>
        <v>5.9938001886999945</v>
      </c>
      <c r="J44" s="552">
        <f>SUM(J38:J43)</f>
        <v>287656.84851011884</v>
      </c>
      <c r="K44" s="58"/>
      <c r="L44" s="553">
        <f>SUM(L38:L43)</f>
        <v>23394.302391068148</v>
      </c>
      <c r="M44" s="411">
        <f t="shared" ref="M44:Q44" si="10">SUM(M38:M43)</f>
        <v>0</v>
      </c>
      <c r="N44" s="553">
        <f t="shared" si="10"/>
        <v>507.62961049273036</v>
      </c>
      <c r="O44" s="553">
        <f t="shared" si="10"/>
        <v>12313.689619333923</v>
      </c>
      <c r="P44" s="553">
        <f t="shared" si="10"/>
        <v>4882.6596804294222</v>
      </c>
      <c r="Q44" s="552">
        <f t="shared" si="10"/>
        <v>246558.56720879464</v>
      </c>
      <c r="R44" s="58"/>
      <c r="S44" s="553">
        <f>SUM(S38:S43)</f>
        <v>6003.987409292582</v>
      </c>
      <c r="T44" s="553">
        <f t="shared" ref="T44:X44" si="11">SUM(T38:T43)</f>
        <v>31442.796874040869</v>
      </c>
      <c r="U44" s="411">
        <f t="shared" si="11"/>
        <v>0</v>
      </c>
      <c r="V44" s="553">
        <f t="shared" si="11"/>
        <v>424.51949419726384</v>
      </c>
      <c r="W44" s="553">
        <f t="shared" si="11"/>
        <v>13494.828831344281</v>
      </c>
      <c r="X44" s="553">
        <f t="shared" si="11"/>
        <v>4360.9755781767817</v>
      </c>
      <c r="Y44" s="58"/>
      <c r="Z44" s="554">
        <f>SUM(Z38:Z43)</f>
        <v>302285.67539584637</v>
      </c>
      <c r="AA44" s="556">
        <f t="shared" si="8"/>
        <v>6.2986156860617708</v>
      </c>
      <c r="AB44" s="552">
        <f>SUM(AB38:AB43)</f>
        <v>14628.82688572754</v>
      </c>
      <c r="AC44" s="558">
        <f>AA44/I44-1</f>
        <v>5.0855131596885705E-2</v>
      </c>
      <c r="AD44" s="559"/>
      <c r="AF44" s="543"/>
      <c r="AI44" s="543"/>
      <c r="AK44" s="543"/>
      <c r="AM44" s="560"/>
    </row>
    <row r="45" spans="1:39">
      <c r="A45" s="6"/>
      <c r="B45" s="58"/>
      <c r="C45" s="10"/>
      <c r="D45" s="58"/>
      <c r="E45" s="545"/>
      <c r="F45" s="58"/>
      <c r="G45" s="536"/>
      <c r="H45" s="58"/>
      <c r="I45" s="534"/>
      <c r="J45" s="534"/>
      <c r="K45" s="58"/>
      <c r="L45" s="538"/>
      <c r="M45" s="538"/>
      <c r="N45" s="538"/>
      <c r="O45" s="538"/>
      <c r="P45" s="538"/>
      <c r="Q45" s="534"/>
      <c r="R45" s="58"/>
      <c r="S45" s="58"/>
      <c r="T45" s="534"/>
      <c r="U45" s="538"/>
      <c r="V45" s="538"/>
      <c r="W45" s="538"/>
      <c r="X45" s="538"/>
      <c r="Y45" s="58"/>
      <c r="Z45" s="58"/>
      <c r="AA45" s="58"/>
      <c r="AB45" s="501"/>
      <c r="AC45" s="541"/>
      <c r="AD45" s="542"/>
      <c r="AF45" s="543"/>
      <c r="AK45" s="543"/>
      <c r="AM45" s="560"/>
    </row>
    <row r="46" spans="1:39">
      <c r="A46" s="6">
        <f>MAX(A$14:A45)+1</f>
        <v>22</v>
      </c>
      <c r="B46" s="58"/>
      <c r="C46" s="10" t="s">
        <v>266</v>
      </c>
      <c r="D46" s="58"/>
      <c r="E46" s="545"/>
      <c r="F46" s="58"/>
      <c r="G46" s="550">
        <f>G44</f>
        <v>4799239.8721003952</v>
      </c>
      <c r="H46" s="58"/>
      <c r="I46" s="551">
        <f>J46/G46*100</f>
        <v>9.3057362816773832</v>
      </c>
      <c r="J46" s="552">
        <f>J36+J44</f>
        <v>446604.60602277372</v>
      </c>
      <c r="K46" s="534"/>
      <c r="L46" s="552">
        <f>L36+L44</f>
        <v>23394.302391068148</v>
      </c>
      <c r="M46" s="555">
        <f t="shared" ref="M46:Q46" si="12">M36+M44</f>
        <v>0</v>
      </c>
      <c r="N46" s="552">
        <f t="shared" si="12"/>
        <v>507.62961049273036</v>
      </c>
      <c r="O46" s="552">
        <f t="shared" si="12"/>
        <v>12313.689619333923</v>
      </c>
      <c r="P46" s="552">
        <f t="shared" si="12"/>
        <v>4882.6596804294222</v>
      </c>
      <c r="Q46" s="552">
        <f t="shared" si="12"/>
        <v>405506.32472144952</v>
      </c>
      <c r="R46" s="534"/>
      <c r="S46" s="552">
        <f>S36+S44</f>
        <v>10347.280428140257</v>
      </c>
      <c r="T46" s="552">
        <f t="shared" ref="T46:X46" si="13">T36+T44</f>
        <v>31442.796874040869</v>
      </c>
      <c r="U46" s="555">
        <f t="shared" si="13"/>
        <v>0</v>
      </c>
      <c r="V46" s="552">
        <f t="shared" si="13"/>
        <v>424.51949419726384</v>
      </c>
      <c r="W46" s="552">
        <f t="shared" si="13"/>
        <v>13494.828831344281</v>
      </c>
      <c r="X46" s="552">
        <f t="shared" si="13"/>
        <v>4360.9755781767817</v>
      </c>
      <c r="Y46" s="534"/>
      <c r="Z46" s="552">
        <f>Z36+Z38+Z39+Z40+Z41+Z42+Z43</f>
        <v>465576.72592734895</v>
      </c>
      <c r="AA46" s="556">
        <f>Z46/G46*100</f>
        <v>9.701051381780351</v>
      </c>
      <c r="AB46" s="552">
        <f>AB36+AB44</f>
        <v>18972.119904575215</v>
      </c>
      <c r="AC46" s="562">
        <f>AA46/I46-1</f>
        <v>4.2480797664697034E-2</v>
      </c>
      <c r="AD46" s="542"/>
      <c r="AF46" s="543"/>
      <c r="AK46" s="543"/>
      <c r="AM46" s="560"/>
    </row>
    <row r="47" spans="1:39">
      <c r="A47" s="6"/>
      <c r="B47" s="58"/>
      <c r="D47" s="58"/>
      <c r="E47" s="545"/>
      <c r="F47" s="58"/>
      <c r="G47" s="536"/>
      <c r="I47" s="534"/>
      <c r="J47" s="534"/>
      <c r="L47" s="538"/>
      <c r="M47" s="538"/>
      <c r="N47" s="538"/>
      <c r="O47" s="538"/>
      <c r="P47" s="538"/>
      <c r="Q47" s="538"/>
      <c r="R47" s="64"/>
      <c r="S47" s="64"/>
      <c r="T47" s="538"/>
      <c r="U47" s="538"/>
      <c r="V47" s="538"/>
      <c r="W47" s="538"/>
      <c r="X47" s="538"/>
      <c r="Y47" s="64"/>
      <c r="Z47" s="64"/>
      <c r="AA47" s="64"/>
      <c r="AB47" s="538"/>
      <c r="AC47" s="541"/>
      <c r="AD47" s="542"/>
      <c r="AF47" s="543"/>
      <c r="AI47" s="543"/>
      <c r="AK47" s="543"/>
      <c r="AM47" s="560"/>
    </row>
    <row r="48" spans="1:39">
      <c r="A48" s="6">
        <f>MAX(A$14:A47)+1</f>
        <v>23</v>
      </c>
      <c r="B48" s="58"/>
      <c r="C48" s="12" t="s">
        <v>267</v>
      </c>
      <c r="D48" s="58"/>
      <c r="E48" s="535" t="s">
        <v>262</v>
      </c>
      <c r="F48" s="58"/>
      <c r="G48" s="536">
        <v>4799239.8721003952</v>
      </c>
      <c r="H48" s="58"/>
      <c r="I48" s="547">
        <v>1.206161316244416</v>
      </c>
      <c r="J48" s="536">
        <f>G48*I48/100</f>
        <v>57886.574811052953</v>
      </c>
      <c r="K48" s="58"/>
      <c r="L48" s="538">
        <v>0</v>
      </c>
      <c r="M48" s="536">
        <v>14219.390273088122</v>
      </c>
      <c r="N48" s="538">
        <v>0</v>
      </c>
      <c r="O48" s="538">
        <v>0</v>
      </c>
      <c r="P48" s="538">
        <v>0</v>
      </c>
      <c r="Q48" s="534">
        <f t="shared" ref="Q48" si="14">J48-L48-M48-N48-O48-P48</f>
        <v>43667.184537964829</v>
      </c>
      <c r="R48" s="564"/>
      <c r="S48" s="536">
        <v>455.82727069943576</v>
      </c>
      <c r="T48" s="538">
        <v>0</v>
      </c>
      <c r="U48" s="536">
        <v>14170.169723336643</v>
      </c>
      <c r="V48" s="538">
        <v>0</v>
      </c>
      <c r="W48" s="538">
        <v>0</v>
      </c>
      <c r="X48" s="538">
        <v>0</v>
      </c>
      <c r="Y48" s="564"/>
      <c r="Z48" s="539">
        <f t="shared" ref="Z48" si="15">Q48+S48+T48+U48+V48+W48+X48</f>
        <v>58293.181532000905</v>
      </c>
      <c r="AA48" s="548">
        <f t="shared" ref="AA48" si="16">Z48/G48*100</f>
        <v>1.2146336312731292</v>
      </c>
      <c r="AB48" s="534">
        <f t="shared" ref="AB48" si="17">Z48-J48</f>
        <v>406.60672094795154</v>
      </c>
      <c r="AC48" s="559">
        <f>AA48/I48-1</f>
        <v>7.0241972732909552E-3</v>
      </c>
      <c r="AD48" s="559"/>
      <c r="AF48" s="543"/>
      <c r="AI48" s="543"/>
      <c r="AK48" s="543"/>
      <c r="AM48" s="560"/>
    </row>
    <row r="49" spans="1:39">
      <c r="A49" s="6"/>
      <c r="B49" s="58"/>
      <c r="C49" s="12"/>
      <c r="D49" s="58"/>
      <c r="E49" s="535"/>
      <c r="F49" s="58"/>
      <c r="G49" s="536"/>
      <c r="H49" s="58"/>
      <c r="I49" s="547"/>
      <c r="J49" s="536"/>
      <c r="K49" s="58"/>
      <c r="L49" s="538"/>
      <c r="M49" s="536"/>
      <c r="N49" s="538"/>
      <c r="O49" s="538"/>
      <c r="P49" s="538"/>
      <c r="Q49" s="538"/>
      <c r="R49" s="564"/>
      <c r="S49" s="536"/>
      <c r="T49" s="538"/>
      <c r="U49" s="536"/>
      <c r="V49" s="538"/>
      <c r="W49" s="538"/>
      <c r="X49" s="538"/>
      <c r="Y49" s="564"/>
      <c r="Z49" s="564"/>
      <c r="AA49" s="565"/>
      <c r="AB49" s="538"/>
      <c r="AC49" s="559"/>
      <c r="AD49" s="559"/>
      <c r="AF49" s="543"/>
      <c r="AI49" s="543"/>
      <c r="AK49" s="543"/>
      <c r="AM49" s="560"/>
    </row>
    <row r="50" spans="1:39">
      <c r="A50" s="6"/>
      <c r="B50" s="58"/>
      <c r="C50" s="10" t="s">
        <v>268</v>
      </c>
      <c r="D50" s="58"/>
      <c r="E50" s="535"/>
      <c r="F50" s="58"/>
      <c r="G50" s="536"/>
      <c r="H50" s="58"/>
      <c r="I50" s="547"/>
      <c r="J50" s="536"/>
      <c r="K50" s="58"/>
      <c r="L50" s="538"/>
      <c r="M50" s="536"/>
      <c r="N50" s="538"/>
      <c r="O50" s="538"/>
      <c r="P50" s="538"/>
      <c r="Q50" s="538"/>
      <c r="R50" s="564"/>
      <c r="S50" s="536"/>
      <c r="T50" s="538"/>
      <c r="U50" s="536"/>
      <c r="V50" s="538"/>
      <c r="W50" s="538"/>
      <c r="X50" s="538"/>
      <c r="Y50" s="564"/>
      <c r="Z50" s="564"/>
      <c r="AA50" s="565"/>
      <c r="AB50" s="538"/>
      <c r="AC50" s="559"/>
      <c r="AD50" s="559"/>
      <c r="AF50" s="543"/>
      <c r="AI50" s="543"/>
      <c r="AK50" s="543"/>
      <c r="AM50" s="560"/>
    </row>
    <row r="51" spans="1:39">
      <c r="A51" s="6">
        <f>MAX(A$14:A50)+1</f>
        <v>24</v>
      </c>
      <c r="C51" s="12" t="s">
        <v>268</v>
      </c>
      <c r="E51" s="535" t="s">
        <v>262</v>
      </c>
      <c r="G51" s="536">
        <v>3151717.8705886342</v>
      </c>
      <c r="H51" s="58"/>
      <c r="I51" s="547">
        <v>3.9267443846006143</v>
      </c>
      <c r="J51" s="536">
        <f>G51*I51/100</f>
        <v>123759.90450179325</v>
      </c>
      <c r="K51" s="58"/>
      <c r="L51" s="538">
        <v>0</v>
      </c>
      <c r="M51" s="538">
        <v>0</v>
      </c>
      <c r="N51" s="538">
        <v>0</v>
      </c>
      <c r="O51" s="538">
        <v>0</v>
      </c>
      <c r="P51" s="538">
        <v>0</v>
      </c>
      <c r="Q51" s="534">
        <f t="shared" ref="Q51:Q52" si="18">J51-L51-M51-N51-O51-P51</f>
        <v>123759.90450179325</v>
      </c>
      <c r="R51" s="564"/>
      <c r="S51" s="536">
        <v>64.804668669809871</v>
      </c>
      <c r="T51" s="538">
        <v>0</v>
      </c>
      <c r="U51" s="538">
        <v>0</v>
      </c>
      <c r="V51" s="538">
        <v>0</v>
      </c>
      <c r="W51" s="538">
        <v>0</v>
      </c>
      <c r="X51" s="538">
        <v>0</v>
      </c>
      <c r="Y51" s="564"/>
      <c r="Z51" s="539">
        <f t="shared" ref="Z51:Z52" si="19">Q51+S51+T51+U51+V51+W51+X51</f>
        <v>123824.70917046306</v>
      </c>
      <c r="AA51" s="548">
        <f t="shared" ref="AA51:AA53" si="20">Z51/G51*100</f>
        <v>3.9288005543255302</v>
      </c>
      <c r="AB51" s="534">
        <f t="shared" ref="AB51:AB52" si="21">Z51-J51</f>
        <v>64.804668669807143</v>
      </c>
      <c r="AC51" s="541"/>
      <c r="AD51" s="542"/>
      <c r="AF51" s="543"/>
      <c r="AI51" s="543"/>
      <c r="AK51" s="543"/>
      <c r="AM51" s="560"/>
    </row>
    <row r="52" spans="1:39">
      <c r="A52" s="6">
        <f>MAX(A$14:A51)+1</f>
        <v>25</v>
      </c>
      <c r="B52" s="58"/>
      <c r="C52" s="12" t="s">
        <v>269</v>
      </c>
      <c r="D52" s="58"/>
      <c r="E52" s="535" t="s">
        <v>262</v>
      </c>
      <c r="F52" s="58"/>
      <c r="G52" s="536">
        <v>1595783.9460776143</v>
      </c>
      <c r="H52" s="58"/>
      <c r="I52" s="547">
        <v>0.96972040643947122</v>
      </c>
      <c r="J52" s="536">
        <f>G52*I52/100</f>
        <v>15474.642567799674</v>
      </c>
      <c r="K52" s="58"/>
      <c r="L52" s="538">
        <v>0</v>
      </c>
      <c r="M52" s="538">
        <v>0</v>
      </c>
      <c r="N52" s="538">
        <v>0</v>
      </c>
      <c r="O52" s="538">
        <v>0</v>
      </c>
      <c r="P52" s="538">
        <v>0</v>
      </c>
      <c r="Q52" s="534">
        <f t="shared" si="18"/>
        <v>15474.642567799674</v>
      </c>
      <c r="R52" s="564"/>
      <c r="S52" s="536">
        <v>260.6707162411185</v>
      </c>
      <c r="T52" s="538">
        <v>0</v>
      </c>
      <c r="U52" s="538">
        <v>0</v>
      </c>
      <c r="V52" s="538">
        <v>0</v>
      </c>
      <c r="W52" s="538">
        <v>0</v>
      </c>
      <c r="X52" s="538">
        <v>0</v>
      </c>
      <c r="Y52" s="564"/>
      <c r="Z52" s="539">
        <f t="shared" si="19"/>
        <v>15735.313284040792</v>
      </c>
      <c r="AA52" s="548">
        <f t="shared" si="20"/>
        <v>0.98605536938240845</v>
      </c>
      <c r="AB52" s="534">
        <f t="shared" si="21"/>
        <v>260.6707162411185</v>
      </c>
      <c r="AC52" s="541"/>
      <c r="AD52" s="542"/>
      <c r="AF52" s="543"/>
      <c r="AI52" s="543"/>
      <c r="AK52" s="543"/>
      <c r="AM52" s="560"/>
    </row>
    <row r="53" spans="1:39">
      <c r="A53" s="6">
        <f>MAX(A$14:A52)+1</f>
        <v>26</v>
      </c>
      <c r="B53" s="58"/>
      <c r="C53" s="10" t="s">
        <v>268</v>
      </c>
      <c r="D53" s="58"/>
      <c r="E53" s="535"/>
      <c r="F53" s="58"/>
      <c r="G53" s="553">
        <f>SUM(G51:G52)</f>
        <v>4747501.8166662483</v>
      </c>
      <c r="H53" s="58"/>
      <c r="I53" s="566">
        <f>J53/G53*100</f>
        <v>2.9327960777351545</v>
      </c>
      <c r="J53" s="553">
        <f>SUM(J51:J52)</f>
        <v>139234.54706959293</v>
      </c>
      <c r="K53" s="58"/>
      <c r="L53" s="555">
        <f>SUM(L51:L52)</f>
        <v>0</v>
      </c>
      <c r="M53" s="555">
        <f t="shared" ref="M53:P53" si="22">SUM(M51:M52)</f>
        <v>0</v>
      </c>
      <c r="N53" s="555">
        <f t="shared" si="22"/>
        <v>0</v>
      </c>
      <c r="O53" s="555">
        <f t="shared" si="22"/>
        <v>0</v>
      </c>
      <c r="P53" s="555">
        <f t="shared" si="22"/>
        <v>0</v>
      </c>
      <c r="Q53" s="552">
        <f>SUM(Q51:Q52)</f>
        <v>139234.54706959293</v>
      </c>
      <c r="R53" s="564"/>
      <c r="S53" s="553">
        <f>SUM(S51:S52)</f>
        <v>325.47538491092837</v>
      </c>
      <c r="T53" s="411">
        <f t="shared" ref="T53:X53" si="23">SUM(T51:T52)</f>
        <v>0</v>
      </c>
      <c r="U53" s="411">
        <f t="shared" si="23"/>
        <v>0</v>
      </c>
      <c r="V53" s="411">
        <f t="shared" si="23"/>
        <v>0</v>
      </c>
      <c r="W53" s="411">
        <f t="shared" si="23"/>
        <v>0</v>
      </c>
      <c r="X53" s="411">
        <f t="shared" si="23"/>
        <v>0</v>
      </c>
      <c r="Y53" s="536"/>
      <c r="Z53" s="554">
        <f>SUM(Z51:Z52)</f>
        <v>139560.02245450387</v>
      </c>
      <c r="AA53" s="556">
        <f t="shared" si="20"/>
        <v>2.9396517967528566</v>
      </c>
      <c r="AB53" s="552">
        <f>AB51+AB52</f>
        <v>325.47538491092564</v>
      </c>
      <c r="AC53" s="562">
        <f>AA53/I53-1</f>
        <v>2.3376050826542372E-3</v>
      </c>
      <c r="AD53" s="542"/>
      <c r="AF53" s="543"/>
      <c r="AI53" s="543"/>
      <c r="AK53" s="543"/>
      <c r="AM53" s="560"/>
    </row>
    <row r="54" spans="1:39">
      <c r="A54" s="6"/>
      <c r="B54" s="58"/>
      <c r="D54" s="58"/>
      <c r="E54" s="567"/>
      <c r="F54" s="58"/>
      <c r="G54" s="568"/>
      <c r="I54" s="534"/>
      <c r="J54" s="536"/>
      <c r="L54" s="538"/>
      <c r="M54" s="29"/>
      <c r="N54" s="538"/>
      <c r="O54" s="538"/>
      <c r="P54" s="538"/>
      <c r="Q54" s="576"/>
      <c r="R54" s="64"/>
      <c r="S54" s="536"/>
      <c r="T54" s="538"/>
      <c r="U54" s="538"/>
      <c r="V54" s="538"/>
      <c r="W54" s="538"/>
      <c r="X54" s="538"/>
      <c r="Y54" s="64"/>
      <c r="Z54" s="564"/>
      <c r="AA54" s="565"/>
      <c r="AB54" s="538"/>
      <c r="AC54" s="541"/>
      <c r="AD54" s="542"/>
      <c r="AF54" s="543"/>
      <c r="AI54" s="543"/>
      <c r="AK54" s="543"/>
      <c r="AM54" s="560"/>
    </row>
    <row r="55" spans="1:39">
      <c r="A55" s="6">
        <f>MAX(A$14:A54)+1</f>
        <v>27</v>
      </c>
      <c r="B55" s="58"/>
      <c r="C55" s="10" t="s">
        <v>270</v>
      </c>
      <c r="D55" s="58"/>
      <c r="E55" s="535" t="s">
        <v>262</v>
      </c>
      <c r="F55" s="58"/>
      <c r="G55" s="536">
        <v>2974410.3609594423</v>
      </c>
      <c r="H55" s="58"/>
      <c r="I55" s="547">
        <v>18.400798940142568</v>
      </c>
      <c r="J55" s="536">
        <f>G55*I55/100</f>
        <v>547315.27017491579</v>
      </c>
      <c r="K55" s="58"/>
      <c r="L55" s="538">
        <v>0</v>
      </c>
      <c r="M55" s="538">
        <v>0</v>
      </c>
      <c r="N55" s="538">
        <v>0</v>
      </c>
      <c r="O55" s="538">
        <v>0</v>
      </c>
      <c r="P55" s="538">
        <v>0</v>
      </c>
      <c r="Q55" s="534">
        <f t="shared" ref="Q55" si="24">J55-L55-M55-N55-O55-P55</f>
        <v>547315.27017491579</v>
      </c>
      <c r="R55" s="564"/>
      <c r="S55" s="536">
        <v>87.994210025230586</v>
      </c>
      <c r="T55" s="538">
        <v>0</v>
      </c>
      <c r="U55" s="538">
        <v>0</v>
      </c>
      <c r="V55" s="538">
        <v>0</v>
      </c>
      <c r="W55" s="538">
        <v>0</v>
      </c>
      <c r="X55" s="538">
        <v>0</v>
      </c>
      <c r="Y55" s="564"/>
      <c r="Z55" s="539">
        <f t="shared" ref="Z55" si="25">Q55+S55+T55+U55+V55+W55+X55</f>
        <v>547403.26438494097</v>
      </c>
      <c r="AA55" s="548">
        <f t="shared" ref="AA55:AA57" si="26">Z55/G55*100</f>
        <v>18.403757315058826</v>
      </c>
      <c r="AB55" s="534">
        <f t="shared" ref="AB55" si="27">Z55-J55</f>
        <v>87.9942100251792</v>
      </c>
      <c r="AC55" s="541">
        <f>AA55/I55-1</f>
        <v>1.6077426452421051E-4</v>
      </c>
      <c r="AD55" s="542"/>
      <c r="AF55" s="543"/>
      <c r="AI55" s="543"/>
      <c r="AK55" s="543"/>
      <c r="AM55" s="560"/>
    </row>
    <row r="56" spans="1:39">
      <c r="A56" s="6"/>
      <c r="B56" s="58"/>
      <c r="C56" s="10"/>
      <c r="D56" s="58"/>
      <c r="E56" s="545"/>
      <c r="F56" s="58"/>
      <c r="G56" s="536"/>
      <c r="H56" s="58"/>
      <c r="I56" s="534"/>
      <c r="J56" s="534"/>
      <c r="K56" s="58"/>
      <c r="L56" s="538"/>
      <c r="M56" s="538"/>
      <c r="N56" s="538"/>
      <c r="O56" s="538"/>
      <c r="P56" s="538"/>
      <c r="Q56" s="538"/>
      <c r="R56" s="564"/>
      <c r="S56" s="564"/>
      <c r="T56" s="538"/>
      <c r="U56" s="538"/>
      <c r="V56" s="538"/>
      <c r="W56" s="538"/>
      <c r="X56" s="538"/>
      <c r="Y56" s="564"/>
      <c r="Z56" s="564"/>
      <c r="AA56" s="548"/>
      <c r="AB56" s="534"/>
      <c r="AC56" s="541"/>
      <c r="AD56" s="542"/>
      <c r="AF56" s="543"/>
      <c r="AI56" s="543"/>
      <c r="AK56" s="543"/>
      <c r="AM56" s="560"/>
    </row>
    <row r="57" spans="1:39" ht="12.95" thickBot="1">
      <c r="A57" s="6">
        <f>MAX(A$14:A56)+1</f>
        <v>28</v>
      </c>
      <c r="B57" s="58"/>
      <c r="C57" s="10" t="s">
        <v>278</v>
      </c>
      <c r="D57" s="58"/>
      <c r="E57" s="574"/>
      <c r="F57" s="58"/>
      <c r="G57" s="569">
        <f>G44</f>
        <v>4799239.8721003952</v>
      </c>
      <c r="H57" s="58"/>
      <c r="I57" s="570">
        <f>J57/G57*100</f>
        <v>24.817284191237444</v>
      </c>
      <c r="J57" s="571">
        <f>J46+J48+J53+J55</f>
        <v>1191040.9980783355</v>
      </c>
      <c r="K57" s="534"/>
      <c r="L57" s="571">
        <f>L46+L48+L53+L55</f>
        <v>23394.302391068148</v>
      </c>
      <c r="M57" s="571">
        <f t="shared" ref="M57:Q57" si="28">M46+M48+M53+M55</f>
        <v>14219.390273088122</v>
      </c>
      <c r="N57" s="571">
        <f t="shared" si="28"/>
        <v>507.62961049273036</v>
      </c>
      <c r="O57" s="571">
        <f t="shared" si="28"/>
        <v>12313.689619333923</v>
      </c>
      <c r="P57" s="571">
        <f t="shared" si="28"/>
        <v>4882.6596804294222</v>
      </c>
      <c r="Q57" s="571">
        <f t="shared" si="28"/>
        <v>1135723.3265039232</v>
      </c>
      <c r="R57" s="534"/>
      <c r="S57" s="571">
        <f>S46+S48+S53+S55</f>
        <v>11216.577293775852</v>
      </c>
      <c r="T57" s="571">
        <f t="shared" ref="T57:Z57" si="29">T46+T48+T53+T55</f>
        <v>31442.796874040869</v>
      </c>
      <c r="U57" s="571">
        <f t="shared" si="29"/>
        <v>14170.169723336643</v>
      </c>
      <c r="V57" s="571">
        <f t="shared" si="29"/>
        <v>424.51949419726384</v>
      </c>
      <c r="W57" s="571">
        <f t="shared" si="29"/>
        <v>13494.828831344281</v>
      </c>
      <c r="X57" s="571">
        <f t="shared" si="29"/>
        <v>4360.9755781767817</v>
      </c>
      <c r="Y57" s="534"/>
      <c r="Z57" s="571">
        <f t="shared" si="29"/>
        <v>1210833.1942987947</v>
      </c>
      <c r="AA57" s="572">
        <f t="shared" si="26"/>
        <v>25.229686920584605</v>
      </c>
      <c r="AB57" s="571">
        <f>AB46+AB48+AB53+AB55</f>
        <v>19792.196220459271</v>
      </c>
      <c r="AC57" s="573">
        <f>AA57/I57-1</f>
        <v>1.6617560816456045E-2</v>
      </c>
      <c r="AD57" s="542"/>
      <c r="AF57" s="543"/>
      <c r="AI57" s="543"/>
      <c r="AK57" s="543"/>
      <c r="AM57" s="560"/>
    </row>
    <row r="58" spans="1:39" ht="12.95" thickTop="1">
      <c r="L58" s="2"/>
      <c r="M58" s="2"/>
      <c r="N58" s="2"/>
      <c r="O58" s="2"/>
      <c r="P58" s="501"/>
      <c r="Q58" s="501"/>
      <c r="T58" s="501"/>
      <c r="U58" s="501"/>
      <c r="V58" s="501"/>
      <c r="W58" s="501"/>
      <c r="X58" s="501"/>
      <c r="AB58" s="501"/>
      <c r="AC58" s="501"/>
    </row>
    <row r="59" spans="1:39">
      <c r="L59" s="2"/>
      <c r="M59" s="2"/>
      <c r="N59" s="2"/>
      <c r="O59" s="2"/>
      <c r="P59" s="501"/>
      <c r="Q59" s="501"/>
      <c r="T59" s="501"/>
      <c r="U59" s="501"/>
      <c r="V59" s="501"/>
      <c r="W59" s="501"/>
      <c r="X59" s="501"/>
      <c r="Z59" s="567"/>
      <c r="AB59" s="501"/>
      <c r="AC59" s="501"/>
    </row>
    <row r="60" spans="1:39">
      <c r="L60" s="2"/>
      <c r="M60" s="2"/>
      <c r="N60" s="2"/>
      <c r="O60" s="2"/>
      <c r="P60" s="501"/>
      <c r="Q60" s="501"/>
      <c r="T60" s="501"/>
      <c r="U60" s="501"/>
      <c r="V60" s="501"/>
      <c r="W60" s="501"/>
      <c r="X60" s="501"/>
      <c r="AB60" s="501"/>
      <c r="AC60" s="501"/>
    </row>
    <row r="61" spans="1:39">
      <c r="L61" s="2"/>
      <c r="M61" s="2"/>
      <c r="N61" s="2"/>
      <c r="O61" s="2"/>
      <c r="P61" s="501"/>
      <c r="Q61" s="501"/>
      <c r="T61" s="501"/>
      <c r="U61" s="501"/>
      <c r="V61" s="501"/>
      <c r="W61" s="501"/>
      <c r="X61" s="501"/>
      <c r="AB61" s="501"/>
      <c r="AC61" s="501"/>
    </row>
    <row r="62" spans="1:39">
      <c r="A62" s="1156" t="s">
        <v>279</v>
      </c>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531"/>
    </row>
    <row r="63" spans="1:39">
      <c r="A63" s="57"/>
      <c r="B63" s="57"/>
      <c r="C63" s="57"/>
      <c r="D63" s="57"/>
      <c r="E63" s="3"/>
      <c r="F63" s="57"/>
      <c r="G63" s="3"/>
      <c r="H63" s="57"/>
      <c r="I63" s="57"/>
      <c r="J63" s="57"/>
      <c r="K63" s="57"/>
      <c r="L63" s="57"/>
      <c r="M63" s="57"/>
      <c r="N63" s="4"/>
      <c r="O63" s="4"/>
      <c r="P63" s="501"/>
      <c r="Q63" s="501"/>
      <c r="R63" s="57"/>
      <c r="S63" s="57"/>
      <c r="T63" s="501"/>
      <c r="U63" s="501"/>
      <c r="V63" s="501"/>
      <c r="W63" s="501"/>
      <c r="X63" s="501"/>
      <c r="Y63" s="57"/>
      <c r="Z63" s="57"/>
      <c r="AA63" s="57"/>
      <c r="AB63" s="501"/>
      <c r="AC63" s="501"/>
    </row>
    <row r="64" spans="1:39">
      <c r="A64" s="3"/>
      <c r="B64" s="3"/>
      <c r="C64" s="3"/>
      <c r="D64" s="3"/>
      <c r="E64" s="57"/>
      <c r="F64" s="3"/>
      <c r="G64" s="1152" t="s">
        <v>231</v>
      </c>
      <c r="H64" s="1152"/>
      <c r="I64" s="1152"/>
      <c r="J64" s="1152"/>
      <c r="K64" s="3"/>
      <c r="L64" s="1152" t="s">
        <v>94</v>
      </c>
      <c r="M64" s="1152"/>
      <c r="N64" s="1152"/>
      <c r="O64" s="1152"/>
      <c r="P64" s="1152"/>
      <c r="Q64" s="58"/>
      <c r="R64" s="3"/>
      <c r="S64" s="1152" t="s">
        <v>95</v>
      </c>
      <c r="T64" s="1152"/>
      <c r="U64" s="1152"/>
      <c r="V64" s="1152"/>
      <c r="W64" s="1152"/>
      <c r="X64" s="1152"/>
      <c r="Y64" s="3"/>
      <c r="Z64" s="1152" t="s">
        <v>232</v>
      </c>
      <c r="AA64" s="1152"/>
      <c r="AB64" s="1152"/>
      <c r="AC64" s="1152"/>
      <c r="AD64" s="6"/>
    </row>
    <row r="65" spans="1:39" ht="37.5">
      <c r="A65" s="5" t="s">
        <v>56</v>
      </c>
      <c r="B65" s="5"/>
      <c r="C65" s="5"/>
      <c r="D65" s="5"/>
      <c r="E65" s="6" t="s">
        <v>233</v>
      </c>
      <c r="F65" s="5"/>
      <c r="G65" s="17" t="s">
        <v>234</v>
      </c>
      <c r="H65" s="5"/>
      <c r="I65" s="17" t="s">
        <v>235</v>
      </c>
      <c r="J65" s="17" t="s">
        <v>101</v>
      </c>
      <c r="K65" s="5"/>
      <c r="L65" s="17" t="s">
        <v>106</v>
      </c>
      <c r="M65" s="17" t="s">
        <v>236</v>
      </c>
      <c r="N65" s="5" t="s">
        <v>237</v>
      </c>
      <c r="O65" s="5" t="s">
        <v>109</v>
      </c>
      <c r="P65" s="5" t="s">
        <v>238</v>
      </c>
      <c r="Q65" s="5" t="s">
        <v>239</v>
      </c>
      <c r="R65" s="5"/>
      <c r="S65" s="5" t="s">
        <v>240</v>
      </c>
      <c r="T65" s="17" t="s">
        <v>106</v>
      </c>
      <c r="U65" s="17" t="s">
        <v>236</v>
      </c>
      <c r="V65" s="5" t="s">
        <v>237</v>
      </c>
      <c r="W65" s="5" t="s">
        <v>109</v>
      </c>
      <c r="X65" s="5" t="s">
        <v>238</v>
      </c>
      <c r="Y65" s="5"/>
      <c r="Z65" s="17" t="s">
        <v>241</v>
      </c>
      <c r="AA65" s="17" t="s">
        <v>242</v>
      </c>
      <c r="AB65" s="17" t="s">
        <v>243</v>
      </c>
      <c r="AC65" s="5" t="s">
        <v>244</v>
      </c>
      <c r="AD65" s="5"/>
    </row>
    <row r="66" spans="1:39" ht="14.45">
      <c r="A66" s="237" t="s">
        <v>57</v>
      </c>
      <c r="B66" s="58"/>
      <c r="C66" s="59" t="s">
        <v>194</v>
      </c>
      <c r="D66" s="58"/>
      <c r="E66" s="237" t="s">
        <v>245</v>
      </c>
      <c r="F66" s="58"/>
      <c r="G66" s="237" t="s">
        <v>246</v>
      </c>
      <c r="H66" s="58"/>
      <c r="I66" s="237" t="s">
        <v>247</v>
      </c>
      <c r="J66" s="237" t="s">
        <v>248</v>
      </c>
      <c r="K66" s="58"/>
      <c r="L66" s="237" t="s">
        <v>248</v>
      </c>
      <c r="M66" s="237" t="s">
        <v>248</v>
      </c>
      <c r="N66" s="237" t="s">
        <v>248</v>
      </c>
      <c r="O66" s="237" t="s">
        <v>248</v>
      </c>
      <c r="P66" s="237" t="s">
        <v>248</v>
      </c>
      <c r="Q66" s="237" t="s">
        <v>248</v>
      </c>
      <c r="R66" s="58"/>
      <c r="S66" s="237" t="s">
        <v>248</v>
      </c>
      <c r="T66" s="237" t="s">
        <v>248</v>
      </c>
      <c r="U66" s="237" t="s">
        <v>248</v>
      </c>
      <c r="V66" s="237" t="s">
        <v>248</v>
      </c>
      <c r="W66" s="237" t="s">
        <v>248</v>
      </c>
      <c r="X66" s="237" t="s">
        <v>248</v>
      </c>
      <c r="Y66" s="58"/>
      <c r="Z66" s="237" t="s">
        <v>248</v>
      </c>
      <c r="AA66" s="237" t="s">
        <v>247</v>
      </c>
      <c r="AB66" s="237" t="s">
        <v>248</v>
      </c>
      <c r="AC66" s="237" t="s">
        <v>249</v>
      </c>
      <c r="AD66" s="6"/>
    </row>
    <row r="67" spans="1:39">
      <c r="A67" s="6"/>
      <c r="B67" s="58"/>
      <c r="C67" s="58"/>
      <c r="D67" s="58"/>
      <c r="E67" s="6"/>
      <c r="F67" s="58"/>
      <c r="G67" s="6" t="s">
        <v>9</v>
      </c>
      <c r="H67" s="6"/>
      <c r="I67" s="6" t="s">
        <v>10</v>
      </c>
      <c r="J67" s="6" t="s">
        <v>58</v>
      </c>
      <c r="K67" s="6"/>
      <c r="L67" s="123" t="s">
        <v>12</v>
      </c>
      <c r="M67" s="123" t="s">
        <v>13</v>
      </c>
      <c r="N67" s="123" t="s">
        <v>115</v>
      </c>
      <c r="O67" s="123" t="s">
        <v>209</v>
      </c>
      <c r="P67" s="6" t="s">
        <v>210</v>
      </c>
      <c r="Q67" s="6" t="s">
        <v>250</v>
      </c>
      <c r="R67" s="6"/>
      <c r="S67" s="6" t="s">
        <v>251</v>
      </c>
      <c r="T67" s="6" t="s">
        <v>120</v>
      </c>
      <c r="U67" s="6" t="s">
        <v>121</v>
      </c>
      <c r="V67" s="6" t="s">
        <v>122</v>
      </c>
      <c r="W67" s="6" t="s">
        <v>252</v>
      </c>
      <c r="X67" s="6" t="s">
        <v>253</v>
      </c>
      <c r="Y67" s="6"/>
      <c r="Z67" s="6" t="s">
        <v>254</v>
      </c>
      <c r="AA67" s="6" t="s">
        <v>255</v>
      </c>
      <c r="AB67" s="6" t="s">
        <v>256</v>
      </c>
      <c r="AC67" s="6" t="s">
        <v>257</v>
      </c>
      <c r="AD67" s="6"/>
    </row>
    <row r="68" spans="1:39">
      <c r="A68" s="6"/>
      <c r="B68" s="58"/>
      <c r="C68" s="10"/>
      <c r="D68" s="58"/>
      <c r="E68" s="30"/>
      <c r="F68" s="58"/>
      <c r="G68" s="132"/>
      <c r="H68" s="58"/>
      <c r="I68" s="501"/>
      <c r="J68" s="501"/>
      <c r="K68" s="58"/>
      <c r="L68" s="501"/>
      <c r="M68" s="501"/>
      <c r="N68" s="501"/>
      <c r="O68" s="501"/>
      <c r="P68" s="501"/>
      <c r="Q68" s="501"/>
      <c r="R68" s="58"/>
      <c r="S68" s="58"/>
      <c r="T68" s="501"/>
      <c r="U68" s="501"/>
      <c r="V68" s="501"/>
      <c r="W68" s="501"/>
      <c r="X68" s="501"/>
      <c r="Y68" s="58"/>
      <c r="Z68" s="58"/>
      <c r="AA68" s="58"/>
      <c r="AB68" s="501"/>
      <c r="AC68" s="501"/>
    </row>
    <row r="69" spans="1:39">
      <c r="C69" s="9" t="s">
        <v>129</v>
      </c>
      <c r="G69" s="129"/>
      <c r="I69" s="501"/>
      <c r="J69" s="536"/>
      <c r="L69" s="501"/>
      <c r="M69" s="501"/>
      <c r="N69" s="501"/>
      <c r="O69" s="501"/>
      <c r="P69" s="501"/>
      <c r="Q69" s="501"/>
      <c r="T69" s="501"/>
      <c r="U69" s="501"/>
      <c r="V69" s="501"/>
      <c r="W69" s="501"/>
      <c r="X69" s="501"/>
      <c r="AB69" s="501"/>
      <c r="AC69" s="501"/>
    </row>
    <row r="70" spans="1:39">
      <c r="A70" s="6">
        <v>29</v>
      </c>
      <c r="B70" s="58"/>
      <c r="C70" s="10" t="s">
        <v>258</v>
      </c>
      <c r="D70" s="58"/>
      <c r="E70" s="535" t="s">
        <v>259</v>
      </c>
      <c r="F70" s="58"/>
      <c r="G70" s="536">
        <v>168</v>
      </c>
      <c r="H70" s="58"/>
      <c r="I70" s="537">
        <v>133.47154003244088</v>
      </c>
      <c r="J70" s="536">
        <f>G70*I70/1000</f>
        <v>22.423218725450067</v>
      </c>
      <c r="K70" s="58"/>
      <c r="L70" s="538">
        <v>0</v>
      </c>
      <c r="M70" s="538">
        <v>0</v>
      </c>
      <c r="N70" s="538">
        <v>0</v>
      </c>
      <c r="O70" s="538">
        <v>0</v>
      </c>
      <c r="P70" s="538">
        <v>0</v>
      </c>
      <c r="Q70" s="536">
        <f>J70-L70-M70-N70-O70-P70</f>
        <v>22.423218725450067</v>
      </c>
      <c r="R70" s="564"/>
      <c r="S70" s="536">
        <v>0.61272087681128795</v>
      </c>
      <c r="T70" s="538">
        <v>0</v>
      </c>
      <c r="U70" s="538">
        <v>0</v>
      </c>
      <c r="V70" s="538">
        <v>0</v>
      </c>
      <c r="W70" s="538">
        <v>0</v>
      </c>
      <c r="X70" s="538">
        <v>0</v>
      </c>
      <c r="Y70" s="564"/>
      <c r="Z70" s="536">
        <f>Q70+S70+T70+U70+V70+W70+X70</f>
        <v>23.035939602261355</v>
      </c>
      <c r="AA70" s="577">
        <f>Z70/G70*1000</f>
        <v>137.11868810869854</v>
      </c>
      <c r="AB70" s="538">
        <f>Z70-J70</f>
        <v>0.61272087681128795</v>
      </c>
      <c r="AC70" s="541">
        <f>AA70/I70-1</f>
        <v>2.7325286539521487E-2</v>
      </c>
      <c r="AD70" s="542"/>
      <c r="AF70" s="543"/>
      <c r="AI70" s="543"/>
      <c r="AK70" s="543"/>
      <c r="AM70" s="560"/>
    </row>
    <row r="71" spans="1:39">
      <c r="A71" s="6">
        <f>MAX(A$69:A70)+1</f>
        <v>30</v>
      </c>
      <c r="B71" s="58"/>
      <c r="C71" s="521" t="s">
        <v>280</v>
      </c>
      <c r="D71" s="58"/>
      <c r="E71" s="522" t="s">
        <v>281</v>
      </c>
      <c r="F71" s="58"/>
      <c r="G71" s="536">
        <v>4503.3599999999997</v>
      </c>
      <c r="H71" s="58"/>
      <c r="I71" s="547">
        <v>39.612916581984031</v>
      </c>
      <c r="J71" s="536">
        <f>G71*I71/100</f>
        <v>1783.9122401864358</v>
      </c>
      <c r="K71" s="58"/>
      <c r="L71" s="538">
        <v>0</v>
      </c>
      <c r="M71" s="538">
        <v>0</v>
      </c>
      <c r="N71" s="538">
        <v>0</v>
      </c>
      <c r="O71" s="538">
        <v>0</v>
      </c>
      <c r="P71" s="538">
        <v>0</v>
      </c>
      <c r="Q71" s="536">
        <f>J71-L71-M71-N71-O71-P71</f>
        <v>1783.9122401864358</v>
      </c>
      <c r="R71" s="564"/>
      <c r="S71" s="536">
        <v>48.745913124454091</v>
      </c>
      <c r="T71" s="538">
        <v>0</v>
      </c>
      <c r="U71" s="538">
        <v>0</v>
      </c>
      <c r="V71" s="538">
        <v>0</v>
      </c>
      <c r="W71" s="538">
        <v>0</v>
      </c>
      <c r="X71" s="538">
        <v>0</v>
      </c>
      <c r="Y71" s="564"/>
      <c r="Z71" s="536">
        <f>Q71+S71+T71+U71+V71+W71+X71</f>
        <v>1832.6581533108899</v>
      </c>
      <c r="AA71" s="565">
        <f>Z71/G71*100</f>
        <v>40.695350878252903</v>
      </c>
      <c r="AB71" s="538">
        <f>Z71-J71</f>
        <v>48.745913124454091</v>
      </c>
      <c r="AC71" s="541">
        <f>AA71/I71-1</f>
        <v>2.7325286539521487E-2</v>
      </c>
      <c r="AD71" s="542"/>
      <c r="AF71" s="543"/>
      <c r="AI71" s="543"/>
      <c r="AK71" s="543"/>
      <c r="AM71" s="560"/>
    </row>
    <row r="72" spans="1:39">
      <c r="A72" s="6">
        <f>MAX(A$69:A71)+1</f>
        <v>31</v>
      </c>
      <c r="B72" s="58"/>
      <c r="C72" s="521" t="s">
        <v>260</v>
      </c>
      <c r="D72" s="58"/>
      <c r="E72" s="522" t="s">
        <v>262</v>
      </c>
      <c r="F72" s="58"/>
      <c r="G72" s="536">
        <v>27429.148000000001</v>
      </c>
      <c r="H72" s="58"/>
      <c r="I72" s="547">
        <v>0.18751269562434469</v>
      </c>
      <c r="J72" s="536">
        <f>G72*I72/100</f>
        <v>51.433134801591031</v>
      </c>
      <c r="K72" s="58"/>
      <c r="L72" s="538">
        <v>0</v>
      </c>
      <c r="M72" s="538">
        <v>0</v>
      </c>
      <c r="N72" s="29">
        <v>2.9012610510117431</v>
      </c>
      <c r="O72" s="29">
        <v>58.27058444301003</v>
      </c>
      <c r="P72" s="538">
        <v>0</v>
      </c>
      <c r="Q72" s="549">
        <f>J72-L72-M72-N72-O72-P72</f>
        <v>-9.7387106924307432</v>
      </c>
      <c r="R72" s="564"/>
      <c r="S72" s="538">
        <v>0</v>
      </c>
      <c r="T72" s="29">
        <v>272.41532868845394</v>
      </c>
      <c r="U72" s="538">
        <v>0</v>
      </c>
      <c r="V72" s="29">
        <v>2.4262608966294046</v>
      </c>
      <c r="W72" s="29">
        <v>63.859946715414175</v>
      </c>
      <c r="X72" s="538">
        <v>0</v>
      </c>
      <c r="Y72" s="564"/>
      <c r="Z72" s="536">
        <f>Q72+S72+T72+U72+V72+W72+X72</f>
        <v>328.96282560806679</v>
      </c>
      <c r="AA72" s="565">
        <f>Z72/G72*100</f>
        <v>1.1993184243566981</v>
      </c>
      <c r="AB72" s="538">
        <f>Z72-J72</f>
        <v>277.52969080647574</v>
      </c>
      <c r="AC72" s="541">
        <f>AA72/I72-1</f>
        <v>5.3959318613784095</v>
      </c>
      <c r="AD72" s="542"/>
      <c r="AF72" s="543"/>
      <c r="AI72" s="543"/>
      <c r="AK72" s="543"/>
      <c r="AM72" s="560"/>
    </row>
    <row r="73" spans="1:39">
      <c r="A73" s="6"/>
      <c r="B73" s="58"/>
      <c r="C73" s="3"/>
      <c r="D73" s="58"/>
      <c r="E73" s="574"/>
      <c r="F73" s="58"/>
      <c r="G73" s="574"/>
      <c r="H73" s="58"/>
      <c r="I73" s="501"/>
      <c r="J73" s="501"/>
      <c r="K73" s="58"/>
      <c r="L73" s="538"/>
      <c r="M73" s="538"/>
      <c r="N73" s="538"/>
      <c r="O73" s="538"/>
      <c r="P73" s="538"/>
      <c r="Q73" s="501"/>
      <c r="R73" s="564"/>
      <c r="S73" s="501"/>
      <c r="T73" s="538"/>
      <c r="U73" s="538"/>
      <c r="V73" s="538"/>
      <c r="W73" s="538"/>
      <c r="X73" s="538"/>
      <c r="Y73" s="564"/>
      <c r="Z73" s="501"/>
      <c r="AA73" s="564"/>
      <c r="AB73" s="538"/>
      <c r="AC73" s="538"/>
      <c r="AD73" s="563"/>
      <c r="AF73" s="543"/>
      <c r="AI73" s="543"/>
      <c r="AK73" s="543"/>
      <c r="AM73" s="560"/>
    </row>
    <row r="74" spans="1:39">
      <c r="A74" s="6">
        <f>MAX(A$69:A73)+1</f>
        <v>32</v>
      </c>
      <c r="C74" s="10" t="s">
        <v>266</v>
      </c>
      <c r="G74" s="553">
        <f>G72</f>
        <v>27429.148000000001</v>
      </c>
      <c r="I74" s="578">
        <f>J74/G74*100</f>
        <v>6.7729722910586831</v>
      </c>
      <c r="J74" s="552">
        <f>SUM(J70:J73)</f>
        <v>1857.768593713477</v>
      </c>
      <c r="L74" s="555">
        <f>SUM(L70:L73)</f>
        <v>0</v>
      </c>
      <c r="M74" s="555">
        <f t="shared" ref="M74:Q74" si="30">SUM(M70:M73)</f>
        <v>0</v>
      </c>
      <c r="N74" s="555">
        <f t="shared" si="30"/>
        <v>2.9012610510117431</v>
      </c>
      <c r="O74" s="555">
        <f t="shared" si="30"/>
        <v>58.27058444301003</v>
      </c>
      <c r="P74" s="555">
        <f t="shared" si="30"/>
        <v>0</v>
      </c>
      <c r="Q74" s="552">
        <f t="shared" si="30"/>
        <v>1796.5967482194553</v>
      </c>
      <c r="R74" s="64"/>
      <c r="S74" s="552">
        <f>SUM(S70:S73)</f>
        <v>49.358634001265379</v>
      </c>
      <c r="T74" s="407">
        <f t="shared" ref="T74:X74" si="31">SUM(T70:T73)</f>
        <v>272.41532868845394</v>
      </c>
      <c r="U74" s="407">
        <f t="shared" si="31"/>
        <v>0</v>
      </c>
      <c r="V74" s="407">
        <f t="shared" si="31"/>
        <v>2.4262608966294046</v>
      </c>
      <c r="W74" s="407">
        <f t="shared" si="31"/>
        <v>63.859946715414175</v>
      </c>
      <c r="X74" s="407">
        <f t="shared" si="31"/>
        <v>0</v>
      </c>
      <c r="Y74" s="64"/>
      <c r="Z74" s="552">
        <f>SUM(Z70:Z73)</f>
        <v>2184.6569185212179</v>
      </c>
      <c r="AA74" s="579">
        <f>Z74/G74*100</f>
        <v>7.9647275902307202</v>
      </c>
      <c r="AB74" s="555">
        <f>SUM(AB70:AB73)</f>
        <v>326.88832480774113</v>
      </c>
      <c r="AC74" s="562">
        <f>AA74/I74-1</f>
        <v>0.17595750402601373</v>
      </c>
      <c r="AD74" s="542"/>
      <c r="AF74" s="543"/>
      <c r="AI74" s="543"/>
      <c r="AK74" s="543"/>
      <c r="AM74" s="560"/>
    </row>
    <row r="75" spans="1:39">
      <c r="A75" s="6"/>
      <c r="G75" s="64"/>
      <c r="I75" s="501"/>
      <c r="J75" s="501"/>
      <c r="L75" s="538"/>
      <c r="M75" s="538"/>
      <c r="N75" s="538"/>
      <c r="O75" s="538"/>
      <c r="P75" s="538"/>
      <c r="Q75" s="501"/>
      <c r="R75" s="64"/>
      <c r="S75" s="501"/>
      <c r="T75" s="538"/>
      <c r="U75" s="538"/>
      <c r="V75" s="538"/>
      <c r="W75" s="538"/>
      <c r="X75" s="538"/>
      <c r="Y75" s="64"/>
      <c r="Z75" s="501"/>
      <c r="AA75" s="64"/>
      <c r="AB75" s="538"/>
      <c r="AC75" s="538"/>
      <c r="AD75" s="563"/>
      <c r="AF75" s="543"/>
      <c r="AI75" s="543"/>
      <c r="AK75" s="543"/>
      <c r="AM75" s="560"/>
    </row>
    <row r="76" spans="1:39">
      <c r="A76" s="6">
        <f>MAX(A$69:A75)+1</f>
        <v>33</v>
      </c>
      <c r="C76" s="12" t="s">
        <v>267</v>
      </c>
      <c r="E76" s="522" t="s">
        <v>262</v>
      </c>
      <c r="G76" s="29">
        <v>27429.148000000001</v>
      </c>
      <c r="I76" s="547">
        <v>1.2036738876609459</v>
      </c>
      <c r="J76" s="536">
        <f>G76*I76/100</f>
        <v>330.15749208387462</v>
      </c>
      <c r="L76" s="538">
        <v>0</v>
      </c>
      <c r="M76" s="538">
        <v>0</v>
      </c>
      <c r="N76" s="538">
        <v>0</v>
      </c>
      <c r="O76" s="538">
        <v>0</v>
      </c>
      <c r="P76" s="538">
        <v>0</v>
      </c>
      <c r="Q76" s="536">
        <f>J76-L76-M76-N76-O76-P76</f>
        <v>330.15749208387462</v>
      </c>
      <c r="R76" s="64"/>
      <c r="S76" s="536">
        <v>4.4359479321379922</v>
      </c>
      <c r="T76" s="538">
        <v>0</v>
      </c>
      <c r="U76" s="538">
        <v>0</v>
      </c>
      <c r="V76" s="538">
        <v>0</v>
      </c>
      <c r="W76" s="538">
        <v>0</v>
      </c>
      <c r="X76" s="538">
        <v>0</v>
      </c>
      <c r="Y76" s="64"/>
      <c r="Z76" s="536">
        <f>Q76+S76+T76+U76+V76+W76+X76</f>
        <v>334.59344001601261</v>
      </c>
      <c r="AA76" s="580">
        <f>Z76/G76*100</f>
        <v>1.2198462745398164</v>
      </c>
      <c r="AB76" s="538">
        <f>Z76-J76</f>
        <v>4.4359479321379922</v>
      </c>
      <c r="AC76" s="541">
        <f>AA76/I76-1</f>
        <v>1.3435854216541809E-2</v>
      </c>
      <c r="AD76" s="542"/>
      <c r="AF76" s="543"/>
      <c r="AI76" s="543"/>
      <c r="AK76" s="543"/>
      <c r="AM76" s="560"/>
    </row>
    <row r="77" spans="1:39">
      <c r="A77" s="6"/>
      <c r="C77" s="12"/>
      <c r="E77" s="522"/>
      <c r="G77" s="29"/>
      <c r="I77" s="547"/>
      <c r="J77" s="536"/>
      <c r="L77" s="538"/>
      <c r="M77" s="538"/>
      <c r="N77" s="538"/>
      <c r="O77" s="538"/>
      <c r="P77" s="538"/>
      <c r="Q77" s="536"/>
      <c r="R77" s="64"/>
      <c r="S77" s="536"/>
      <c r="T77" s="538"/>
      <c r="U77" s="538"/>
      <c r="V77" s="538"/>
      <c r="W77" s="538"/>
      <c r="X77" s="538"/>
      <c r="Y77" s="64"/>
      <c r="Z77" s="536"/>
      <c r="AA77" s="580"/>
      <c r="AB77" s="538"/>
      <c r="AC77" s="541"/>
      <c r="AD77" s="542"/>
      <c r="AF77" s="543"/>
      <c r="AI77" s="543"/>
      <c r="AK77" s="543"/>
      <c r="AM77" s="560"/>
    </row>
    <row r="78" spans="1:39">
      <c r="A78" s="6"/>
      <c r="C78" s="10" t="s">
        <v>268</v>
      </c>
      <c r="E78" s="522"/>
      <c r="G78" s="29"/>
      <c r="I78" s="547"/>
      <c r="J78" s="536"/>
      <c r="L78" s="538"/>
      <c r="M78" s="538"/>
      <c r="N78" s="538"/>
      <c r="O78" s="538"/>
      <c r="P78" s="538"/>
      <c r="Q78" s="536"/>
      <c r="R78" s="64"/>
      <c r="S78" s="536"/>
      <c r="T78" s="538"/>
      <c r="U78" s="538"/>
      <c r="V78" s="538"/>
      <c r="W78" s="538"/>
      <c r="X78" s="538"/>
      <c r="Y78" s="64"/>
      <c r="Z78" s="536"/>
      <c r="AA78" s="580"/>
      <c r="AB78" s="538"/>
      <c r="AC78" s="541"/>
      <c r="AD78" s="542"/>
      <c r="AF78" s="543"/>
      <c r="AI78" s="543"/>
      <c r="AK78" s="543"/>
      <c r="AM78" s="560"/>
    </row>
    <row r="79" spans="1:39">
      <c r="A79" s="6">
        <f>MAX(A$69:A78)+1</f>
        <v>34</v>
      </c>
      <c r="B79" s="581"/>
      <c r="C79" s="12" t="s">
        <v>268</v>
      </c>
      <c r="D79" s="581"/>
      <c r="E79" s="522" t="s">
        <v>262</v>
      </c>
      <c r="F79" s="581"/>
      <c r="G79" s="29">
        <v>14756.638999999999</v>
      </c>
      <c r="H79" s="581"/>
      <c r="I79" s="547">
        <v>3.9267459704927896</v>
      </c>
      <c r="J79" s="536">
        <f>G79*I79/100</f>
        <v>579.45572731266748</v>
      </c>
      <c r="K79" s="581"/>
      <c r="L79" s="538">
        <v>0</v>
      </c>
      <c r="M79" s="538">
        <v>0</v>
      </c>
      <c r="N79" s="538">
        <v>0</v>
      </c>
      <c r="O79" s="538">
        <v>0</v>
      </c>
      <c r="P79" s="538">
        <v>0</v>
      </c>
      <c r="Q79" s="536">
        <f>J79-L79-M79-N79-O79-P79</f>
        <v>579.45572731266748</v>
      </c>
      <c r="R79" s="582"/>
      <c r="S79" s="536">
        <v>0.30360557118671316</v>
      </c>
      <c r="T79" s="538">
        <v>0</v>
      </c>
      <c r="U79" s="538">
        <v>0</v>
      </c>
      <c r="V79" s="538">
        <v>0</v>
      </c>
      <c r="W79" s="538">
        <v>0</v>
      </c>
      <c r="X79" s="538">
        <v>0</v>
      </c>
      <c r="Y79" s="582"/>
      <c r="Z79" s="536">
        <f>Q79+S79+T79+U79+V79+W79+X79</f>
        <v>579.7593328838542</v>
      </c>
      <c r="AA79" s="580">
        <f>Z79/G79*100</f>
        <v>3.9288033873015</v>
      </c>
      <c r="AB79" s="538">
        <f>Z79-J79</f>
        <v>0.30360557118672205</v>
      </c>
      <c r="AC79" s="541"/>
      <c r="AD79" s="542"/>
      <c r="AF79" s="543"/>
      <c r="AI79" s="543"/>
      <c r="AK79" s="543"/>
      <c r="AM79" s="560"/>
    </row>
    <row r="80" spans="1:39">
      <c r="A80" s="6">
        <f>MAX(A$69:A79)+1</f>
        <v>35</v>
      </c>
      <c r="B80" s="57"/>
      <c r="C80" s="12" t="s">
        <v>269</v>
      </c>
      <c r="D80" s="57"/>
      <c r="E80" s="522" t="s">
        <v>262</v>
      </c>
      <c r="F80" s="57"/>
      <c r="G80" s="29">
        <v>10804.124</v>
      </c>
      <c r="H80" s="57"/>
      <c r="I80" s="547">
        <v>0.96971998004937487</v>
      </c>
      <c r="J80" s="536">
        <f>G80*I80/100</f>
        <v>104.76974909730973</v>
      </c>
      <c r="K80" s="57"/>
      <c r="L80" s="538">
        <v>0</v>
      </c>
      <c r="M80" s="538">
        <v>0</v>
      </c>
      <c r="N80" s="538">
        <v>0</v>
      </c>
      <c r="O80" s="538">
        <v>0</v>
      </c>
      <c r="P80" s="538">
        <v>0</v>
      </c>
      <c r="Q80" s="536">
        <f>J80-L80-M80-N80-O80-P80</f>
        <v>104.76974909730973</v>
      </c>
      <c r="R80" s="583"/>
      <c r="S80" s="536">
        <v>1.7648134258536601</v>
      </c>
      <c r="T80" s="538">
        <v>0</v>
      </c>
      <c r="U80" s="538">
        <v>0</v>
      </c>
      <c r="V80" s="538">
        <v>0</v>
      </c>
      <c r="W80" s="538">
        <v>0</v>
      </c>
      <c r="X80" s="538">
        <v>0</v>
      </c>
      <c r="Y80" s="583"/>
      <c r="Z80" s="536">
        <f>Q80+S80+T80+U80+V80+W80+X80</f>
        <v>106.53456252316339</v>
      </c>
      <c r="AA80" s="580">
        <f>Z80/G80*100</f>
        <v>0.98605460769575948</v>
      </c>
      <c r="AB80" s="538">
        <f>Z80-J80</f>
        <v>1.7648134258536601</v>
      </c>
      <c r="AC80" s="541"/>
      <c r="AD80" s="542"/>
      <c r="AF80" s="543"/>
      <c r="AI80" s="543"/>
      <c r="AK80" s="543"/>
      <c r="AM80" s="560"/>
    </row>
    <row r="81" spans="1:39">
      <c r="A81" s="6">
        <f>MAX(A$69:A80)+1</f>
        <v>36</v>
      </c>
      <c r="B81" s="57"/>
      <c r="C81" s="10" t="s">
        <v>268</v>
      </c>
      <c r="D81" s="57"/>
      <c r="E81" s="522"/>
      <c r="F81" s="57"/>
      <c r="G81" s="411">
        <f>SUM(G79:G80)</f>
        <v>25560.762999999999</v>
      </c>
      <c r="H81" s="57"/>
      <c r="I81" s="566">
        <f>J81/G81*100</f>
        <v>2.6768585758178549</v>
      </c>
      <c r="J81" s="553">
        <f>SUM(J79:J80)</f>
        <v>684.2254764099772</v>
      </c>
      <c r="K81" s="57"/>
      <c r="L81" s="555">
        <f>SUM(L79:L80)</f>
        <v>0</v>
      </c>
      <c r="M81" s="555">
        <f t="shared" ref="M81:Z81" si="32">SUM(M79:M80)</f>
        <v>0</v>
      </c>
      <c r="N81" s="555">
        <f t="shared" si="32"/>
        <v>0</v>
      </c>
      <c r="O81" s="555">
        <f t="shared" si="32"/>
        <v>0</v>
      </c>
      <c r="P81" s="555">
        <f t="shared" si="32"/>
        <v>0</v>
      </c>
      <c r="Q81" s="553">
        <f t="shared" si="32"/>
        <v>684.2254764099772</v>
      </c>
      <c r="R81" s="538"/>
      <c r="S81" s="553">
        <f>SUM(S79:S80)</f>
        <v>2.0684189970403732</v>
      </c>
      <c r="T81" s="555">
        <f t="shared" si="32"/>
        <v>0</v>
      </c>
      <c r="U81" s="555">
        <f t="shared" si="32"/>
        <v>0</v>
      </c>
      <c r="V81" s="555">
        <f t="shared" si="32"/>
        <v>0</v>
      </c>
      <c r="W81" s="555">
        <f t="shared" si="32"/>
        <v>0</v>
      </c>
      <c r="X81" s="555">
        <f t="shared" si="32"/>
        <v>0</v>
      </c>
      <c r="Y81" s="538"/>
      <c r="Z81" s="553">
        <f t="shared" si="32"/>
        <v>686.29389540701754</v>
      </c>
      <c r="AA81" s="579">
        <f>Z81/G81*100</f>
        <v>2.6849507403476869</v>
      </c>
      <c r="AB81" s="555">
        <f>SUM(AB79:AB80)</f>
        <v>2.0684189970403821</v>
      </c>
      <c r="AC81" s="562">
        <f>AA81/I81-1</f>
        <v>3.0230078656132697E-3</v>
      </c>
      <c r="AD81" s="542"/>
      <c r="AF81" s="543"/>
      <c r="AI81" s="543"/>
      <c r="AK81" s="543"/>
      <c r="AM81" s="560"/>
    </row>
    <row r="82" spans="1:39">
      <c r="A82" s="6"/>
      <c r="B82" s="3"/>
      <c r="D82" s="3"/>
      <c r="E82" s="57"/>
      <c r="F82" s="3"/>
      <c r="G82" s="29"/>
      <c r="H82" s="3"/>
      <c r="I82" s="547"/>
      <c r="J82" s="536"/>
      <c r="K82" s="3"/>
      <c r="L82" s="538"/>
      <c r="M82" s="538"/>
      <c r="N82" s="538"/>
      <c r="O82" s="538"/>
      <c r="P82" s="538"/>
      <c r="Q82" s="536"/>
      <c r="R82" s="584"/>
      <c r="S82" s="536"/>
      <c r="T82" s="538"/>
      <c r="U82" s="538"/>
      <c r="V82" s="538"/>
      <c r="W82" s="538"/>
      <c r="X82" s="538"/>
      <c r="Y82" s="584"/>
      <c r="Z82" s="536"/>
      <c r="AA82" s="580"/>
      <c r="AB82" s="538"/>
      <c r="AC82" s="541"/>
      <c r="AD82" s="542"/>
      <c r="AF82" s="543"/>
      <c r="AI82" s="543"/>
      <c r="AK82" s="543"/>
      <c r="AM82" s="560"/>
    </row>
    <row r="83" spans="1:39">
      <c r="A83" s="6">
        <f>MAX(A$69:A82)+1</f>
        <v>37</v>
      </c>
      <c r="B83" s="5"/>
      <c r="C83" s="10" t="s">
        <v>270</v>
      </c>
      <c r="D83" s="5"/>
      <c r="E83" s="522" t="s">
        <v>262</v>
      </c>
      <c r="F83" s="5"/>
      <c r="G83" s="29">
        <v>14756.638999999999</v>
      </c>
      <c r="H83" s="5"/>
      <c r="I83" s="547">
        <v>18.400811234906183</v>
      </c>
      <c r="J83" s="536">
        <f>G83*I83/100</f>
        <v>2715.3412870065472</v>
      </c>
      <c r="K83" s="5"/>
      <c r="L83" s="538">
        <v>0</v>
      </c>
      <c r="M83" s="538">
        <v>0</v>
      </c>
      <c r="N83" s="538">
        <v>0</v>
      </c>
      <c r="O83" s="538">
        <v>0</v>
      </c>
      <c r="P83" s="538">
        <v>0</v>
      </c>
      <c r="Q83" s="536">
        <f>J83-L83-M83-N83-O83-P83</f>
        <v>2715.3412870065472</v>
      </c>
      <c r="R83" s="585"/>
      <c r="S83" s="536">
        <v>0.43798339665370634</v>
      </c>
      <c r="T83" s="538">
        <v>0</v>
      </c>
      <c r="U83" s="538">
        <v>0</v>
      </c>
      <c r="V83" s="538">
        <v>0</v>
      </c>
      <c r="W83" s="538">
        <v>0</v>
      </c>
      <c r="X83" s="538">
        <v>0</v>
      </c>
      <c r="Y83" s="585"/>
      <c r="Z83" s="536">
        <f>Q83+S83+T83+U83+V83+W83+X83</f>
        <v>2715.7792704032008</v>
      </c>
      <c r="AA83" s="580">
        <f>Z83/G83*100</f>
        <v>18.403779277945343</v>
      </c>
      <c r="AB83" s="538">
        <f>Z83-J83</f>
        <v>0.43798339665363528</v>
      </c>
      <c r="AC83" s="541">
        <f>AA83/I83-1</f>
        <v>1.6129957539745554E-4</v>
      </c>
      <c r="AD83" s="542"/>
      <c r="AF83" s="543"/>
      <c r="AI83" s="543"/>
      <c r="AK83" s="543"/>
      <c r="AM83" s="560"/>
    </row>
    <row r="84" spans="1:39">
      <c r="A84" s="6"/>
      <c r="B84" s="58"/>
      <c r="C84" s="10"/>
      <c r="D84" s="58"/>
      <c r="E84" s="6"/>
      <c r="F84" s="58"/>
      <c r="G84" s="574"/>
      <c r="H84" s="58"/>
      <c r="I84" s="501"/>
      <c r="J84" s="501"/>
      <c r="K84" s="58"/>
      <c r="L84" s="538"/>
      <c r="M84" s="538"/>
      <c r="N84" s="538"/>
      <c r="O84" s="538"/>
      <c r="P84" s="538"/>
      <c r="Q84" s="501"/>
      <c r="R84" s="564"/>
      <c r="S84" s="501"/>
      <c r="T84" s="538"/>
      <c r="U84" s="538"/>
      <c r="V84" s="538"/>
      <c r="W84" s="538"/>
      <c r="X84" s="538"/>
      <c r="Y84" s="564"/>
      <c r="Z84" s="501"/>
      <c r="AA84" s="564"/>
      <c r="AB84" s="538"/>
      <c r="AC84" s="538"/>
      <c r="AD84" s="563"/>
      <c r="AF84" s="543"/>
      <c r="AI84" s="543"/>
      <c r="AK84" s="543"/>
      <c r="AM84" s="560"/>
    </row>
    <row r="85" spans="1:39" ht="12.95" thickBot="1">
      <c r="A85" s="6">
        <f>MAX(A$69:A84)+1</f>
        <v>38</v>
      </c>
      <c r="B85" s="58"/>
      <c r="C85" s="10" t="s">
        <v>282</v>
      </c>
      <c r="D85" s="58"/>
      <c r="E85" s="6"/>
      <c r="F85" s="58"/>
      <c r="G85" s="439">
        <f>G72</f>
        <v>27429.148000000001</v>
      </c>
      <c r="H85" s="58"/>
      <c r="I85" s="586">
        <f>J85/G85*100</f>
        <v>20.370639471608364</v>
      </c>
      <c r="J85" s="571">
        <f>J74+J76+J81+J83</f>
        <v>5587.4928492138761</v>
      </c>
      <c r="K85" s="58"/>
      <c r="L85" s="587">
        <f>L74+L76+L81+L83</f>
        <v>0</v>
      </c>
      <c r="M85" s="587">
        <f t="shared" ref="M85:Q85" si="33">M74+M76+M81+M83</f>
        <v>0</v>
      </c>
      <c r="N85" s="587">
        <f t="shared" si="33"/>
        <v>2.9012610510117431</v>
      </c>
      <c r="O85" s="587">
        <f t="shared" si="33"/>
        <v>58.27058444301003</v>
      </c>
      <c r="P85" s="587">
        <f t="shared" si="33"/>
        <v>0</v>
      </c>
      <c r="Q85" s="571">
        <f t="shared" si="33"/>
        <v>5526.3210037198542</v>
      </c>
      <c r="R85" s="564"/>
      <c r="S85" s="571">
        <f>S74+S76+S81+S83</f>
        <v>56.300984327097453</v>
      </c>
      <c r="T85" s="588">
        <f t="shared" ref="T85:X85" si="34">T74+T76+T81+T83</f>
        <v>272.41532868845394</v>
      </c>
      <c r="U85" s="589">
        <f t="shared" si="34"/>
        <v>0</v>
      </c>
      <c r="V85" s="588">
        <f t="shared" si="34"/>
        <v>2.4262608966294046</v>
      </c>
      <c r="W85" s="588">
        <f t="shared" si="34"/>
        <v>63.859946715414175</v>
      </c>
      <c r="X85" s="589">
        <f t="shared" si="34"/>
        <v>0</v>
      </c>
      <c r="Y85" s="564"/>
      <c r="Z85" s="571">
        <f>Z74+Z76+Z81+Z83</f>
        <v>5921.3235243474492</v>
      </c>
      <c r="AA85" s="590">
        <f>Z85/G85*100</f>
        <v>21.587704890970176</v>
      </c>
      <c r="AB85" s="587">
        <f>AB74+AB76+AB81+AB83</f>
        <v>333.83067513357315</v>
      </c>
      <c r="AC85" s="573">
        <f>AA85/I85-1</f>
        <v>5.9746058588789008E-2</v>
      </c>
      <c r="AD85" s="542"/>
      <c r="AF85" s="543"/>
      <c r="AI85" s="543"/>
      <c r="AK85" s="543"/>
      <c r="AM85" s="560"/>
    </row>
    <row r="86" spans="1:39" ht="12.95" thickTop="1">
      <c r="A86" s="6"/>
      <c r="B86" s="58"/>
      <c r="C86" s="58"/>
      <c r="D86" s="58"/>
      <c r="E86" s="591"/>
      <c r="F86" s="58"/>
      <c r="G86" s="591"/>
      <c r="H86" s="58"/>
      <c r="I86" s="501"/>
      <c r="J86" s="501"/>
      <c r="K86" s="58"/>
      <c r="L86" s="501"/>
      <c r="M86" s="501"/>
      <c r="N86" s="501"/>
      <c r="O86" s="501"/>
      <c r="P86" s="501"/>
      <c r="Q86" s="501"/>
      <c r="R86" s="58"/>
      <c r="S86" s="58"/>
      <c r="T86" s="501"/>
      <c r="U86" s="501"/>
      <c r="V86" s="501"/>
      <c r="W86" s="501"/>
      <c r="X86" s="501"/>
      <c r="Y86" s="58"/>
      <c r="Z86" s="58"/>
      <c r="AA86" s="58"/>
      <c r="AB86" s="501"/>
      <c r="AC86" s="501"/>
    </row>
    <row r="87" spans="1:39" ht="12.95">
      <c r="A87" s="6"/>
      <c r="B87" s="58"/>
      <c r="C87" s="9" t="s">
        <v>130</v>
      </c>
      <c r="D87" s="58"/>
      <c r="E87" s="128"/>
      <c r="F87" s="58"/>
      <c r="G87" s="128"/>
      <c r="H87" s="58"/>
      <c r="I87" s="547"/>
      <c r="J87" s="501"/>
      <c r="K87" s="58"/>
      <c r="L87" s="501"/>
      <c r="M87" s="501"/>
      <c r="N87" s="501"/>
      <c r="O87" s="501"/>
      <c r="P87" s="501"/>
      <c r="Q87" s="501"/>
      <c r="R87" s="58"/>
      <c r="S87" s="58"/>
      <c r="T87" s="501"/>
      <c r="U87" s="501"/>
      <c r="V87" s="501"/>
      <c r="W87" s="501"/>
      <c r="X87" s="501"/>
      <c r="Y87" s="58"/>
      <c r="Z87" s="58"/>
      <c r="AA87" s="58"/>
      <c r="AB87" s="538"/>
      <c r="AC87" s="501"/>
    </row>
    <row r="88" spans="1:39">
      <c r="A88" s="6">
        <f>MAX(A$69:A87)+1</f>
        <v>39</v>
      </c>
      <c r="B88" s="58"/>
      <c r="C88" s="10" t="s">
        <v>258</v>
      </c>
      <c r="D88" s="58"/>
      <c r="E88" s="30" t="s">
        <v>259</v>
      </c>
      <c r="F88" s="58"/>
      <c r="G88" s="536">
        <v>4992</v>
      </c>
      <c r="H88" s="58"/>
      <c r="I88" s="537">
        <v>642.54715571555448</v>
      </c>
      <c r="J88" s="534">
        <f>G88*I88/1000</f>
        <v>3207.5954013320479</v>
      </c>
      <c r="K88" s="58"/>
      <c r="L88" s="538">
        <v>0</v>
      </c>
      <c r="M88" s="538">
        <v>0</v>
      </c>
      <c r="N88" s="538">
        <v>0</v>
      </c>
      <c r="O88" s="538">
        <v>0</v>
      </c>
      <c r="P88" s="538">
        <v>0</v>
      </c>
      <c r="Q88" s="534">
        <f>J88-L88-M88-N88-O88-P88</f>
        <v>3207.5954013320479</v>
      </c>
      <c r="R88" s="564"/>
      <c r="S88" s="536">
        <v>87.648463444249501</v>
      </c>
      <c r="T88" s="538">
        <v>0</v>
      </c>
      <c r="U88" s="538">
        <v>0</v>
      </c>
      <c r="V88" s="538">
        <v>0</v>
      </c>
      <c r="W88" s="538">
        <v>0</v>
      </c>
      <c r="X88" s="538">
        <v>0</v>
      </c>
      <c r="Y88" s="564"/>
      <c r="Z88" s="534">
        <f>Q88+S88+T88+U88+V88+W88+X88</f>
        <v>3295.2438647762974</v>
      </c>
      <c r="AA88" s="577">
        <f>Z88/G88*1000</f>
        <v>660.10494086063659</v>
      </c>
      <c r="AB88" s="538">
        <f>Z88-J88</f>
        <v>87.648463444249501</v>
      </c>
      <c r="AC88" s="541">
        <f>AA88/I88-1</f>
        <v>2.7325286539521487E-2</v>
      </c>
      <c r="AD88" s="542"/>
      <c r="AE88" s="563"/>
      <c r="AF88" s="543"/>
      <c r="AI88" s="543"/>
      <c r="AK88" s="543"/>
      <c r="AM88" s="560"/>
    </row>
    <row r="89" spans="1:39">
      <c r="A89" s="6">
        <f>MAX(A$69:A88)+1</f>
        <v>40</v>
      </c>
      <c r="B89" s="58"/>
      <c r="C89" s="521" t="s">
        <v>280</v>
      </c>
      <c r="D89" s="58"/>
      <c r="E89" s="30" t="s">
        <v>281</v>
      </c>
      <c r="F89" s="58"/>
      <c r="G89" s="536">
        <v>75653.868000000002</v>
      </c>
      <c r="H89" s="58"/>
      <c r="I89" s="547">
        <v>25.39395049703483</v>
      </c>
      <c r="J89" s="534">
        <f>G89*I89/100</f>
        <v>19211.505789012077</v>
      </c>
      <c r="K89" s="58"/>
      <c r="L89" s="538">
        <v>0</v>
      </c>
      <c r="M89" s="538">
        <v>0</v>
      </c>
      <c r="N89" s="538">
        <v>0</v>
      </c>
      <c r="O89" s="538">
        <v>0</v>
      </c>
      <c r="P89" s="538">
        <v>0</v>
      </c>
      <c r="Q89" s="534">
        <f>J89-L89-M89-N89-O89-P89</f>
        <v>19211.505789012077</v>
      </c>
      <c r="R89" s="564"/>
      <c r="S89" s="536">
        <v>524.95990054043068</v>
      </c>
      <c r="T89" s="538">
        <v>0</v>
      </c>
      <c r="U89" s="538">
        <v>0</v>
      </c>
      <c r="V89" s="538">
        <v>0</v>
      </c>
      <c r="W89" s="538">
        <v>0</v>
      </c>
      <c r="X89" s="538">
        <v>0</v>
      </c>
      <c r="Y89" s="564"/>
      <c r="Z89" s="534">
        <f>Q89+S89+T89+U89+V89+W89+X89</f>
        <v>19736.465689552508</v>
      </c>
      <c r="AA89" s="565">
        <f>Z89/G89*100</f>
        <v>26.087847470736737</v>
      </c>
      <c r="AB89" s="538">
        <f>Z89-J89</f>
        <v>524.95990054043068</v>
      </c>
      <c r="AC89" s="541">
        <f>AA89/I89-1</f>
        <v>2.7325286539521709E-2</v>
      </c>
      <c r="AD89" s="542"/>
      <c r="AE89" s="563"/>
      <c r="AF89" s="543"/>
      <c r="AI89" s="543"/>
      <c r="AK89" s="543"/>
      <c r="AM89" s="560"/>
    </row>
    <row r="90" spans="1:39">
      <c r="A90" s="6"/>
      <c r="B90" s="58"/>
      <c r="C90" s="521" t="s">
        <v>260</v>
      </c>
      <c r="D90" s="58"/>
      <c r="E90" s="30"/>
      <c r="F90" s="58"/>
      <c r="G90" s="536"/>
      <c r="H90" s="58"/>
      <c r="I90" s="547"/>
      <c r="J90" s="534"/>
      <c r="K90" s="58"/>
      <c r="L90" s="538"/>
      <c r="M90" s="538"/>
      <c r="N90" s="538"/>
      <c r="O90" s="538"/>
      <c r="P90" s="538"/>
      <c r="Q90" s="534"/>
      <c r="R90" s="564"/>
      <c r="S90" s="536"/>
      <c r="T90" s="538"/>
      <c r="U90" s="538"/>
      <c r="V90" s="538"/>
      <c r="W90" s="538"/>
      <c r="X90" s="538"/>
      <c r="Y90" s="564"/>
      <c r="Z90" s="534"/>
      <c r="AA90" s="565"/>
      <c r="AB90" s="538"/>
      <c r="AC90" s="541"/>
      <c r="AD90" s="542"/>
      <c r="AE90" s="563"/>
      <c r="AF90" s="543"/>
      <c r="AI90" s="543"/>
      <c r="AK90" s="543"/>
      <c r="AM90" s="560"/>
    </row>
    <row r="91" spans="1:39">
      <c r="A91" s="6">
        <f>MAX(A$69:A90)+1</f>
        <v>41</v>
      </c>
      <c r="B91" s="58"/>
      <c r="C91" s="12" t="s">
        <v>283</v>
      </c>
      <c r="D91" s="58"/>
      <c r="E91" s="30" t="s">
        <v>262</v>
      </c>
      <c r="F91" s="58"/>
      <c r="G91" s="536">
        <v>897522.08799999999</v>
      </c>
      <c r="H91" s="58"/>
      <c r="I91" s="547">
        <v>1.0325728182266571</v>
      </c>
      <c r="J91" s="534">
        <f>G91*I91/100</f>
        <v>9267.5691182683368</v>
      </c>
      <c r="K91" s="58"/>
      <c r="L91" s="536">
        <v>2114.1338090707973</v>
      </c>
      <c r="M91" s="538">
        <v>0</v>
      </c>
      <c r="N91" s="536">
        <v>94.933531159521763</v>
      </c>
      <c r="O91" s="536">
        <v>2001.8173368158507</v>
      </c>
      <c r="P91" s="536">
        <v>120.32789710906034</v>
      </c>
      <c r="Q91" s="534">
        <f>J91-L91-M91-N91-O91-P91</f>
        <v>4936.3565441131068</v>
      </c>
      <c r="R91" s="564"/>
      <c r="S91" s="536">
        <v>112.20112784753746</v>
      </c>
      <c r="T91" s="536">
        <v>2012.7953581963834</v>
      </c>
      <c r="U91" s="538">
        <v>0</v>
      </c>
      <c r="V91" s="536">
        <v>79.390827085681821</v>
      </c>
      <c r="W91" s="536">
        <v>2193.8332983098717</v>
      </c>
      <c r="X91" s="536">
        <v>107.47155341775326</v>
      </c>
      <c r="Y91" s="564"/>
      <c r="Z91" s="534">
        <f>Q91+S91+T91+U91+V91+W91+X91</f>
        <v>9442.0487089703365</v>
      </c>
      <c r="AA91" s="565">
        <f>Z91/G91*100</f>
        <v>1.0520129627127723</v>
      </c>
      <c r="AB91" s="538">
        <f>Z91-J91</f>
        <v>174.47959070199977</v>
      </c>
      <c r="AC91" s="541"/>
      <c r="AD91" s="542"/>
      <c r="AE91" s="563"/>
      <c r="AF91" s="543"/>
      <c r="AI91" s="543"/>
      <c r="AK91" s="543"/>
      <c r="AM91" s="560"/>
    </row>
    <row r="92" spans="1:39">
      <c r="A92" s="6">
        <f>MAX(A$69:A91)+1</f>
        <v>42</v>
      </c>
      <c r="B92" s="58"/>
      <c r="C92" s="12" t="s">
        <v>284</v>
      </c>
      <c r="D92" s="58"/>
      <c r="E92" s="30" t="s">
        <v>262</v>
      </c>
      <c r="F92" s="58"/>
      <c r="G92" s="536">
        <v>170759.079</v>
      </c>
      <c r="H92" s="58"/>
      <c r="I92" s="547">
        <v>0.8645988740145667</v>
      </c>
      <c r="J92" s="534">
        <f>G92*I92/100</f>
        <v>1476.3810743116444</v>
      </c>
      <c r="K92" s="58"/>
      <c r="L92" s="536">
        <v>402.22691669254067</v>
      </c>
      <c r="M92" s="538">
        <v>0</v>
      </c>
      <c r="N92" s="536">
        <v>18.061686240102581</v>
      </c>
      <c r="O92" s="536">
        <v>380.85801935261952</v>
      </c>
      <c r="P92" s="536">
        <v>22.893120027982988</v>
      </c>
      <c r="Q92" s="534">
        <f>J92-L92-M92-N92-O92-P92</f>
        <v>652.34133199839869</v>
      </c>
      <c r="R92" s="564"/>
      <c r="S92" s="536">
        <v>13.509160044677344</v>
      </c>
      <c r="T92" s="536">
        <v>382.94665521489594</v>
      </c>
      <c r="U92" s="538">
        <v>0</v>
      </c>
      <c r="V92" s="536">
        <v>15.10459151418598</v>
      </c>
      <c r="W92" s="536">
        <v>417.39023307349055</v>
      </c>
      <c r="X92" s="536">
        <v>20.44712183207557</v>
      </c>
      <c r="Y92" s="564"/>
      <c r="Z92" s="534">
        <f>Q92+S92+T92+U92+V92+W92+X92</f>
        <v>1501.7390936777242</v>
      </c>
      <c r="AA92" s="565">
        <f>Z92/G92*100</f>
        <v>0.87944904743701757</v>
      </c>
      <c r="AB92" s="538">
        <f>Z92-J92</f>
        <v>25.358019366079816</v>
      </c>
      <c r="AC92" s="541"/>
      <c r="AD92" s="542"/>
      <c r="AE92" s="563"/>
      <c r="AF92" s="543"/>
      <c r="AI92" s="543"/>
      <c r="AK92" s="543"/>
      <c r="AM92" s="560"/>
    </row>
    <row r="93" spans="1:39">
      <c r="A93" s="6">
        <f>MAX(A$69:A92)+1</f>
        <v>43</v>
      </c>
      <c r="C93" s="521" t="s">
        <v>260</v>
      </c>
      <c r="E93" s="30"/>
      <c r="G93" s="553">
        <f>SUM(G91:G92)</f>
        <v>1068281.1669999999</v>
      </c>
      <c r="I93" s="578">
        <f>J93/G93*100</f>
        <v>1.0057230740809253</v>
      </c>
      <c r="J93" s="552">
        <f>SUM(J91:J92)</f>
        <v>10743.950192579981</v>
      </c>
      <c r="L93" s="553">
        <f>SUM(L91:L92)</f>
        <v>2516.360725763338</v>
      </c>
      <c r="M93" s="555">
        <f>SUM(M91:M92)</f>
        <v>0</v>
      </c>
      <c r="N93" s="553">
        <f>SUM(N91:N92)</f>
        <v>112.99521739962435</v>
      </c>
      <c r="O93" s="553">
        <f>SUM(O91:O92)</f>
        <v>2382.67535616847</v>
      </c>
      <c r="P93" s="553">
        <f>SUM(P91:P92)</f>
        <v>143.22101713704333</v>
      </c>
      <c r="Q93" s="552">
        <f t="shared" ref="Q93" si="35">SUM(Q91:Q92)</f>
        <v>5588.6978761115051</v>
      </c>
      <c r="R93" s="64"/>
      <c r="S93" s="553">
        <f>SUM(S91:S92)</f>
        <v>125.71028789221481</v>
      </c>
      <c r="T93" s="553">
        <f t="shared" ref="T93:X93" si="36">SUM(T91:T92)</f>
        <v>2395.7420134112795</v>
      </c>
      <c r="U93" s="411">
        <f t="shared" si="36"/>
        <v>0</v>
      </c>
      <c r="V93" s="553">
        <f t="shared" si="36"/>
        <v>94.495418599867804</v>
      </c>
      <c r="W93" s="553">
        <f t="shared" si="36"/>
        <v>2611.2235313833621</v>
      </c>
      <c r="X93" s="553">
        <f t="shared" si="36"/>
        <v>127.91867524982882</v>
      </c>
      <c r="Y93" s="64"/>
      <c r="Z93" s="552">
        <f>SUM(Z91:Z92)</f>
        <v>10943.787802648061</v>
      </c>
      <c r="AA93" s="579">
        <f>Z93/G93*100</f>
        <v>1.0244295360350635</v>
      </c>
      <c r="AB93" s="555">
        <f>SUM(AB91:AB92)</f>
        <v>199.83761006807958</v>
      </c>
      <c r="AC93" s="562">
        <f>AA93/I93-1</f>
        <v>1.8600012703529734E-2</v>
      </c>
      <c r="AD93" s="542"/>
      <c r="AE93" s="563"/>
      <c r="AF93" s="543"/>
      <c r="AI93" s="543"/>
      <c r="AK93" s="543"/>
      <c r="AM93" s="560"/>
    </row>
    <row r="94" spans="1:39">
      <c r="A94" s="6"/>
      <c r="B94" s="58"/>
      <c r="C94" s="10"/>
      <c r="D94" s="58"/>
      <c r="E94" s="574"/>
      <c r="F94" s="58"/>
      <c r="G94" s="536"/>
      <c r="H94" s="58"/>
      <c r="I94" s="501"/>
      <c r="J94" s="501"/>
      <c r="K94" s="58"/>
      <c r="L94" s="538"/>
      <c r="M94" s="538"/>
      <c r="N94" s="538"/>
      <c r="O94" s="538"/>
      <c r="P94" s="538"/>
      <c r="Q94" s="501"/>
      <c r="R94" s="564"/>
      <c r="S94" s="564"/>
      <c r="T94" s="538"/>
      <c r="U94" s="538"/>
      <c r="V94" s="538"/>
      <c r="W94" s="538"/>
      <c r="X94" s="538"/>
      <c r="Y94" s="564"/>
      <c r="Z94" s="501"/>
      <c r="AA94" s="565"/>
      <c r="AB94" s="538"/>
      <c r="AC94" s="541"/>
      <c r="AD94" s="542"/>
      <c r="AE94" s="563"/>
      <c r="AF94" s="543"/>
      <c r="AK94" s="543"/>
      <c r="AM94" s="560"/>
    </row>
    <row r="95" spans="1:39">
      <c r="A95" s="6">
        <f>MAX(A$69:A94)+1</f>
        <v>44</v>
      </c>
      <c r="B95" s="58"/>
      <c r="C95" s="10" t="s">
        <v>266</v>
      </c>
      <c r="D95" s="58"/>
      <c r="E95" s="574"/>
      <c r="F95" s="58"/>
      <c r="G95" s="553">
        <f t="shared" ref="G95" si="37">SUM(G93:G94)</f>
        <v>1068281.1669999999</v>
      </c>
      <c r="H95" s="58"/>
      <c r="I95" s="578">
        <f>J95/G95*100</f>
        <v>3.1043373605522069</v>
      </c>
      <c r="J95" s="552">
        <f>J88+J89+J93</f>
        <v>33163.05138292411</v>
      </c>
      <c r="K95" s="534"/>
      <c r="L95" s="552">
        <f t="shared" ref="L95" si="38">L88+L89+L93</f>
        <v>2516.360725763338</v>
      </c>
      <c r="M95" s="555">
        <f>M88+M89+M93</f>
        <v>0</v>
      </c>
      <c r="N95" s="552">
        <f>N88+N89+N93</f>
        <v>112.99521739962435</v>
      </c>
      <c r="O95" s="552">
        <f>O88+O89+O93</f>
        <v>2382.67535616847</v>
      </c>
      <c r="P95" s="552">
        <f>P88+P89+P93</f>
        <v>143.22101713704333</v>
      </c>
      <c r="Q95" s="552">
        <f>Q88+Q89+Q93</f>
        <v>28007.799066455631</v>
      </c>
      <c r="R95" s="534"/>
      <c r="S95" s="552">
        <f>S88+S89+S93</f>
        <v>738.31865187689505</v>
      </c>
      <c r="T95" s="552">
        <f t="shared" ref="T95:Z95" si="39">T88+T89+T93</f>
        <v>2395.7420134112795</v>
      </c>
      <c r="U95" s="555">
        <f t="shared" si="39"/>
        <v>0</v>
      </c>
      <c r="V95" s="552">
        <f t="shared" si="39"/>
        <v>94.495418599867804</v>
      </c>
      <c r="W95" s="552">
        <f t="shared" si="39"/>
        <v>2611.2235313833621</v>
      </c>
      <c r="X95" s="552">
        <f t="shared" si="39"/>
        <v>127.91867524982882</v>
      </c>
      <c r="Y95" s="534"/>
      <c r="Z95" s="552">
        <f t="shared" si="39"/>
        <v>33975.497356976863</v>
      </c>
      <c r="AA95" s="592">
        <f>Z95/G95*100</f>
        <v>3.1803890592201052</v>
      </c>
      <c r="AB95" s="555">
        <f>AB88+AB89+AB93</f>
        <v>812.44597405275977</v>
      </c>
      <c r="AC95" s="562">
        <f>AA95/I95-1</f>
        <v>2.4498528940285702E-2</v>
      </c>
      <c r="AD95" s="542"/>
      <c r="AE95" s="563"/>
      <c r="AF95" s="543"/>
      <c r="AK95" s="543"/>
      <c r="AM95" s="560"/>
    </row>
    <row r="96" spans="1:39">
      <c r="A96" s="6"/>
      <c r="B96" s="58"/>
      <c r="C96" s="12"/>
      <c r="D96" s="58"/>
      <c r="E96" s="574"/>
      <c r="F96" s="58"/>
      <c r="G96" s="29"/>
      <c r="H96" s="58"/>
      <c r="I96" s="501"/>
      <c r="J96" s="501"/>
      <c r="K96" s="58"/>
      <c r="L96" s="538"/>
      <c r="M96" s="538"/>
      <c r="N96" s="538"/>
      <c r="O96" s="538"/>
      <c r="P96" s="538"/>
      <c r="Q96" s="501"/>
      <c r="R96" s="564"/>
      <c r="S96" s="564"/>
      <c r="T96" s="538"/>
      <c r="U96" s="538"/>
      <c r="V96" s="538"/>
      <c r="W96" s="538"/>
      <c r="X96" s="538"/>
      <c r="Y96" s="564"/>
      <c r="Z96" s="501"/>
      <c r="AA96" s="564"/>
      <c r="AB96" s="538"/>
      <c r="AC96" s="538"/>
      <c r="AD96" s="563"/>
      <c r="AE96" s="563"/>
      <c r="AF96" s="543"/>
      <c r="AK96" s="543"/>
      <c r="AM96" s="560"/>
    </row>
    <row r="97" spans="1:39">
      <c r="A97" s="6">
        <f>MAX(A$69:A96)+1</f>
        <v>45</v>
      </c>
      <c r="B97" s="58"/>
      <c r="C97" s="12" t="s">
        <v>267</v>
      </c>
      <c r="D97" s="58"/>
      <c r="E97" s="522" t="s">
        <v>262</v>
      </c>
      <c r="F97" s="58"/>
      <c r="G97" s="536">
        <v>1068281.1669999999</v>
      </c>
      <c r="H97" s="58"/>
      <c r="I97" s="547">
        <v>0.25233468088460609</v>
      </c>
      <c r="J97" s="534">
        <f>G97*I97/100</f>
        <v>2695.6438736997957</v>
      </c>
      <c r="K97" s="58"/>
      <c r="L97" s="538">
        <v>0</v>
      </c>
      <c r="M97" s="536">
        <v>730.61878451440805</v>
      </c>
      <c r="N97" s="538">
        <v>0</v>
      </c>
      <c r="O97" s="538">
        <v>0</v>
      </c>
      <c r="P97" s="538">
        <v>0</v>
      </c>
      <c r="Q97" s="534">
        <f>J97-L97-M97-N97-O97-P97</f>
        <v>1965.0250891853875</v>
      </c>
      <c r="R97" s="564"/>
      <c r="S97" s="536">
        <v>21.73858085872439</v>
      </c>
      <c r="T97" s="538">
        <v>0</v>
      </c>
      <c r="U97" s="536">
        <v>728.08974089566607</v>
      </c>
      <c r="V97" s="538">
        <v>0</v>
      </c>
      <c r="W97" s="538">
        <v>0</v>
      </c>
      <c r="X97" s="538">
        <v>0</v>
      </c>
      <c r="Y97" s="564"/>
      <c r="Z97" s="534">
        <f>Q97+S97+T97+U97+V97+W97+X97</f>
        <v>2714.8534109397779</v>
      </c>
      <c r="AA97" s="565">
        <f>Z97/G97*100</f>
        <v>0.25413285329776653</v>
      </c>
      <c r="AB97" s="538">
        <f>Z97-J97</f>
        <v>19.209537239982183</v>
      </c>
      <c r="AC97" s="559">
        <f>AA97/I97-1</f>
        <v>7.1261405957223634E-3</v>
      </c>
      <c r="AD97" s="559"/>
      <c r="AE97" s="563"/>
      <c r="AF97" s="543"/>
      <c r="AI97" s="543"/>
      <c r="AK97" s="543"/>
      <c r="AM97" s="560"/>
    </row>
    <row r="98" spans="1:39">
      <c r="A98" s="6"/>
      <c r="B98" s="58"/>
      <c r="C98" s="12"/>
      <c r="D98" s="58"/>
      <c r="E98" s="522"/>
      <c r="F98" s="58"/>
      <c r="G98" s="536"/>
      <c r="H98" s="58"/>
      <c r="I98" s="547"/>
      <c r="J98" s="534"/>
      <c r="K98" s="58"/>
      <c r="L98" s="538"/>
      <c r="M98" s="536"/>
      <c r="N98" s="538"/>
      <c r="O98" s="538"/>
      <c r="P98" s="538"/>
      <c r="Q98" s="534"/>
      <c r="R98" s="564"/>
      <c r="S98" s="536"/>
      <c r="T98" s="538"/>
      <c r="U98" s="536"/>
      <c r="V98" s="538"/>
      <c r="W98" s="538"/>
      <c r="X98" s="538"/>
      <c r="Y98" s="564"/>
      <c r="Z98" s="534"/>
      <c r="AA98" s="565"/>
      <c r="AB98" s="538"/>
      <c r="AC98" s="559"/>
      <c r="AD98" s="559"/>
      <c r="AE98" s="563"/>
      <c r="AF98" s="543"/>
      <c r="AI98" s="543"/>
      <c r="AK98" s="543"/>
      <c r="AM98" s="560"/>
    </row>
    <row r="99" spans="1:39">
      <c r="A99" s="6"/>
      <c r="B99" s="58"/>
      <c r="C99" s="10" t="s">
        <v>268</v>
      </c>
      <c r="D99" s="58"/>
      <c r="E99" s="522"/>
      <c r="F99" s="58"/>
      <c r="G99" s="536"/>
      <c r="H99" s="58"/>
      <c r="I99" s="547"/>
      <c r="J99" s="534"/>
      <c r="K99" s="58"/>
      <c r="L99" s="538"/>
      <c r="M99" s="536"/>
      <c r="N99" s="538"/>
      <c r="O99" s="538"/>
      <c r="P99" s="538"/>
      <c r="Q99" s="534"/>
      <c r="R99" s="564"/>
      <c r="S99" s="536"/>
      <c r="T99" s="538"/>
      <c r="U99" s="536"/>
      <c r="V99" s="538"/>
      <c r="W99" s="538"/>
      <c r="X99" s="538"/>
      <c r="Y99" s="564"/>
      <c r="Z99" s="534"/>
      <c r="AA99" s="565"/>
      <c r="AB99" s="538"/>
      <c r="AC99" s="559"/>
      <c r="AD99" s="559"/>
      <c r="AE99" s="563"/>
      <c r="AF99" s="543"/>
      <c r="AI99" s="543"/>
      <c r="AK99" s="543"/>
      <c r="AM99" s="560"/>
    </row>
    <row r="100" spans="1:39">
      <c r="A100" s="6">
        <f>MAX(A$69:A99)+1</f>
        <v>46</v>
      </c>
      <c r="B100" s="58"/>
      <c r="C100" s="12" t="s">
        <v>268</v>
      </c>
      <c r="D100" s="58"/>
      <c r="E100" s="522" t="s">
        <v>262</v>
      </c>
      <c r="F100" s="58"/>
      <c r="G100" s="536">
        <v>113376.269</v>
      </c>
      <c r="H100" s="58"/>
      <c r="I100" s="547">
        <v>3.9267443867607112</v>
      </c>
      <c r="J100" s="534">
        <f>G100*I100/100</f>
        <v>4451.9962788762241</v>
      </c>
      <c r="K100" s="58"/>
      <c r="L100" s="538">
        <v>0</v>
      </c>
      <c r="M100" s="538">
        <v>0</v>
      </c>
      <c r="N100" s="538">
        <v>0</v>
      </c>
      <c r="O100" s="538">
        <v>0</v>
      </c>
      <c r="P100" s="538">
        <v>0</v>
      </c>
      <c r="Q100" s="534">
        <f>J100-L100-M100-N100-O100-P100</f>
        <v>4451.9962788762241</v>
      </c>
      <c r="R100" s="564"/>
      <c r="S100" s="536">
        <v>2.3312092977191696</v>
      </c>
      <c r="T100" s="538">
        <v>0</v>
      </c>
      <c r="U100" s="538">
        <v>0</v>
      </c>
      <c r="V100" s="538">
        <v>0</v>
      </c>
      <c r="W100" s="538">
        <v>0</v>
      </c>
      <c r="X100" s="538">
        <v>0</v>
      </c>
      <c r="Y100" s="564"/>
      <c r="Z100" s="534">
        <f>Q100+S100+T100+U100+V100+W100+X100</f>
        <v>4454.3274881739435</v>
      </c>
      <c r="AA100" s="565">
        <f>Z100/G100*100</f>
        <v>3.9288005571729858</v>
      </c>
      <c r="AB100" s="538">
        <f>Z100-J100</f>
        <v>2.331209297719397</v>
      </c>
      <c r="AC100" s="541"/>
      <c r="AD100" s="542"/>
      <c r="AE100" s="563"/>
      <c r="AF100" s="543"/>
      <c r="AI100" s="543"/>
      <c r="AK100" s="543"/>
      <c r="AM100" s="560"/>
    </row>
    <row r="101" spans="1:39">
      <c r="A101" s="6">
        <f>MAX(A$69:A100)+1</f>
        <v>47</v>
      </c>
      <c r="B101" s="58"/>
      <c r="C101" s="12" t="s">
        <v>269</v>
      </c>
      <c r="D101" s="58"/>
      <c r="E101" s="522" t="s">
        <v>262</v>
      </c>
      <c r="F101" s="58"/>
      <c r="G101" s="536">
        <v>927920.70200000005</v>
      </c>
      <c r="H101" s="58"/>
      <c r="I101" s="547">
        <v>0.96972039724946102</v>
      </c>
      <c r="J101" s="534">
        <f>G101*I101/100</f>
        <v>8998.2363175943883</v>
      </c>
      <c r="K101" s="58"/>
      <c r="L101" s="538">
        <v>0</v>
      </c>
      <c r="M101" s="538">
        <v>0</v>
      </c>
      <c r="N101" s="538">
        <v>0</v>
      </c>
      <c r="O101" s="538">
        <v>0</v>
      </c>
      <c r="P101" s="538">
        <v>0</v>
      </c>
      <c r="Q101" s="534">
        <f>J101-L101-M101-N101-O101-P101</f>
        <v>8998.2363175943883</v>
      </c>
      <c r="R101" s="564"/>
      <c r="S101" s="536">
        <v>151.57547567607617</v>
      </c>
      <c r="T101" s="538">
        <v>0</v>
      </c>
      <c r="U101" s="538">
        <v>0</v>
      </c>
      <c r="V101" s="538">
        <v>0</v>
      </c>
      <c r="W101" s="538">
        <v>0</v>
      </c>
      <c r="X101" s="538">
        <v>0</v>
      </c>
      <c r="Y101" s="564"/>
      <c r="Z101" s="534">
        <f>Q101+S101+T101+U101+V101+W101+X101</f>
        <v>9149.8117932704645</v>
      </c>
      <c r="AA101" s="565">
        <f>Z101/G101*100</f>
        <v>0.98605535726806803</v>
      </c>
      <c r="AB101" s="538">
        <f>Z101-J101</f>
        <v>151.57547567607617</v>
      </c>
      <c r="AC101" s="541"/>
      <c r="AD101" s="542"/>
      <c r="AE101" s="563"/>
      <c r="AF101" s="543"/>
      <c r="AI101" s="543"/>
      <c r="AK101" s="543"/>
      <c r="AM101" s="560"/>
    </row>
    <row r="102" spans="1:39">
      <c r="A102" s="6">
        <f>MAX(A$69:A101)+1</f>
        <v>48</v>
      </c>
      <c r="B102" s="58"/>
      <c r="C102" s="10" t="s">
        <v>268</v>
      </c>
      <c r="D102" s="58"/>
      <c r="E102" s="522"/>
      <c r="F102" s="58"/>
      <c r="G102" s="553">
        <f>SUM(G100:G101)</f>
        <v>1041296.971</v>
      </c>
      <c r="H102" s="593"/>
      <c r="I102" s="566">
        <f>J102/G102*100</f>
        <v>1.2916807568885758</v>
      </c>
      <c r="J102" s="552">
        <f>SUM(J100:J101)</f>
        <v>13450.232596470612</v>
      </c>
      <c r="K102" s="534"/>
      <c r="L102" s="555">
        <f t="shared" ref="L102:Z102" si="40">SUM(L100:L101)</f>
        <v>0</v>
      </c>
      <c r="M102" s="555">
        <f t="shared" si="40"/>
        <v>0</v>
      </c>
      <c r="N102" s="555">
        <f t="shared" si="40"/>
        <v>0</v>
      </c>
      <c r="O102" s="555">
        <f t="shared" si="40"/>
        <v>0</v>
      </c>
      <c r="P102" s="555">
        <f t="shared" si="40"/>
        <v>0</v>
      </c>
      <c r="Q102" s="552">
        <f t="shared" si="40"/>
        <v>13450.232596470612</v>
      </c>
      <c r="R102" s="534"/>
      <c r="S102" s="552">
        <f t="shared" si="40"/>
        <v>153.90668497379534</v>
      </c>
      <c r="T102" s="555">
        <f t="shared" si="40"/>
        <v>0</v>
      </c>
      <c r="U102" s="555">
        <f t="shared" si="40"/>
        <v>0</v>
      </c>
      <c r="V102" s="555">
        <f t="shared" si="40"/>
        <v>0</v>
      </c>
      <c r="W102" s="555">
        <f t="shared" si="40"/>
        <v>0</v>
      </c>
      <c r="X102" s="555">
        <f t="shared" si="40"/>
        <v>0</v>
      </c>
      <c r="Y102" s="534"/>
      <c r="Z102" s="552">
        <f t="shared" si="40"/>
        <v>13604.139281444408</v>
      </c>
      <c r="AA102" s="592">
        <f>Z102/G102*100</f>
        <v>1.3064610442859348</v>
      </c>
      <c r="AB102" s="555">
        <f>SUM(AB98:AB101)</f>
        <v>153.90668497379556</v>
      </c>
      <c r="AC102" s="562">
        <f>AA102/I102-1</f>
        <v>1.1442678323211997E-2</v>
      </c>
      <c r="AD102" s="542"/>
      <c r="AE102" s="563"/>
      <c r="AF102" s="543"/>
      <c r="AI102" s="543"/>
      <c r="AK102" s="543"/>
      <c r="AM102" s="560"/>
    </row>
    <row r="103" spans="1:39">
      <c r="A103" s="6"/>
      <c r="E103" s="57"/>
      <c r="G103" s="536"/>
      <c r="I103" s="547"/>
      <c r="J103" s="534"/>
      <c r="L103" s="538"/>
      <c r="M103" s="538"/>
      <c r="N103" s="538"/>
      <c r="O103" s="538"/>
      <c r="P103" s="538"/>
      <c r="Q103" s="534"/>
      <c r="R103" s="64"/>
      <c r="S103" s="536"/>
      <c r="T103" s="538"/>
      <c r="U103" s="538"/>
      <c r="V103" s="538"/>
      <c r="W103" s="538"/>
      <c r="X103" s="538"/>
      <c r="Y103" s="64"/>
      <c r="Z103" s="534"/>
      <c r="AA103" s="565"/>
      <c r="AB103" s="538"/>
      <c r="AC103" s="541"/>
      <c r="AD103" s="542"/>
      <c r="AE103" s="563"/>
      <c r="AF103" s="543"/>
      <c r="AI103" s="543"/>
      <c r="AK103" s="543"/>
      <c r="AM103" s="560"/>
    </row>
    <row r="104" spans="1:39">
      <c r="A104" s="6">
        <f>MAX(A$69:A103)+1</f>
        <v>49</v>
      </c>
      <c r="B104" s="58"/>
      <c r="C104" s="10" t="s">
        <v>270</v>
      </c>
      <c r="D104" s="58"/>
      <c r="E104" s="522" t="s">
        <v>262</v>
      </c>
      <c r="F104" s="58"/>
      <c r="G104" s="536">
        <v>102196.917</v>
      </c>
      <c r="H104" s="58"/>
      <c r="I104" s="547">
        <v>18.339431448884856</v>
      </c>
      <c r="J104" s="534">
        <f>G104*I104/100</f>
        <v>18742.333536088754</v>
      </c>
      <c r="K104" s="58"/>
      <c r="L104" s="538">
        <v>0</v>
      </c>
      <c r="M104" s="538">
        <v>0</v>
      </c>
      <c r="N104" s="538">
        <v>0</v>
      </c>
      <c r="O104" s="538">
        <v>0</v>
      </c>
      <c r="P104" s="538">
        <v>0</v>
      </c>
      <c r="Q104" s="534">
        <f>J104-L104-M104-N104-O104-P104</f>
        <v>18742.333536088754</v>
      </c>
      <c r="R104" s="564"/>
      <c r="S104" s="536">
        <v>1.310388958383129</v>
      </c>
      <c r="T104" s="538">
        <v>0</v>
      </c>
      <c r="U104" s="538">
        <v>0</v>
      </c>
      <c r="V104" s="538">
        <v>0</v>
      </c>
      <c r="W104" s="538">
        <v>0</v>
      </c>
      <c r="X104" s="538">
        <v>0</v>
      </c>
      <c r="Y104" s="564"/>
      <c r="Z104" s="534">
        <f>Q104+S104+T104+U104+V104+W104+X104</f>
        <v>18743.643925047138</v>
      </c>
      <c r="AA104" s="565">
        <f>Z104/G104*100</f>
        <v>18.340713668541621</v>
      </c>
      <c r="AB104" s="538">
        <f>Z104-J104</f>
        <v>1.3103889583835553</v>
      </c>
      <c r="AC104" s="541">
        <f>AA104/I104-1</f>
        <v>6.9915998232472631E-5</v>
      </c>
      <c r="AD104" s="542"/>
      <c r="AE104" s="563"/>
      <c r="AF104" s="543"/>
      <c r="AI104" s="543"/>
      <c r="AK104" s="543"/>
      <c r="AM104" s="560"/>
    </row>
    <row r="105" spans="1:39">
      <c r="A105" s="6"/>
      <c r="B105" s="58"/>
      <c r="C105" s="10"/>
      <c r="D105" s="58"/>
      <c r="E105" s="30"/>
      <c r="F105" s="58"/>
      <c r="G105" s="29"/>
      <c r="H105" s="58"/>
      <c r="I105" s="547"/>
      <c r="J105" s="501"/>
      <c r="K105" s="58"/>
      <c r="L105" s="538"/>
      <c r="M105" s="538"/>
      <c r="N105" s="538"/>
      <c r="O105" s="538"/>
      <c r="P105" s="538"/>
      <c r="Q105" s="501"/>
      <c r="R105" s="564"/>
      <c r="S105" s="564"/>
      <c r="T105" s="538"/>
      <c r="U105" s="538"/>
      <c r="V105" s="538"/>
      <c r="W105" s="538"/>
      <c r="X105" s="538"/>
      <c r="Y105" s="564"/>
      <c r="Z105" s="501"/>
      <c r="AA105" s="565"/>
      <c r="AB105" s="538"/>
      <c r="AC105" s="541"/>
      <c r="AD105" s="542"/>
      <c r="AE105" s="563"/>
      <c r="AF105" s="543"/>
      <c r="AI105" s="543"/>
      <c r="AK105" s="543"/>
      <c r="AM105" s="560"/>
    </row>
    <row r="106" spans="1:39" ht="12.95" thickBot="1">
      <c r="A106" s="6">
        <f>MAX(A$69:A105)+1</f>
        <v>50</v>
      </c>
      <c r="B106" s="58"/>
      <c r="C106" s="10" t="s">
        <v>285</v>
      </c>
      <c r="D106" s="58"/>
      <c r="E106" s="30"/>
      <c r="F106" s="58"/>
      <c r="G106" s="594">
        <f>G93</f>
        <v>1068281.1669999999</v>
      </c>
      <c r="I106" s="586">
        <f>J106/G106*100</f>
        <v>6.3701639129601233</v>
      </c>
      <c r="J106" s="571">
        <f>J95+J97+J102+J104</f>
        <v>68051.261389183273</v>
      </c>
      <c r="K106" s="534"/>
      <c r="L106" s="571">
        <f>L95+L97+L102+L104</f>
        <v>2516.360725763338</v>
      </c>
      <c r="M106" s="571">
        <f t="shared" ref="M106:Q106" si="41">M95+M97+M102+M104</f>
        <v>730.61878451440805</v>
      </c>
      <c r="N106" s="571">
        <f t="shared" si="41"/>
        <v>112.99521739962435</v>
      </c>
      <c r="O106" s="571">
        <f t="shared" si="41"/>
        <v>2382.67535616847</v>
      </c>
      <c r="P106" s="571">
        <f t="shared" si="41"/>
        <v>143.22101713704333</v>
      </c>
      <c r="Q106" s="571">
        <f t="shared" si="41"/>
        <v>62165.390288200389</v>
      </c>
      <c r="R106" s="534"/>
      <c r="S106" s="571">
        <f>S95+S97+S102+S104</f>
        <v>915.27430666779787</v>
      </c>
      <c r="T106" s="571">
        <f t="shared" ref="T106:X106" si="42">T95+T97+T102+T104</f>
        <v>2395.7420134112795</v>
      </c>
      <c r="U106" s="571">
        <f t="shared" si="42"/>
        <v>728.08974089566607</v>
      </c>
      <c r="V106" s="571">
        <f t="shared" si="42"/>
        <v>94.495418599867804</v>
      </c>
      <c r="W106" s="571">
        <f t="shared" si="42"/>
        <v>2611.2235313833621</v>
      </c>
      <c r="X106" s="571">
        <f t="shared" si="42"/>
        <v>127.91867524982882</v>
      </c>
      <c r="Y106" s="534"/>
      <c r="Z106" s="571">
        <f>Z95+Z97+Z102+Z104</f>
        <v>69038.133974408178</v>
      </c>
      <c r="AA106" s="590">
        <f>Z106/G106*100</f>
        <v>6.4625433927927869</v>
      </c>
      <c r="AB106" s="587">
        <f>AB95+AB97+AB102+AB104</f>
        <v>986.87258522492107</v>
      </c>
      <c r="AC106" s="573">
        <f>AA106/I106-1</f>
        <v>1.4501899965983167E-2</v>
      </c>
      <c r="AD106" s="542"/>
      <c r="AE106" s="563"/>
      <c r="AF106" s="543"/>
      <c r="AI106" s="543"/>
      <c r="AK106" s="543"/>
      <c r="AM106" s="560"/>
    </row>
    <row r="107" spans="1:39" ht="12.95" thickTop="1">
      <c r="L107" s="2"/>
      <c r="M107" s="2"/>
      <c r="N107" s="2"/>
      <c r="O107" s="2"/>
      <c r="P107" s="501"/>
      <c r="Q107" s="501"/>
      <c r="T107" s="501"/>
      <c r="U107" s="501"/>
      <c r="V107" s="501"/>
      <c r="W107" s="501"/>
      <c r="X107" s="501"/>
      <c r="AB107" s="501"/>
      <c r="AC107" s="501"/>
      <c r="AF107" s="543"/>
      <c r="AI107" s="543"/>
      <c r="AK107" s="543"/>
      <c r="AM107" s="560"/>
    </row>
    <row r="108" spans="1:39">
      <c r="L108" s="2"/>
      <c r="M108" s="2"/>
      <c r="N108" s="2"/>
      <c r="O108" s="2"/>
      <c r="P108" s="501"/>
      <c r="Q108" s="501"/>
      <c r="T108" s="501"/>
      <c r="U108" s="501"/>
      <c r="V108" s="501"/>
      <c r="W108" s="501"/>
      <c r="X108" s="501"/>
      <c r="AB108" s="534"/>
      <c r="AC108" s="501"/>
      <c r="AF108" s="543"/>
      <c r="AI108" s="543"/>
      <c r="AK108" s="543"/>
      <c r="AM108" s="560"/>
    </row>
    <row r="109" spans="1:39">
      <c r="L109" s="2"/>
      <c r="M109" s="2"/>
      <c r="N109" s="2"/>
      <c r="O109" s="2"/>
      <c r="P109" s="501"/>
      <c r="Q109" s="501"/>
      <c r="T109" s="501"/>
      <c r="U109" s="501"/>
      <c r="V109" s="501"/>
      <c r="W109" s="501"/>
      <c r="X109" s="501"/>
      <c r="AB109" s="501"/>
      <c r="AC109" s="501"/>
      <c r="AF109" s="543"/>
      <c r="AI109" s="543"/>
      <c r="AK109" s="543"/>
      <c r="AM109" s="560"/>
    </row>
    <row r="110" spans="1:39">
      <c r="L110" s="2"/>
      <c r="M110" s="2"/>
      <c r="N110" s="2"/>
      <c r="O110" s="2"/>
      <c r="P110" s="501"/>
      <c r="Q110" s="501"/>
      <c r="T110" s="501"/>
      <c r="U110" s="501"/>
      <c r="V110" s="501"/>
      <c r="W110" s="501"/>
      <c r="X110" s="501"/>
      <c r="AB110" s="501"/>
      <c r="AC110" s="501"/>
      <c r="AF110" s="543"/>
      <c r="AI110" s="543"/>
      <c r="AK110" s="543"/>
      <c r="AM110" s="560"/>
    </row>
    <row r="111" spans="1:39">
      <c r="A111" s="1156" t="s">
        <v>279</v>
      </c>
      <c r="B111" s="1156"/>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1156"/>
      <c r="Z111" s="1156"/>
      <c r="AA111" s="1156"/>
      <c r="AB111" s="1156"/>
      <c r="AC111" s="1156"/>
      <c r="AD111" s="531"/>
      <c r="AF111" s="543"/>
      <c r="AI111" s="543"/>
      <c r="AK111" s="543"/>
      <c r="AM111" s="560"/>
    </row>
    <row r="112" spans="1:39">
      <c r="A112" s="57"/>
      <c r="B112" s="57"/>
      <c r="C112" s="57"/>
      <c r="D112" s="57"/>
      <c r="E112" s="3"/>
      <c r="F112" s="57"/>
      <c r="G112" s="3"/>
      <c r="H112" s="6"/>
      <c r="I112" s="6"/>
      <c r="J112" s="6"/>
      <c r="K112" s="6"/>
      <c r="L112" s="6"/>
      <c r="M112" s="6"/>
      <c r="N112" s="1"/>
      <c r="O112" s="1"/>
      <c r="P112" s="501"/>
      <c r="Q112" s="501"/>
      <c r="R112" s="6"/>
      <c r="S112" s="6"/>
      <c r="T112" s="501"/>
      <c r="U112" s="501"/>
      <c r="V112" s="501"/>
      <c r="W112" s="501"/>
      <c r="X112" s="501"/>
      <c r="Y112" s="6"/>
      <c r="Z112" s="6"/>
      <c r="AA112" s="6"/>
      <c r="AB112" s="501"/>
      <c r="AC112" s="501"/>
      <c r="AF112" s="543"/>
      <c r="AI112" s="543"/>
      <c r="AK112" s="543"/>
      <c r="AM112" s="560"/>
    </row>
    <row r="113" spans="1:39">
      <c r="A113" s="3"/>
      <c r="B113" s="3"/>
      <c r="C113" s="3"/>
      <c r="D113" s="3"/>
      <c r="E113" s="57"/>
      <c r="F113" s="3"/>
      <c r="G113" s="1152" t="s">
        <v>231</v>
      </c>
      <c r="H113" s="1152"/>
      <c r="I113" s="1152"/>
      <c r="J113" s="1152"/>
      <c r="K113" s="3"/>
      <c r="L113" s="1152" t="s">
        <v>94</v>
      </c>
      <c r="M113" s="1152"/>
      <c r="N113" s="1152"/>
      <c r="O113" s="1152"/>
      <c r="P113" s="1152"/>
      <c r="Q113" s="58"/>
      <c r="R113" s="3"/>
      <c r="S113" s="1152" t="s">
        <v>95</v>
      </c>
      <c r="T113" s="1152"/>
      <c r="U113" s="1152"/>
      <c r="V113" s="1152"/>
      <c r="W113" s="1152"/>
      <c r="X113" s="1152"/>
      <c r="Y113" s="3"/>
      <c r="Z113" s="1152" t="s">
        <v>232</v>
      </c>
      <c r="AA113" s="1152"/>
      <c r="AB113" s="1152"/>
      <c r="AC113" s="1152"/>
      <c r="AD113" s="6"/>
      <c r="AF113" s="543"/>
      <c r="AI113" s="543"/>
      <c r="AK113" s="543"/>
      <c r="AM113" s="560"/>
    </row>
    <row r="114" spans="1:39" ht="37.5">
      <c r="A114" s="5" t="s">
        <v>56</v>
      </c>
      <c r="B114" s="5"/>
      <c r="C114" s="5"/>
      <c r="D114" s="5"/>
      <c r="E114" s="6" t="s">
        <v>233</v>
      </c>
      <c r="F114" s="5"/>
      <c r="G114" s="17" t="s">
        <v>234</v>
      </c>
      <c r="H114" s="5"/>
      <c r="I114" s="17" t="s">
        <v>235</v>
      </c>
      <c r="J114" s="17" t="s">
        <v>101</v>
      </c>
      <c r="K114" s="5"/>
      <c r="L114" s="17" t="s">
        <v>106</v>
      </c>
      <c r="M114" s="17" t="s">
        <v>236</v>
      </c>
      <c r="N114" s="5" t="s">
        <v>237</v>
      </c>
      <c r="O114" s="5" t="s">
        <v>109</v>
      </c>
      <c r="P114" s="5" t="s">
        <v>238</v>
      </c>
      <c r="Q114" s="5" t="s">
        <v>239</v>
      </c>
      <c r="R114" s="5"/>
      <c r="S114" s="5" t="s">
        <v>240</v>
      </c>
      <c r="T114" s="17" t="s">
        <v>106</v>
      </c>
      <c r="U114" s="17" t="s">
        <v>236</v>
      </c>
      <c r="V114" s="5" t="s">
        <v>237</v>
      </c>
      <c r="W114" s="5" t="s">
        <v>109</v>
      </c>
      <c r="X114" s="5" t="s">
        <v>238</v>
      </c>
      <c r="Y114" s="5"/>
      <c r="Z114" s="17" t="s">
        <v>241</v>
      </c>
      <c r="AA114" s="17" t="s">
        <v>242</v>
      </c>
      <c r="AB114" s="17" t="s">
        <v>243</v>
      </c>
      <c r="AC114" s="5" t="s">
        <v>244</v>
      </c>
      <c r="AD114" s="5"/>
      <c r="AF114" s="543"/>
      <c r="AI114" s="543"/>
      <c r="AK114" s="543"/>
      <c r="AM114" s="560"/>
    </row>
    <row r="115" spans="1:39" ht="14.45">
      <c r="A115" s="237" t="s">
        <v>57</v>
      </c>
      <c r="B115" s="58"/>
      <c r="C115" s="59" t="s">
        <v>194</v>
      </c>
      <c r="D115" s="58"/>
      <c r="E115" s="237" t="s">
        <v>245</v>
      </c>
      <c r="F115" s="58"/>
      <c r="G115" s="237" t="s">
        <v>246</v>
      </c>
      <c r="H115" s="58"/>
      <c r="I115" s="237" t="s">
        <v>247</v>
      </c>
      <c r="J115" s="237" t="s">
        <v>248</v>
      </c>
      <c r="K115" s="58"/>
      <c r="L115" s="237" t="s">
        <v>248</v>
      </c>
      <c r="M115" s="237" t="s">
        <v>248</v>
      </c>
      <c r="N115" s="237" t="s">
        <v>248</v>
      </c>
      <c r="O115" s="237" t="s">
        <v>248</v>
      </c>
      <c r="P115" s="237" t="s">
        <v>248</v>
      </c>
      <c r="Q115" s="237" t="s">
        <v>248</v>
      </c>
      <c r="R115" s="58"/>
      <c r="S115" s="237" t="s">
        <v>248</v>
      </c>
      <c r="T115" s="237" t="s">
        <v>248</v>
      </c>
      <c r="U115" s="237" t="s">
        <v>248</v>
      </c>
      <c r="V115" s="237" t="s">
        <v>248</v>
      </c>
      <c r="W115" s="237" t="s">
        <v>248</v>
      </c>
      <c r="X115" s="237" t="s">
        <v>248</v>
      </c>
      <c r="Y115" s="58"/>
      <c r="Z115" s="237" t="s">
        <v>248</v>
      </c>
      <c r="AA115" s="237" t="s">
        <v>247</v>
      </c>
      <c r="AB115" s="237" t="s">
        <v>248</v>
      </c>
      <c r="AC115" s="237" t="s">
        <v>249</v>
      </c>
      <c r="AD115" s="6"/>
      <c r="AF115" s="543"/>
      <c r="AI115" s="543"/>
      <c r="AK115" s="543"/>
      <c r="AM115" s="560"/>
    </row>
    <row r="116" spans="1:39">
      <c r="A116" s="6"/>
      <c r="B116" s="58"/>
      <c r="C116" s="58"/>
      <c r="D116" s="58"/>
      <c r="E116" s="6"/>
      <c r="F116" s="58"/>
      <c r="G116" s="6" t="s">
        <v>9</v>
      </c>
      <c r="H116" s="6"/>
      <c r="I116" s="6" t="s">
        <v>10</v>
      </c>
      <c r="J116" s="6" t="s">
        <v>58</v>
      </c>
      <c r="K116" s="6"/>
      <c r="L116" s="123" t="s">
        <v>12</v>
      </c>
      <c r="M116" s="123" t="s">
        <v>13</v>
      </c>
      <c r="N116" s="123" t="s">
        <v>115</v>
      </c>
      <c r="O116" s="123" t="s">
        <v>209</v>
      </c>
      <c r="P116" s="6" t="s">
        <v>210</v>
      </c>
      <c r="Q116" s="6" t="s">
        <v>250</v>
      </c>
      <c r="R116" s="6"/>
      <c r="S116" s="6" t="s">
        <v>251</v>
      </c>
      <c r="T116" s="6" t="s">
        <v>120</v>
      </c>
      <c r="U116" s="6" t="s">
        <v>121</v>
      </c>
      <c r="V116" s="6" t="s">
        <v>122</v>
      </c>
      <c r="W116" s="6" t="s">
        <v>252</v>
      </c>
      <c r="X116" s="6" t="s">
        <v>253</v>
      </c>
      <c r="Y116" s="6"/>
      <c r="Z116" s="6" t="s">
        <v>254</v>
      </c>
      <c r="AA116" s="6" t="s">
        <v>255</v>
      </c>
      <c r="AB116" s="6" t="s">
        <v>256</v>
      </c>
      <c r="AC116" s="6" t="s">
        <v>257</v>
      </c>
      <c r="AD116" s="6"/>
      <c r="AF116" s="543"/>
      <c r="AI116" s="543"/>
      <c r="AK116" s="543"/>
      <c r="AM116" s="560"/>
    </row>
    <row r="117" spans="1:39">
      <c r="I117" s="501"/>
      <c r="J117" s="501"/>
      <c r="L117" s="538"/>
      <c r="M117" s="538"/>
      <c r="N117" s="538"/>
      <c r="O117" s="538"/>
      <c r="P117" s="538"/>
      <c r="Q117" s="538"/>
      <c r="R117" s="64"/>
      <c r="S117" s="64"/>
      <c r="T117" s="538"/>
      <c r="U117" s="538"/>
      <c r="V117" s="538"/>
      <c r="W117" s="538"/>
      <c r="X117" s="538"/>
      <c r="Y117" s="64"/>
      <c r="Z117" s="64"/>
      <c r="AA117" s="64"/>
      <c r="AB117" s="538"/>
      <c r="AC117" s="538"/>
      <c r="AD117" s="563"/>
      <c r="AE117" s="563"/>
    </row>
    <row r="118" spans="1:39" ht="12.95">
      <c r="A118" s="6"/>
      <c r="B118" s="58"/>
      <c r="C118" s="9" t="s">
        <v>131</v>
      </c>
      <c r="D118" s="58"/>
      <c r="E118" s="128"/>
      <c r="F118" s="58"/>
      <c r="G118" s="575"/>
      <c r="H118" s="58"/>
      <c r="I118" s="501"/>
      <c r="J118" s="501"/>
      <c r="K118" s="58"/>
      <c r="L118" s="501"/>
      <c r="M118" s="501"/>
      <c r="N118" s="501"/>
      <c r="O118" s="501"/>
      <c r="P118" s="501"/>
      <c r="Q118" s="501"/>
      <c r="R118" s="58"/>
      <c r="S118" s="58"/>
      <c r="T118" s="501"/>
      <c r="U118" s="501"/>
      <c r="V118" s="501"/>
      <c r="W118" s="501"/>
      <c r="X118" s="501"/>
      <c r="Y118" s="58"/>
      <c r="Z118" s="58"/>
      <c r="AA118" s="58"/>
      <c r="AB118" s="501"/>
      <c r="AC118" s="501"/>
      <c r="AM118" s="560"/>
    </row>
    <row r="119" spans="1:39">
      <c r="A119" s="6">
        <v>51</v>
      </c>
      <c r="B119" s="58"/>
      <c r="C119" s="10" t="s">
        <v>258</v>
      </c>
      <c r="D119" s="58"/>
      <c r="E119" s="30" t="s">
        <v>259</v>
      </c>
      <c r="F119" s="58"/>
      <c r="G119" s="536">
        <v>264</v>
      </c>
      <c r="H119" s="58"/>
      <c r="I119" s="537">
        <v>681.10851778541416</v>
      </c>
      <c r="J119" s="534">
        <f>G119*I119/1000</f>
        <v>179.81264869534934</v>
      </c>
      <c r="K119" s="58"/>
      <c r="L119" s="538">
        <v>0</v>
      </c>
      <c r="M119" s="538">
        <v>0</v>
      </c>
      <c r="N119" s="538">
        <v>0</v>
      </c>
      <c r="O119" s="538">
        <v>0</v>
      </c>
      <c r="P119" s="538">
        <v>0</v>
      </c>
      <c r="Q119" s="538">
        <f>J119-L119-M119-N119-O119-P119</f>
        <v>179.81264869534934</v>
      </c>
      <c r="R119" s="564"/>
      <c r="S119" s="536">
        <v>4.91343214903074</v>
      </c>
      <c r="T119" s="538">
        <v>0</v>
      </c>
      <c r="U119" s="538">
        <v>0</v>
      </c>
      <c r="V119" s="538">
        <v>0</v>
      </c>
      <c r="W119" s="538">
        <v>0</v>
      </c>
      <c r="X119" s="538">
        <v>0</v>
      </c>
      <c r="Y119" s="564"/>
      <c r="Z119" s="564">
        <f>Q119+S119+T119+U119+V119+W119+X119</f>
        <v>184.72608084438008</v>
      </c>
      <c r="AA119" s="577">
        <f>Z119/G119*1000</f>
        <v>699.72000319840947</v>
      </c>
      <c r="AB119" s="538">
        <f>Z119-J119</f>
        <v>4.91343214903074</v>
      </c>
      <c r="AC119" s="541">
        <f>AA119/I119-1</f>
        <v>2.7325286539521709E-2</v>
      </c>
      <c r="AD119" s="542"/>
      <c r="AF119" s="543"/>
      <c r="AI119" s="543"/>
      <c r="AK119" s="543"/>
      <c r="AM119" s="560"/>
    </row>
    <row r="120" spans="1:39">
      <c r="A120" s="6">
        <f>MAX(A$118:A119)+1</f>
        <v>52</v>
      </c>
      <c r="B120" s="58"/>
      <c r="C120" s="521" t="s">
        <v>280</v>
      </c>
      <c r="D120" s="58"/>
      <c r="E120" s="30" t="s">
        <v>281</v>
      </c>
      <c r="F120" s="58"/>
      <c r="G120" s="536">
        <v>14480.82</v>
      </c>
      <c r="H120" s="58"/>
      <c r="I120" s="547">
        <v>27.124262553809189</v>
      </c>
      <c r="J120" s="534">
        <f>G120*I120/100</f>
        <v>3927.8156367445113</v>
      </c>
      <c r="K120" s="58"/>
      <c r="L120" s="538">
        <v>0</v>
      </c>
      <c r="M120" s="538">
        <v>0</v>
      </c>
      <c r="N120" s="538">
        <v>0</v>
      </c>
      <c r="O120" s="538">
        <v>0</v>
      </c>
      <c r="P120" s="538">
        <v>0</v>
      </c>
      <c r="Q120" s="538">
        <f>J120-L120-M120-N120-O120-P120</f>
        <v>3927.8156367445113</v>
      </c>
      <c r="R120" s="564"/>
      <c r="S120" s="536">
        <v>107.32868774845701</v>
      </c>
      <c r="T120" s="538">
        <v>0</v>
      </c>
      <c r="U120" s="538">
        <v>0</v>
      </c>
      <c r="V120" s="538">
        <v>0</v>
      </c>
      <c r="W120" s="538">
        <v>0</v>
      </c>
      <c r="X120" s="538">
        <v>0</v>
      </c>
      <c r="Y120" s="564"/>
      <c r="Z120" s="564">
        <f>Q120+S120+T120+U120+V120+W120+X120</f>
        <v>4035.1443244929683</v>
      </c>
      <c r="AA120" s="565">
        <f>Z120/G120*100</f>
        <v>27.865440800265233</v>
      </c>
      <c r="AB120" s="538">
        <f>Z120-J120</f>
        <v>107.32868774845701</v>
      </c>
      <c r="AC120" s="541">
        <f>AA120/I120-1</f>
        <v>2.7325286539521265E-2</v>
      </c>
      <c r="AD120" s="542"/>
      <c r="AF120" s="543"/>
      <c r="AI120" s="543"/>
      <c r="AK120" s="543"/>
      <c r="AM120" s="560"/>
    </row>
    <row r="121" spans="1:39">
      <c r="A121" s="6"/>
      <c r="B121" s="58"/>
      <c r="C121" s="521" t="s">
        <v>260</v>
      </c>
      <c r="D121" s="58"/>
      <c r="E121" s="30"/>
      <c r="F121" s="58"/>
      <c r="G121" s="536"/>
      <c r="H121" s="58"/>
      <c r="I121" s="547"/>
      <c r="J121" s="534"/>
      <c r="K121" s="58"/>
      <c r="L121" s="538"/>
      <c r="M121" s="538"/>
      <c r="N121" s="538"/>
      <c r="O121" s="538"/>
      <c r="P121" s="538"/>
      <c r="Q121" s="538"/>
      <c r="R121" s="564"/>
      <c r="S121" s="536"/>
      <c r="T121" s="538"/>
      <c r="U121" s="538"/>
      <c r="V121" s="538"/>
      <c r="W121" s="538"/>
      <c r="X121" s="538"/>
      <c r="Y121" s="564"/>
      <c r="Z121" s="564"/>
      <c r="AA121" s="565"/>
      <c r="AB121" s="538"/>
      <c r="AC121" s="541"/>
      <c r="AD121" s="542"/>
      <c r="AF121" s="543"/>
      <c r="AI121" s="543"/>
      <c r="AK121" s="543"/>
      <c r="AM121" s="560"/>
    </row>
    <row r="122" spans="1:39">
      <c r="A122" s="6">
        <f>MAX(A$118:A121)+1</f>
        <v>53</v>
      </c>
      <c r="B122" s="58"/>
      <c r="C122" s="12" t="s">
        <v>283</v>
      </c>
      <c r="D122" s="58"/>
      <c r="E122" s="30" t="s">
        <v>262</v>
      </c>
      <c r="F122" s="58"/>
      <c r="G122" s="536">
        <v>144905.005</v>
      </c>
      <c r="H122" s="58"/>
      <c r="I122" s="547">
        <v>0.67077638089742209</v>
      </c>
      <c r="J122" s="534">
        <f>G122*I122/100</f>
        <v>971.98854827822856</v>
      </c>
      <c r="K122" s="58"/>
      <c r="L122" s="536">
        <v>544.43090637781029</v>
      </c>
      <c r="M122" s="538">
        <v>0</v>
      </c>
      <c r="N122" s="536">
        <v>15.327025363790442</v>
      </c>
      <c r="O122" s="536">
        <v>312.19740139048338</v>
      </c>
      <c r="P122" s="536">
        <v>7.7085147255787296</v>
      </c>
      <c r="Q122" s="538">
        <f>J122-L122-M122-N122-O122-P122</f>
        <v>92.324700420565748</v>
      </c>
      <c r="R122" s="564"/>
      <c r="S122" s="536">
        <v>0.28707367594314093</v>
      </c>
      <c r="T122" s="536">
        <v>397.08018050127538</v>
      </c>
      <c r="U122" s="538">
        <v>0</v>
      </c>
      <c r="V122" s="536">
        <v>12.817654684621932</v>
      </c>
      <c r="W122" s="536">
        <v>342.14363229848487</v>
      </c>
      <c r="X122" s="536">
        <v>6.8849042658054778</v>
      </c>
      <c r="Y122" s="564"/>
      <c r="Z122" s="564">
        <f>Q122+S122+T122+U122+V122+W122+X122</f>
        <v>851.53814584669658</v>
      </c>
      <c r="AA122" s="565">
        <f>Z122/G122*100</f>
        <v>0.58765268035199791</v>
      </c>
      <c r="AB122" s="538">
        <f>Z122-J122</f>
        <v>-120.45040243153198</v>
      </c>
      <c r="AC122" s="559">
        <f>AA122/I122-1</f>
        <v>-0.12392162710650922</v>
      </c>
      <c r="AD122" s="559"/>
      <c r="AF122" s="543"/>
      <c r="AI122" s="543"/>
      <c r="AK122" s="543"/>
      <c r="AM122" s="560"/>
    </row>
    <row r="123" spans="1:39">
      <c r="A123" s="6">
        <f>MAX(A$118:A122)+1</f>
        <v>54</v>
      </c>
      <c r="B123" s="58"/>
      <c r="C123" s="12" t="s">
        <v>284</v>
      </c>
      <c r="D123" s="58"/>
      <c r="E123" s="30" t="s">
        <v>262</v>
      </c>
      <c r="F123" s="58"/>
      <c r="G123" s="536">
        <v>236967.948</v>
      </c>
      <c r="H123" s="58"/>
      <c r="I123" s="547">
        <v>0.5682897741756695</v>
      </c>
      <c r="J123" s="534">
        <f>G123*I123/100</f>
        <v>1346.664616557918</v>
      </c>
      <c r="K123" s="58"/>
      <c r="L123" s="536">
        <v>890.3258704703112</v>
      </c>
      <c r="M123" s="538">
        <v>0</v>
      </c>
      <c r="N123" s="536">
        <v>25.064791581225055</v>
      </c>
      <c r="O123" s="536">
        <v>510.54673769505195</v>
      </c>
      <c r="P123" s="536">
        <v>12.605989121274138</v>
      </c>
      <c r="Q123" s="538">
        <f>J123-L123-M123-N123-O123-P123</f>
        <v>-91.878772309944381</v>
      </c>
      <c r="R123" s="564"/>
      <c r="S123" s="595">
        <v>-6.1665972441697079</v>
      </c>
      <c r="T123" s="536">
        <v>649.35835421872991</v>
      </c>
      <c r="U123" s="538">
        <v>0</v>
      </c>
      <c r="V123" s="536">
        <v>20.961134701920379</v>
      </c>
      <c r="W123" s="536">
        <v>559.51879969251911</v>
      </c>
      <c r="X123" s="536">
        <v>11.25911169213493</v>
      </c>
      <c r="Y123" s="564"/>
      <c r="Z123" s="564">
        <f>Q123+S123+T123+U123+V123+W123+X123</f>
        <v>1143.0520307511902</v>
      </c>
      <c r="AA123" s="565">
        <f>Z123/G123*100</f>
        <v>0.48236567029360028</v>
      </c>
      <c r="AB123" s="538">
        <f>Z123-J123</f>
        <v>-203.61258580672779</v>
      </c>
      <c r="AC123" s="559">
        <f>AA123/I123-1</f>
        <v>-0.1511976948849838</v>
      </c>
      <c r="AD123" s="559"/>
      <c r="AF123" s="543"/>
      <c r="AI123" s="543"/>
      <c r="AK123" s="543"/>
      <c r="AM123" s="560"/>
    </row>
    <row r="124" spans="1:39">
      <c r="A124" s="6">
        <f>MAX(A$118:A123)+1</f>
        <v>55</v>
      </c>
      <c r="B124" s="58"/>
      <c r="C124" s="521" t="s">
        <v>260</v>
      </c>
      <c r="D124" s="58"/>
      <c r="E124" s="30"/>
      <c r="G124" s="553">
        <f>SUM(G122:G123)</f>
        <v>381872.95299999998</v>
      </c>
      <c r="I124" s="578">
        <f>J124/G124*100</f>
        <v>0.60717920623096522</v>
      </c>
      <c r="J124" s="552">
        <f>SUM(J122:J123)</f>
        <v>2318.6531648361465</v>
      </c>
      <c r="L124" s="553">
        <f t="shared" ref="L124:Q124" si="43">SUM(L122:L123)</f>
        <v>1434.7567768481215</v>
      </c>
      <c r="M124" s="555">
        <f t="shared" si="43"/>
        <v>0</v>
      </c>
      <c r="N124" s="553">
        <f t="shared" si="43"/>
        <v>40.391816945015499</v>
      </c>
      <c r="O124" s="553">
        <f t="shared" si="43"/>
        <v>822.74413908553538</v>
      </c>
      <c r="P124" s="553">
        <f t="shared" si="43"/>
        <v>20.314503846852869</v>
      </c>
      <c r="Q124" s="555">
        <f t="shared" si="43"/>
        <v>0.44592811062136661</v>
      </c>
      <c r="R124" s="64"/>
      <c r="S124" s="596">
        <f>SUM(S122:S123)</f>
        <v>-5.879523568226567</v>
      </c>
      <c r="T124" s="553">
        <f t="shared" ref="T124:X124" si="44">SUM(T122:T123)</f>
        <v>1046.4385347200052</v>
      </c>
      <c r="U124" s="411">
        <f t="shared" si="44"/>
        <v>0</v>
      </c>
      <c r="V124" s="553">
        <f t="shared" si="44"/>
        <v>33.778789386542314</v>
      </c>
      <c r="W124" s="553">
        <f t="shared" si="44"/>
        <v>901.66243199100404</v>
      </c>
      <c r="X124" s="553">
        <f t="shared" si="44"/>
        <v>18.144015957940407</v>
      </c>
      <c r="Y124" s="64"/>
      <c r="Z124" s="407">
        <f>SUM(Z122:Z123)</f>
        <v>1994.5901765978867</v>
      </c>
      <c r="AA124" s="579">
        <f>Z124/G124*100</f>
        <v>0.52231773969021755</v>
      </c>
      <c r="AB124" s="555">
        <f>AB122+AB123</f>
        <v>-324.06298823825978</v>
      </c>
      <c r="AC124" s="558">
        <f>AA124/I124-1</f>
        <v>-0.13976345973295268</v>
      </c>
      <c r="AD124" s="559"/>
      <c r="AF124" s="543"/>
      <c r="AI124" s="543"/>
      <c r="AK124" s="543"/>
      <c r="AM124" s="560"/>
    </row>
    <row r="125" spans="1:39">
      <c r="A125" s="6"/>
      <c r="B125" s="58"/>
      <c r="C125" s="10"/>
      <c r="D125" s="58"/>
      <c r="E125" s="574"/>
      <c r="F125" s="58"/>
      <c r="G125" s="29"/>
      <c r="H125" s="58"/>
      <c r="I125" s="501"/>
      <c r="J125" s="501"/>
      <c r="K125" s="58"/>
      <c r="L125" s="538"/>
      <c r="M125" s="538"/>
      <c r="N125" s="538"/>
      <c r="O125" s="538"/>
      <c r="P125" s="538"/>
      <c r="Q125" s="555"/>
      <c r="R125" s="564"/>
      <c r="S125" s="564"/>
      <c r="T125" s="538"/>
      <c r="U125" s="538"/>
      <c r="V125" s="538"/>
      <c r="W125" s="538"/>
      <c r="X125" s="538"/>
      <c r="Y125" s="564"/>
      <c r="Z125" s="407"/>
      <c r="AA125" s="565"/>
      <c r="AB125" s="538"/>
      <c r="AC125" s="541"/>
      <c r="AD125" s="542"/>
      <c r="AF125" s="543"/>
      <c r="AI125" s="543"/>
      <c r="AK125" s="543"/>
      <c r="AM125" s="560"/>
    </row>
    <row r="126" spans="1:39">
      <c r="A126" s="6">
        <f>MAX(A$118:A125)+1</f>
        <v>56</v>
      </c>
      <c r="B126" s="58"/>
      <c r="C126" s="10" t="s">
        <v>266</v>
      </c>
      <c r="D126" s="58"/>
      <c r="E126" s="574"/>
      <c r="F126" s="58"/>
      <c r="G126" s="411">
        <f>G124</f>
        <v>381872.95299999998</v>
      </c>
      <c r="H126" s="58"/>
      <c r="I126" s="578">
        <f>J126/G126*100</f>
        <v>1.6828323136768493</v>
      </c>
      <c r="J126" s="552">
        <f>J119+J120+J124</f>
        <v>6426.2814502760066</v>
      </c>
      <c r="K126" s="534"/>
      <c r="L126" s="552">
        <f t="shared" ref="L126:P126" si="45">L119+L120+L124</f>
        <v>1434.7567768481215</v>
      </c>
      <c r="M126" s="555">
        <f t="shared" si="45"/>
        <v>0</v>
      </c>
      <c r="N126" s="552">
        <f t="shared" si="45"/>
        <v>40.391816945015499</v>
      </c>
      <c r="O126" s="552">
        <f t="shared" si="45"/>
        <v>822.74413908553538</v>
      </c>
      <c r="P126" s="552">
        <f t="shared" si="45"/>
        <v>20.314503846852869</v>
      </c>
      <c r="Q126" s="555">
        <f>Q119+Q120+Q124</f>
        <v>4108.0742135504815</v>
      </c>
      <c r="R126" s="534"/>
      <c r="S126" s="552">
        <f>S119+S120+S124</f>
        <v>106.36259632926118</v>
      </c>
      <c r="T126" s="552">
        <f t="shared" ref="T126:X126" si="46">T119+T120+T124</f>
        <v>1046.4385347200052</v>
      </c>
      <c r="U126" s="555">
        <f t="shared" si="46"/>
        <v>0</v>
      </c>
      <c r="V126" s="552">
        <f t="shared" si="46"/>
        <v>33.778789386542314</v>
      </c>
      <c r="W126" s="552">
        <f t="shared" si="46"/>
        <v>901.66243199100404</v>
      </c>
      <c r="X126" s="552">
        <f t="shared" si="46"/>
        <v>18.144015957940407</v>
      </c>
      <c r="Y126" s="534"/>
      <c r="Z126" s="407">
        <f>Z119+Z120+Z124</f>
        <v>6214.4605819352355</v>
      </c>
      <c r="AA126" s="592">
        <f>Z126/G126*100</f>
        <v>1.6273633765141873</v>
      </c>
      <c r="AB126" s="555">
        <f>AB119+AB120+AB124</f>
        <v>-211.82086834077202</v>
      </c>
      <c r="AC126" s="558">
        <f>AA126/I126-1</f>
        <v>-3.2961654415505581E-2</v>
      </c>
      <c r="AD126" s="559"/>
      <c r="AF126" s="543"/>
      <c r="AI126" s="543"/>
      <c r="AK126" s="543"/>
      <c r="AM126" s="560"/>
    </row>
    <row r="127" spans="1:39">
      <c r="A127" s="6"/>
      <c r="E127" s="574"/>
      <c r="F127" s="58"/>
      <c r="G127" s="29"/>
      <c r="H127" s="58"/>
      <c r="I127" s="501"/>
      <c r="J127" s="501"/>
      <c r="K127" s="58"/>
      <c r="L127" s="538"/>
      <c r="M127" s="538"/>
      <c r="N127" s="538"/>
      <c r="O127" s="538"/>
      <c r="P127" s="538"/>
      <c r="Q127" s="538"/>
      <c r="R127" s="564"/>
      <c r="S127" s="564"/>
      <c r="T127" s="538"/>
      <c r="U127" s="538"/>
      <c r="V127" s="538"/>
      <c r="W127" s="538"/>
      <c r="X127" s="538"/>
      <c r="Y127" s="564"/>
      <c r="Z127" s="564"/>
      <c r="AA127" s="564"/>
      <c r="AB127" s="538"/>
      <c r="AC127" s="538"/>
      <c r="AD127" s="563"/>
      <c r="AF127" s="543"/>
      <c r="AI127" s="543"/>
      <c r="AK127" s="543"/>
      <c r="AM127" s="560"/>
    </row>
    <row r="128" spans="1:39">
      <c r="A128" s="6">
        <f>MAX(A$118:A127)+1</f>
        <v>57</v>
      </c>
      <c r="B128" s="58"/>
      <c r="C128" s="12" t="s">
        <v>267</v>
      </c>
      <c r="D128" s="58"/>
      <c r="E128" s="522" t="s">
        <v>262</v>
      </c>
      <c r="F128" s="58"/>
      <c r="G128" s="536">
        <v>381872.95299999998</v>
      </c>
      <c r="H128" s="58"/>
      <c r="I128" s="547">
        <v>9.4794584882729044E-2</v>
      </c>
      <c r="J128" s="534">
        <f>G128*I128/100</f>
        <v>361.994880575769</v>
      </c>
      <c r="K128" s="58"/>
      <c r="L128" s="538">
        <v>0</v>
      </c>
      <c r="M128" s="536">
        <v>88.058747902106859</v>
      </c>
      <c r="N128" s="538">
        <v>0</v>
      </c>
      <c r="O128" s="538">
        <v>0</v>
      </c>
      <c r="P128" s="538">
        <v>0</v>
      </c>
      <c r="Q128" s="538">
        <f>J128-L128-M128-N128-O128-P128</f>
        <v>273.93613267366214</v>
      </c>
      <c r="R128" s="564"/>
      <c r="S128" s="536">
        <v>2.4887083579132394</v>
      </c>
      <c r="T128" s="538">
        <v>0</v>
      </c>
      <c r="U128" s="536">
        <v>87.753931739182406</v>
      </c>
      <c r="V128" s="538">
        <v>0</v>
      </c>
      <c r="W128" s="538">
        <v>0</v>
      </c>
      <c r="X128" s="538">
        <v>0</v>
      </c>
      <c r="Y128" s="564"/>
      <c r="Z128" s="132">
        <f>Q128+S128+T128+U128+V128+W128+X128</f>
        <v>364.1787727707578</v>
      </c>
      <c r="AA128" s="565">
        <f>Z128/G128*100</f>
        <v>9.5366474611454824E-2</v>
      </c>
      <c r="AB128" s="576">
        <f>Z128-J128</f>
        <v>2.1838921949888004</v>
      </c>
      <c r="AC128" s="559">
        <f>AA128/I128-1</f>
        <v>6.0329366855003119E-3</v>
      </c>
      <c r="AD128" s="559"/>
      <c r="AF128" s="543"/>
      <c r="AI128" s="543"/>
      <c r="AK128" s="543"/>
      <c r="AM128" s="560"/>
    </row>
    <row r="129" spans="1:39">
      <c r="A129" s="6"/>
      <c r="B129" s="58"/>
      <c r="C129" s="12"/>
      <c r="D129" s="58"/>
      <c r="E129" s="522"/>
      <c r="F129" s="58"/>
      <c r="G129" s="536"/>
      <c r="H129" s="58"/>
      <c r="I129" s="547"/>
      <c r="J129" s="534"/>
      <c r="K129" s="58"/>
      <c r="L129" s="538"/>
      <c r="M129" s="536"/>
      <c r="N129" s="538"/>
      <c r="O129" s="538"/>
      <c r="P129" s="538"/>
      <c r="Q129" s="538"/>
      <c r="R129" s="564"/>
      <c r="S129" s="536"/>
      <c r="T129" s="538"/>
      <c r="U129" s="536"/>
      <c r="V129" s="538"/>
      <c r="W129" s="538"/>
      <c r="X129" s="538"/>
      <c r="Y129" s="564"/>
      <c r="Z129" s="132"/>
      <c r="AA129" s="597"/>
      <c r="AB129" s="576"/>
      <c r="AC129" s="559"/>
      <c r="AD129" s="559"/>
      <c r="AF129" s="543"/>
      <c r="AI129" s="543"/>
      <c r="AK129" s="543"/>
      <c r="AM129" s="560"/>
    </row>
    <row r="130" spans="1:39">
      <c r="A130" s="6"/>
      <c r="B130" s="58"/>
      <c r="C130" s="10" t="s">
        <v>268</v>
      </c>
      <c r="D130" s="58"/>
      <c r="E130" s="522"/>
      <c r="F130" s="58"/>
      <c r="G130" s="536"/>
      <c r="H130" s="58"/>
      <c r="I130" s="547"/>
      <c r="J130" s="534"/>
      <c r="K130" s="58"/>
      <c r="L130" s="538"/>
      <c r="M130" s="536"/>
      <c r="N130" s="538"/>
      <c r="O130" s="538"/>
      <c r="P130" s="538"/>
      <c r="Q130" s="538"/>
      <c r="R130" s="564"/>
      <c r="S130" s="536"/>
      <c r="T130" s="538"/>
      <c r="U130" s="536"/>
      <c r="V130" s="538"/>
      <c r="W130" s="538"/>
      <c r="X130" s="538"/>
      <c r="Y130" s="564"/>
      <c r="Z130" s="132"/>
      <c r="AA130" s="597"/>
      <c r="AB130" s="576"/>
      <c r="AC130" s="559"/>
      <c r="AD130" s="559"/>
      <c r="AF130" s="543"/>
      <c r="AI130" s="543"/>
      <c r="AK130" s="543"/>
      <c r="AM130" s="560"/>
    </row>
    <row r="131" spans="1:39">
      <c r="A131" s="6">
        <f>MAX(A$118:A130)+1</f>
        <v>58</v>
      </c>
      <c r="B131" s="58"/>
      <c r="C131" s="12" t="s">
        <v>268</v>
      </c>
      <c r="D131" s="58"/>
      <c r="E131" s="522" t="s">
        <v>262</v>
      </c>
      <c r="F131" s="58"/>
      <c r="G131" s="536">
        <v>1651.1379999999999</v>
      </c>
      <c r="H131" s="58"/>
      <c r="I131" s="547">
        <v>3.9267453785808999</v>
      </c>
      <c r="J131" s="534">
        <f>G131*I131/100</f>
        <v>64.8359851089931</v>
      </c>
      <c r="K131" s="58"/>
      <c r="L131" s="538">
        <v>0</v>
      </c>
      <c r="M131" s="538">
        <v>0</v>
      </c>
      <c r="N131" s="538">
        <v>0</v>
      </c>
      <c r="O131" s="538">
        <v>0</v>
      </c>
      <c r="P131" s="538">
        <v>0</v>
      </c>
      <c r="Q131" s="538">
        <f>J131-L131-M131-N131-O131-P131</f>
        <v>64.8359851089931</v>
      </c>
      <c r="R131" s="564"/>
      <c r="S131" s="536">
        <v>3.3963086737545112E-2</v>
      </c>
      <c r="T131" s="538">
        <v>0</v>
      </c>
      <c r="U131" s="538">
        <v>0</v>
      </c>
      <c r="V131" s="538">
        <v>0</v>
      </c>
      <c r="W131" s="538">
        <v>0</v>
      </c>
      <c r="X131" s="538">
        <v>0</v>
      </c>
      <c r="Y131" s="564"/>
      <c r="Z131" s="132">
        <f>Q131+S131+T131+U131+V131+W131+X131</f>
        <v>64.869948195730643</v>
      </c>
      <c r="AA131" s="565">
        <f>Z131/G131*100</f>
        <v>3.9288023288017504</v>
      </c>
      <c r="AB131" s="576">
        <f>Z131-J131</f>
        <v>3.3963086737543335E-2</v>
      </c>
      <c r="AC131" s="559"/>
      <c r="AD131" s="559"/>
      <c r="AF131" s="543"/>
      <c r="AI131" s="543"/>
      <c r="AK131" s="543"/>
      <c r="AM131" s="560"/>
    </row>
    <row r="132" spans="1:39">
      <c r="A132" s="6">
        <f>MAX(A$118:A131)+1</f>
        <v>59</v>
      </c>
      <c r="B132" s="58"/>
      <c r="C132" s="12" t="s">
        <v>269</v>
      </c>
      <c r="D132" s="58"/>
      <c r="E132" s="522" t="s">
        <v>262</v>
      </c>
      <c r="F132" s="58"/>
      <c r="G132" s="536">
        <v>241077.16699999999</v>
      </c>
      <c r="H132" s="58"/>
      <c r="I132" s="547">
        <v>0.96972045424185205</v>
      </c>
      <c r="J132" s="534">
        <f>G132*I132/100</f>
        <v>2337.774598905788</v>
      </c>
      <c r="K132" s="58"/>
      <c r="L132" s="538">
        <v>0</v>
      </c>
      <c r="M132" s="538">
        <v>0</v>
      </c>
      <c r="N132" s="538">
        <v>0</v>
      </c>
      <c r="O132" s="538">
        <v>0</v>
      </c>
      <c r="P132" s="538">
        <v>0</v>
      </c>
      <c r="Q132" s="538">
        <f>J132-L132-M132-N132-O132-P132</f>
        <v>2337.774598905788</v>
      </c>
      <c r="R132" s="564"/>
      <c r="S132" s="536">
        <v>39.379902563764745</v>
      </c>
      <c r="T132" s="538">
        <v>0</v>
      </c>
      <c r="U132" s="538">
        <v>0</v>
      </c>
      <c r="V132" s="538">
        <v>0</v>
      </c>
      <c r="W132" s="538">
        <v>0</v>
      </c>
      <c r="X132" s="538">
        <v>0</v>
      </c>
      <c r="Y132" s="564"/>
      <c r="Z132" s="132">
        <f>Q132+S132+T132+U132+V132+W132+X132</f>
        <v>2377.154501469553</v>
      </c>
      <c r="AA132" s="565">
        <f>Z132/G132*100</f>
        <v>0.98605543239586568</v>
      </c>
      <c r="AB132" s="576">
        <f>Z132-J132</f>
        <v>39.379902563764972</v>
      </c>
      <c r="AC132" s="559"/>
      <c r="AD132" s="559"/>
      <c r="AF132" s="543"/>
      <c r="AI132" s="543"/>
      <c r="AK132" s="543"/>
      <c r="AM132" s="560"/>
    </row>
    <row r="133" spans="1:39">
      <c r="A133" s="6">
        <f>MAX(A$118:A132)+1</f>
        <v>60</v>
      </c>
      <c r="B133" s="58"/>
      <c r="C133" s="10" t="s">
        <v>268</v>
      </c>
      <c r="D133" s="58"/>
      <c r="E133" s="522"/>
      <c r="F133" s="58"/>
      <c r="G133" s="553">
        <f>SUM(G131:G132)</f>
        <v>242728.30499999999</v>
      </c>
      <c r="H133" s="593"/>
      <c r="I133" s="566">
        <f>J133/G133*100</f>
        <v>0.98983535686733415</v>
      </c>
      <c r="J133" s="552">
        <f>SUM(J131:J132)</f>
        <v>2402.6105840147811</v>
      </c>
      <c r="K133" s="58"/>
      <c r="L133" s="555">
        <f>SUM(L131:L132)</f>
        <v>0</v>
      </c>
      <c r="M133" s="555">
        <f t="shared" ref="M133:Z133" si="47">SUM(M131:M132)</f>
        <v>0</v>
      </c>
      <c r="N133" s="555">
        <f t="shared" si="47"/>
        <v>0</v>
      </c>
      <c r="O133" s="555">
        <f t="shared" si="47"/>
        <v>0</v>
      </c>
      <c r="P133" s="555">
        <f t="shared" si="47"/>
        <v>0</v>
      </c>
      <c r="Q133" s="555">
        <f t="shared" si="47"/>
        <v>2402.6105840147811</v>
      </c>
      <c r="R133" s="538"/>
      <c r="S133" s="553">
        <f>SUM(S131:S132)</f>
        <v>39.413865650502288</v>
      </c>
      <c r="T133" s="555">
        <f t="shared" si="47"/>
        <v>0</v>
      </c>
      <c r="U133" s="555">
        <f t="shared" si="47"/>
        <v>0</v>
      </c>
      <c r="V133" s="555">
        <f t="shared" si="47"/>
        <v>0</v>
      </c>
      <c r="W133" s="555">
        <f t="shared" si="47"/>
        <v>0</v>
      </c>
      <c r="X133" s="555">
        <f t="shared" si="47"/>
        <v>0</v>
      </c>
      <c r="Y133" s="538"/>
      <c r="Z133" s="555">
        <f t="shared" si="47"/>
        <v>2442.0244496652836</v>
      </c>
      <c r="AA133" s="592">
        <f>Z133/G133*100</f>
        <v>1.006073209988956</v>
      </c>
      <c r="AB133" s="598">
        <f>SUM(AB131:AB132)</f>
        <v>39.413865650502515</v>
      </c>
      <c r="AC133" s="558">
        <f>AA133/I133-1</f>
        <v>1.6404600026626692E-2</v>
      </c>
      <c r="AD133" s="559"/>
      <c r="AF133" s="543"/>
      <c r="AI133" s="543"/>
      <c r="AK133" s="543"/>
      <c r="AM133" s="560"/>
    </row>
    <row r="134" spans="1:39">
      <c r="A134" s="6"/>
      <c r="B134" s="58"/>
      <c r="D134" s="58"/>
      <c r="E134" s="57"/>
      <c r="G134" s="536"/>
      <c r="I134" s="547"/>
      <c r="J134" s="534"/>
      <c r="L134" s="538"/>
      <c r="M134" s="538"/>
      <c r="N134" s="538"/>
      <c r="O134" s="538"/>
      <c r="P134" s="538"/>
      <c r="Q134" s="538"/>
      <c r="R134" s="64"/>
      <c r="S134" s="536"/>
      <c r="T134" s="538"/>
      <c r="U134" s="538"/>
      <c r="V134" s="538"/>
      <c r="W134" s="538"/>
      <c r="X134" s="538"/>
      <c r="Y134" s="64"/>
      <c r="Z134" s="132"/>
      <c r="AA134" s="597"/>
      <c r="AB134" s="576"/>
      <c r="AC134" s="559"/>
      <c r="AD134" s="559"/>
      <c r="AF134" s="543"/>
      <c r="AI134" s="543"/>
      <c r="AK134" s="543"/>
      <c r="AM134" s="560"/>
    </row>
    <row r="135" spans="1:39">
      <c r="A135" s="6">
        <f>MAX(A$118:A134)+1</f>
        <v>61</v>
      </c>
      <c r="B135" s="58"/>
      <c r="C135" s="10" t="s">
        <v>270</v>
      </c>
      <c r="D135" s="58"/>
      <c r="E135" s="522" t="s">
        <v>262</v>
      </c>
      <c r="F135" s="58"/>
      <c r="G135" s="536">
        <v>1651.1379999999999</v>
      </c>
      <c r="H135" s="58"/>
      <c r="I135" s="547">
        <v>18.339431448884856</v>
      </c>
      <c r="J135" s="534">
        <f>G135*I135/100</f>
        <v>302.80932163648845</v>
      </c>
      <c r="K135" s="58"/>
      <c r="L135" s="538">
        <v>0</v>
      </c>
      <c r="M135" s="538">
        <v>0</v>
      </c>
      <c r="N135" s="538">
        <v>0</v>
      </c>
      <c r="O135" s="538">
        <v>0</v>
      </c>
      <c r="P135" s="538">
        <v>0</v>
      </c>
      <c r="Q135" s="538">
        <f>J135-L135-M135-N135-O135-P135</f>
        <v>302.80932163648845</v>
      </c>
      <c r="R135" s="564"/>
      <c r="S135" s="536">
        <v>2.1171215996337756E-2</v>
      </c>
      <c r="T135" s="538">
        <v>0</v>
      </c>
      <c r="U135" s="538">
        <v>0</v>
      </c>
      <c r="V135" s="538">
        <v>0</v>
      </c>
      <c r="W135" s="538">
        <v>0</v>
      </c>
      <c r="X135" s="538">
        <v>0</v>
      </c>
      <c r="Y135" s="564"/>
      <c r="Z135" s="132">
        <f>Q135+S135+T135+U135+V135+W135+X135</f>
        <v>302.83049285248478</v>
      </c>
      <c r="AA135" s="565">
        <f>Z135/G135*100</f>
        <v>18.340713668541625</v>
      </c>
      <c r="AB135" s="576">
        <f>Z135-J135</f>
        <v>2.1171215996332649E-2</v>
      </c>
      <c r="AC135" s="559">
        <f>AA135/I135-1</f>
        <v>6.9915998232694676E-5</v>
      </c>
      <c r="AD135" s="559"/>
      <c r="AF135" s="543"/>
      <c r="AI135" s="543"/>
      <c r="AK135" s="543"/>
      <c r="AM135" s="560"/>
    </row>
    <row r="136" spans="1:39">
      <c r="A136" s="6"/>
      <c r="B136" s="58"/>
      <c r="C136" s="10"/>
      <c r="D136" s="58"/>
      <c r="E136" s="30"/>
      <c r="F136" s="58"/>
      <c r="G136" s="29"/>
      <c r="H136" s="58"/>
      <c r="I136" s="547"/>
      <c r="J136" s="501"/>
      <c r="K136" s="58"/>
      <c r="L136" s="538"/>
      <c r="M136" s="538"/>
      <c r="N136" s="538"/>
      <c r="O136" s="538"/>
      <c r="P136" s="538"/>
      <c r="Q136" s="538"/>
      <c r="R136" s="564"/>
      <c r="S136" s="564"/>
      <c r="T136" s="538"/>
      <c r="U136" s="538"/>
      <c r="V136" s="538"/>
      <c r="W136" s="538"/>
      <c r="X136" s="538"/>
      <c r="Y136" s="564"/>
      <c r="Z136" s="132"/>
      <c r="AA136" s="597"/>
      <c r="AB136" s="576"/>
      <c r="AC136" s="599"/>
      <c r="AD136" s="600"/>
      <c r="AF136" s="543"/>
      <c r="AI136" s="543"/>
      <c r="AK136" s="543"/>
      <c r="AM136" s="560"/>
    </row>
    <row r="137" spans="1:39" ht="12.95" thickBot="1">
      <c r="A137" s="6">
        <f>MAX(A$118:A136)+1</f>
        <v>62</v>
      </c>
      <c r="C137" s="10" t="s">
        <v>286</v>
      </c>
      <c r="E137" s="30"/>
      <c r="F137" s="58"/>
      <c r="G137" s="594">
        <f>G124</f>
        <v>381872.95299999998</v>
      </c>
      <c r="I137" s="586">
        <f>J137/G137*100</f>
        <v>2.486087627290809</v>
      </c>
      <c r="J137" s="571">
        <f>J126+J128+J133+J135</f>
        <v>9493.6962365030449</v>
      </c>
      <c r="K137" s="534"/>
      <c r="L137" s="571">
        <f>L126+L128+L133+L135</f>
        <v>1434.7567768481215</v>
      </c>
      <c r="M137" s="571">
        <f t="shared" ref="M137:P137" si="48">M126+M128+M133+M135</f>
        <v>88.058747902106859</v>
      </c>
      <c r="N137" s="571">
        <f t="shared" si="48"/>
        <v>40.391816945015499</v>
      </c>
      <c r="O137" s="571">
        <f t="shared" si="48"/>
        <v>822.74413908553538</v>
      </c>
      <c r="P137" s="571">
        <f t="shared" si="48"/>
        <v>20.314503846852869</v>
      </c>
      <c r="Q137" s="587">
        <f>Q126+Q128+Q133+Q135</f>
        <v>7087.4302518754139</v>
      </c>
      <c r="R137" s="534"/>
      <c r="S137" s="571">
        <f>S126+S128+S133+S135</f>
        <v>148.28634155367303</v>
      </c>
      <c r="T137" s="571">
        <f t="shared" ref="T137:X137" si="49">T126+T128+T133+T135</f>
        <v>1046.4385347200052</v>
      </c>
      <c r="U137" s="571">
        <f t="shared" si="49"/>
        <v>87.753931739182406</v>
      </c>
      <c r="V137" s="571">
        <f t="shared" si="49"/>
        <v>33.778789386542314</v>
      </c>
      <c r="W137" s="571">
        <f t="shared" si="49"/>
        <v>901.66243199100404</v>
      </c>
      <c r="X137" s="571">
        <f t="shared" si="49"/>
        <v>18.144015957940407</v>
      </c>
      <c r="Y137" s="534"/>
      <c r="Z137" s="439">
        <f>Z126+Z128+Z133+Z135</f>
        <v>9323.4942972237623</v>
      </c>
      <c r="AA137" s="590">
        <f>Z137/G137*100</f>
        <v>2.4415173224440858</v>
      </c>
      <c r="AB137" s="601">
        <f>AB126+AB128+AB131+AB132+AB135</f>
        <v>-170.20193927928437</v>
      </c>
      <c r="AC137" s="602">
        <f>AA137/I137-1</f>
        <v>-1.792788973222692E-2</v>
      </c>
      <c r="AD137" s="600"/>
      <c r="AF137" s="543"/>
      <c r="AI137" s="543"/>
      <c r="AK137" s="543"/>
      <c r="AM137" s="560"/>
    </row>
    <row r="138" spans="1:39" ht="12.95" thickTop="1">
      <c r="A138" s="6"/>
      <c r="B138" s="58"/>
      <c r="C138" s="10"/>
      <c r="D138" s="58"/>
      <c r="E138" s="30"/>
      <c r="F138" s="58"/>
      <c r="G138" s="29"/>
      <c r="H138" s="58"/>
      <c r="I138" s="501"/>
      <c r="J138" s="501"/>
      <c r="K138" s="58"/>
      <c r="L138" s="501"/>
      <c r="M138" s="501"/>
      <c r="N138" s="501"/>
      <c r="O138" s="501"/>
      <c r="P138" s="501"/>
      <c r="Q138" s="501"/>
      <c r="R138" s="58"/>
      <c r="S138" s="58"/>
      <c r="T138" s="501"/>
      <c r="U138" s="501"/>
      <c r="V138" s="501"/>
      <c r="W138" s="501"/>
      <c r="X138" s="501"/>
      <c r="Y138" s="58"/>
      <c r="Z138" s="603"/>
      <c r="AA138" s="603"/>
      <c r="AB138" s="604"/>
      <c r="AC138" s="605"/>
      <c r="AD138" s="314"/>
    </row>
    <row r="139" spans="1:39">
      <c r="A139" s="6"/>
      <c r="B139" s="58"/>
      <c r="C139" s="9" t="s">
        <v>132</v>
      </c>
      <c r="D139" s="58"/>
      <c r="E139" s="30"/>
      <c r="F139" s="58"/>
      <c r="G139" s="536"/>
      <c r="H139" s="58"/>
      <c r="I139" s="501"/>
      <c r="J139" s="501"/>
      <c r="K139" s="58"/>
      <c r="L139" s="501"/>
      <c r="M139" s="501"/>
      <c r="N139" s="501"/>
      <c r="O139" s="501"/>
      <c r="P139" s="501"/>
      <c r="Q139" s="501"/>
      <c r="R139" s="58"/>
      <c r="S139" s="58"/>
      <c r="T139" s="501"/>
      <c r="U139" s="501"/>
      <c r="V139" s="501"/>
      <c r="W139" s="501"/>
      <c r="X139" s="501"/>
      <c r="Y139" s="58"/>
      <c r="Z139" s="603"/>
      <c r="AA139" s="603"/>
      <c r="AB139" s="604"/>
      <c r="AC139" s="605"/>
      <c r="AD139" s="314"/>
    </row>
    <row r="140" spans="1:39">
      <c r="A140" s="6">
        <f>MAX(A$118:A139)+1</f>
        <v>63</v>
      </c>
      <c r="B140" s="58"/>
      <c r="C140" s="10" t="s">
        <v>258</v>
      </c>
      <c r="D140" s="58"/>
      <c r="E140" s="30" t="s">
        <v>259</v>
      </c>
      <c r="F140" s="58"/>
      <c r="G140" s="536">
        <v>48</v>
      </c>
      <c r="H140" s="58"/>
      <c r="I140" s="537">
        <v>546.96967474977816</v>
      </c>
      <c r="J140" s="534">
        <f>G140*I140/1000</f>
        <v>26.254544387989348</v>
      </c>
      <c r="K140" s="58"/>
      <c r="L140" s="538">
        <v>0</v>
      </c>
      <c r="M140" s="538">
        <v>0</v>
      </c>
      <c r="N140" s="538">
        <v>0</v>
      </c>
      <c r="O140" s="538">
        <v>0</v>
      </c>
      <c r="P140" s="538">
        <v>0</v>
      </c>
      <c r="Q140" s="538">
        <f>J140-L140-M140-N140-O140-P140</f>
        <v>26.254544387989348</v>
      </c>
      <c r="R140" s="564"/>
      <c r="S140" s="536">
        <v>0.71741294836639469</v>
      </c>
      <c r="T140" s="538">
        <v>0</v>
      </c>
      <c r="U140" s="538">
        <v>0</v>
      </c>
      <c r="V140" s="538">
        <v>0</v>
      </c>
      <c r="W140" s="538">
        <v>0</v>
      </c>
      <c r="X140" s="538">
        <v>0</v>
      </c>
      <c r="Y140" s="564"/>
      <c r="Z140" s="132">
        <f>Q140+S140+T140+U140+V140+W140+X140</f>
        <v>26.971957336355743</v>
      </c>
      <c r="AA140" s="606">
        <f>Z140/G140*1000</f>
        <v>561.91577784074468</v>
      </c>
      <c r="AB140" s="576">
        <f>Z140-J140</f>
        <v>0.71741294836639469</v>
      </c>
      <c r="AC140" s="599">
        <f>AA140/I140-1</f>
        <v>2.7325286539521487E-2</v>
      </c>
      <c r="AD140" s="600"/>
      <c r="AF140" s="543"/>
      <c r="AI140" s="543"/>
      <c r="AK140" s="543"/>
      <c r="AM140" s="560"/>
    </row>
    <row r="141" spans="1:39">
      <c r="A141" s="6">
        <f>MAX(A$118:A140)+1</f>
        <v>64</v>
      </c>
      <c r="C141" s="521" t="s">
        <v>280</v>
      </c>
      <c r="E141" s="30" t="s">
        <v>281</v>
      </c>
      <c r="G141" s="536">
        <v>111124.284</v>
      </c>
      <c r="I141" s="547">
        <v>11.212672899678186</v>
      </c>
      <c r="J141" s="534">
        <f>G141*I141/100</f>
        <v>12460.002477029422</v>
      </c>
      <c r="L141" s="536">
        <v>166.42587763804715</v>
      </c>
      <c r="M141" s="538">
        <v>0</v>
      </c>
      <c r="N141" s="538">
        <v>0</v>
      </c>
      <c r="O141" s="538">
        <v>0</v>
      </c>
      <c r="P141" s="538">
        <v>0</v>
      </c>
      <c r="Q141" s="538">
        <f>J141-L141-M141-N141-O141-P141</f>
        <v>12293.576599391376</v>
      </c>
      <c r="R141" s="64"/>
      <c r="S141" s="536">
        <v>335.92550317392488</v>
      </c>
      <c r="T141" s="538">
        <v>174.66061005879783</v>
      </c>
      <c r="U141" s="538">
        <v>0</v>
      </c>
      <c r="V141" s="538">
        <v>0</v>
      </c>
      <c r="W141" s="538">
        <v>0</v>
      </c>
      <c r="X141" s="538">
        <v>0</v>
      </c>
      <c r="Y141" s="64"/>
      <c r="Z141" s="132">
        <f>Q141+S141+T141+U141+V141+W141+X141</f>
        <v>12804.162712624098</v>
      </c>
      <c r="AA141" s="607">
        <f>Z141/G141*100</f>
        <v>11.522380394031693</v>
      </c>
      <c r="AB141" s="576">
        <f>Z141-J141</f>
        <v>344.16023559467612</v>
      </c>
      <c r="AC141" s="599">
        <f>AA141/I141-1</f>
        <v>2.7621201217989277E-2</v>
      </c>
      <c r="AD141" s="600"/>
      <c r="AF141" s="543"/>
      <c r="AI141" s="543"/>
      <c r="AK141" s="543"/>
      <c r="AM141" s="560"/>
    </row>
    <row r="142" spans="1:39">
      <c r="A142" s="6">
        <f>MAX(A$118:A141)+1</f>
        <v>65</v>
      </c>
      <c r="B142" s="58"/>
      <c r="C142" s="10" t="s">
        <v>266</v>
      </c>
      <c r="D142" s="58"/>
      <c r="E142" s="30" t="s">
        <v>262</v>
      </c>
      <c r="F142" s="58"/>
      <c r="G142" s="553">
        <v>824970.7141199999</v>
      </c>
      <c r="H142" s="593"/>
      <c r="I142" s="578">
        <f>J142/G142*100</f>
        <v>1.5135394272433731</v>
      </c>
      <c r="J142" s="552">
        <f>SUM(J140:J141)</f>
        <v>12486.257021417412</v>
      </c>
      <c r="K142" s="58"/>
      <c r="L142" s="553">
        <f>SUM(L140:L141)</f>
        <v>166.42587763804715</v>
      </c>
      <c r="M142" s="555">
        <f t="shared" ref="M142:P142" si="50">SUM(M140:M141)</f>
        <v>0</v>
      </c>
      <c r="N142" s="555">
        <f t="shared" si="50"/>
        <v>0</v>
      </c>
      <c r="O142" s="555">
        <f t="shared" si="50"/>
        <v>0</v>
      </c>
      <c r="P142" s="555">
        <f t="shared" si="50"/>
        <v>0</v>
      </c>
      <c r="Q142" s="555">
        <f>SUM(Q140:Q141)</f>
        <v>12319.831143779365</v>
      </c>
      <c r="R142" s="564"/>
      <c r="S142" s="553">
        <f>SUM(S140:S141)</f>
        <v>336.6429161222913</v>
      </c>
      <c r="T142" s="555">
        <f>SUM(T141)</f>
        <v>174.66061005879783</v>
      </c>
      <c r="U142" s="411">
        <f t="shared" ref="U142:X142" si="51">SUM(U140:U141)</f>
        <v>0</v>
      </c>
      <c r="V142" s="411">
        <f t="shared" si="51"/>
        <v>0</v>
      </c>
      <c r="W142" s="411">
        <f t="shared" si="51"/>
        <v>0</v>
      </c>
      <c r="X142" s="411">
        <f t="shared" si="51"/>
        <v>0</v>
      </c>
      <c r="Y142" s="564"/>
      <c r="Z142" s="131">
        <f>SUM(Z140:Z141)</f>
        <v>12831.134669960455</v>
      </c>
      <c r="AA142" s="608">
        <f>Z142/G142*100</f>
        <v>1.5553442625714886</v>
      </c>
      <c r="AB142" s="598">
        <f>SUM(AB140:AB141)</f>
        <v>344.87764854304254</v>
      </c>
      <c r="AC142" s="609">
        <f>AA142/I142-1</f>
        <v>2.7620579005500412E-2</v>
      </c>
      <c r="AD142" s="600"/>
      <c r="AF142" s="543"/>
      <c r="AI142" s="543"/>
      <c r="AK142" s="543"/>
      <c r="AM142" s="560"/>
    </row>
    <row r="143" spans="1:39">
      <c r="A143" s="6"/>
      <c r="G143" s="567"/>
      <c r="H143" s="567"/>
      <c r="I143" s="534"/>
      <c r="J143" s="534"/>
      <c r="K143" s="567"/>
      <c r="L143" s="536"/>
      <c r="M143" s="538"/>
      <c r="N143" s="538"/>
      <c r="O143" s="538"/>
      <c r="P143" s="538"/>
      <c r="Q143" s="538"/>
      <c r="R143" s="64"/>
      <c r="S143" s="64"/>
      <c r="T143" s="538"/>
      <c r="U143" s="538"/>
      <c r="V143" s="538"/>
      <c r="W143" s="538"/>
      <c r="X143" s="538"/>
      <c r="Y143" s="64"/>
      <c r="Z143" s="130"/>
      <c r="AA143" s="130"/>
      <c r="AB143" s="576"/>
      <c r="AC143" s="576"/>
      <c r="AD143" s="610"/>
      <c r="AF143" s="543"/>
      <c r="AI143" s="543"/>
      <c r="AK143" s="543"/>
      <c r="AM143" s="560"/>
    </row>
    <row r="144" spans="1:39">
      <c r="A144" s="6">
        <f>MAX(A$118:A143)+1</f>
        <v>66</v>
      </c>
      <c r="C144" s="10" t="s">
        <v>287</v>
      </c>
      <c r="E144" s="30" t="s">
        <v>262</v>
      </c>
      <c r="G144" s="536">
        <v>2835</v>
      </c>
      <c r="H144" s="567"/>
      <c r="I144" s="547">
        <v>20.749300000000002</v>
      </c>
      <c r="J144" s="534">
        <f>G144*I144/100</f>
        <v>588.24265500000001</v>
      </c>
      <c r="K144" s="567"/>
      <c r="L144" s="29">
        <v>0</v>
      </c>
      <c r="M144" s="538">
        <v>0</v>
      </c>
      <c r="N144" s="538">
        <v>0</v>
      </c>
      <c r="O144" s="536">
        <v>588.24265500000001</v>
      </c>
      <c r="P144" s="538">
        <v>0</v>
      </c>
      <c r="Q144" s="538">
        <f>J144-L144-M144-N144-O144-P144</f>
        <v>0</v>
      </c>
      <c r="R144" s="64"/>
      <c r="S144" s="130">
        <v>0</v>
      </c>
      <c r="T144" s="576">
        <v>0</v>
      </c>
      <c r="U144" s="576">
        <v>0</v>
      </c>
      <c r="V144" s="576">
        <v>0</v>
      </c>
      <c r="W144" s="536">
        <v>717.82949090787918</v>
      </c>
      <c r="X144" s="538">
        <v>0</v>
      </c>
      <c r="Y144" s="64"/>
      <c r="Z144" s="130">
        <f>Q144+S144+T144+U144+V144+W144+X144</f>
        <v>717.82949090787918</v>
      </c>
      <c r="AA144" s="565">
        <f>Z144/G144*100</f>
        <v>25.320264229554823</v>
      </c>
      <c r="AB144" s="576">
        <f>Z144-J144</f>
        <v>129.58683590787916</v>
      </c>
      <c r="AC144" s="599">
        <f>AA144/I144-1</f>
        <v>0.22029486438360912</v>
      </c>
      <c r="AD144" s="600"/>
      <c r="AF144" s="543"/>
      <c r="AI144" s="543"/>
      <c r="AK144" s="543"/>
      <c r="AM144" s="560"/>
    </row>
    <row r="145" spans="1:39">
      <c r="A145" s="6"/>
      <c r="B145" s="581"/>
      <c r="C145" s="10"/>
      <c r="D145" s="581"/>
      <c r="E145" s="581"/>
      <c r="F145" s="581"/>
      <c r="G145" s="611"/>
      <c r="H145" s="611"/>
      <c r="I145" s="534"/>
      <c r="J145" s="534"/>
      <c r="K145" s="611"/>
      <c r="L145" s="536"/>
      <c r="M145" s="538"/>
      <c r="N145" s="538"/>
      <c r="O145" s="536"/>
      <c r="P145" s="538"/>
      <c r="Q145" s="538"/>
      <c r="R145" s="582"/>
      <c r="S145" s="130"/>
      <c r="T145" s="576"/>
      <c r="U145" s="576"/>
      <c r="V145" s="576"/>
      <c r="W145" s="538"/>
      <c r="X145" s="538"/>
      <c r="Y145" s="582"/>
      <c r="Z145" s="612"/>
      <c r="AA145" s="613"/>
      <c r="AB145" s="576"/>
      <c r="AC145" s="599"/>
      <c r="AD145" s="600"/>
      <c r="AF145" s="543"/>
      <c r="AI145" s="543"/>
      <c r="AK145" s="543"/>
      <c r="AM145" s="560"/>
    </row>
    <row r="146" spans="1:39" ht="12.95" thickBot="1">
      <c r="A146" s="6">
        <f>MAX(A$118:A145)+1</f>
        <v>67</v>
      </c>
      <c r="B146" s="57"/>
      <c r="C146" s="10" t="s">
        <v>288</v>
      </c>
      <c r="D146" s="57"/>
      <c r="E146" s="3"/>
      <c r="F146" s="57"/>
      <c r="G146" s="588">
        <f>G142</f>
        <v>824970.7141199999</v>
      </c>
      <c r="H146" s="614"/>
      <c r="I146" s="570">
        <f>J146/G146*100</f>
        <v>1.5848440984191834</v>
      </c>
      <c r="J146" s="571">
        <f>J142+J144</f>
        <v>13074.499676417412</v>
      </c>
      <c r="K146" s="614"/>
      <c r="L146" s="588">
        <f>L142+L144</f>
        <v>166.42587763804715</v>
      </c>
      <c r="M146" s="587">
        <f t="shared" ref="M146:P146" si="52">M142+M144</f>
        <v>0</v>
      </c>
      <c r="N146" s="587">
        <f t="shared" si="52"/>
        <v>0</v>
      </c>
      <c r="O146" s="588">
        <f>O142+O144</f>
        <v>588.24265500000001</v>
      </c>
      <c r="P146" s="587">
        <f t="shared" si="52"/>
        <v>0</v>
      </c>
      <c r="Q146" s="587">
        <f>Q142+Q144</f>
        <v>12319.831143779365</v>
      </c>
      <c r="R146" s="538"/>
      <c r="S146" s="587">
        <f t="shared" ref="S146:X146" si="53">S142+S144</f>
        <v>336.6429161222913</v>
      </c>
      <c r="T146" s="571">
        <f>T142+T144</f>
        <v>174.66061005879783</v>
      </c>
      <c r="U146" s="587">
        <f t="shared" si="53"/>
        <v>0</v>
      </c>
      <c r="V146" s="587">
        <f t="shared" si="53"/>
        <v>0</v>
      </c>
      <c r="W146" s="571">
        <f>W142+W144</f>
        <v>717.82949090787918</v>
      </c>
      <c r="X146" s="587">
        <f t="shared" si="53"/>
        <v>0</v>
      </c>
      <c r="Y146" s="583"/>
      <c r="Z146" s="439">
        <f>Z142+Z144</f>
        <v>13548.964160868334</v>
      </c>
      <c r="AA146" s="590">
        <f>Z146/G146*100</f>
        <v>1.6423569866138916</v>
      </c>
      <c r="AB146" s="601">
        <f>AB142+AB144</f>
        <v>474.4644844509217</v>
      </c>
      <c r="AC146" s="615">
        <f>AA146/I146-1</f>
        <v>3.6289303315117927E-2</v>
      </c>
      <c r="AD146" s="600"/>
      <c r="AF146" s="543"/>
      <c r="AI146" s="543"/>
      <c r="AK146" s="543"/>
      <c r="AM146" s="560"/>
    </row>
    <row r="147" spans="1:39" ht="12.95" thickTop="1">
      <c r="L147" s="2"/>
      <c r="M147" s="2"/>
      <c r="N147" s="2"/>
      <c r="O147" s="2"/>
      <c r="P147" s="501"/>
      <c r="Q147" s="501"/>
      <c r="T147" s="501"/>
      <c r="U147" s="501"/>
      <c r="V147" s="501"/>
      <c r="W147" s="501"/>
      <c r="X147" s="501"/>
      <c r="Z147" s="64"/>
      <c r="AB147" s="501"/>
      <c r="AC147" s="501"/>
      <c r="AF147" s="543"/>
      <c r="AI147" s="543"/>
      <c r="AK147" s="543"/>
      <c r="AM147" s="560"/>
    </row>
    <row r="148" spans="1:39">
      <c r="L148" s="2"/>
      <c r="M148" s="2"/>
      <c r="N148" s="2"/>
      <c r="O148" s="2"/>
      <c r="P148" s="501"/>
      <c r="Q148" s="501"/>
      <c r="T148" s="501"/>
      <c r="U148" s="501"/>
      <c r="V148" s="501"/>
      <c r="W148" s="501"/>
      <c r="X148" s="501"/>
      <c r="Z148" s="64"/>
      <c r="AB148" s="501"/>
      <c r="AC148" s="501"/>
      <c r="AF148" s="543"/>
      <c r="AI148" s="543"/>
      <c r="AK148" s="543"/>
      <c r="AM148" s="560"/>
    </row>
    <row r="149" spans="1:39">
      <c r="L149" s="2"/>
      <c r="M149" s="2"/>
      <c r="N149" s="2"/>
      <c r="O149" s="2"/>
      <c r="P149" s="501"/>
      <c r="Q149" s="501"/>
      <c r="T149" s="501"/>
      <c r="U149" s="501"/>
      <c r="V149" s="501"/>
      <c r="W149" s="501"/>
      <c r="X149" s="501"/>
      <c r="AB149" s="501"/>
      <c r="AC149" s="501"/>
      <c r="AF149" s="543"/>
      <c r="AI149" s="543"/>
      <c r="AK149" s="543"/>
      <c r="AM149" s="560"/>
    </row>
    <row r="150" spans="1:39">
      <c r="L150" s="2"/>
      <c r="M150" s="2"/>
      <c r="N150" s="2"/>
      <c r="O150" s="2"/>
      <c r="P150" s="501"/>
      <c r="Q150" s="501"/>
      <c r="T150" s="501"/>
      <c r="U150" s="501"/>
      <c r="V150" s="501"/>
      <c r="W150" s="501"/>
      <c r="X150" s="501"/>
      <c r="AB150" s="501"/>
      <c r="AC150" s="501"/>
      <c r="AF150" s="543"/>
      <c r="AI150" s="543"/>
      <c r="AK150" s="543"/>
      <c r="AM150" s="560"/>
    </row>
    <row r="151" spans="1:39">
      <c r="L151" s="2"/>
      <c r="M151" s="2"/>
      <c r="N151" s="2"/>
      <c r="O151" s="2"/>
      <c r="P151" s="501"/>
      <c r="Q151" s="501"/>
      <c r="T151" s="501"/>
      <c r="U151" s="501"/>
      <c r="V151" s="501"/>
      <c r="W151" s="501"/>
      <c r="X151" s="501"/>
      <c r="AB151" s="501"/>
      <c r="AC151" s="501"/>
      <c r="AF151" s="543"/>
      <c r="AI151" s="543"/>
      <c r="AK151" s="543"/>
      <c r="AM151" s="560"/>
    </row>
    <row r="152" spans="1:39">
      <c r="A152" s="1156" t="s">
        <v>279</v>
      </c>
      <c r="B152" s="1156"/>
      <c r="C152" s="1156"/>
      <c r="D152" s="1156"/>
      <c r="E152" s="1156"/>
      <c r="F152" s="1156"/>
      <c r="G152" s="1156"/>
      <c r="H152" s="1156"/>
      <c r="I152" s="1156"/>
      <c r="J152" s="1156"/>
      <c r="K152" s="1156"/>
      <c r="L152" s="1156"/>
      <c r="M152" s="1156"/>
      <c r="N152" s="1156"/>
      <c r="O152" s="1156"/>
      <c r="P152" s="1156"/>
      <c r="Q152" s="1156"/>
      <c r="R152" s="1156"/>
      <c r="S152" s="1156"/>
      <c r="T152" s="1156"/>
      <c r="U152" s="1156"/>
      <c r="V152" s="1156"/>
      <c r="W152" s="1156"/>
      <c r="X152" s="1156"/>
      <c r="Y152" s="1156"/>
      <c r="Z152" s="1156"/>
      <c r="AA152" s="1156"/>
      <c r="AB152" s="1156"/>
      <c r="AC152" s="1156"/>
      <c r="AD152" s="531"/>
      <c r="AF152" s="543"/>
      <c r="AI152" s="543"/>
      <c r="AK152" s="543"/>
      <c r="AM152" s="560"/>
    </row>
    <row r="153" spans="1:39">
      <c r="A153" s="57"/>
      <c r="B153" s="57"/>
      <c r="C153" s="57"/>
      <c r="D153" s="57"/>
      <c r="E153" s="3"/>
      <c r="F153" s="57"/>
      <c r="G153" s="3"/>
      <c r="H153" s="57"/>
      <c r="I153" s="57"/>
      <c r="J153" s="57"/>
      <c r="K153" s="57"/>
      <c r="L153" s="57"/>
      <c r="M153" s="57"/>
      <c r="N153" s="4"/>
      <c r="O153" s="4"/>
      <c r="P153" s="501"/>
      <c r="Q153" s="501"/>
      <c r="R153" s="57"/>
      <c r="S153" s="57"/>
      <c r="T153" s="501"/>
      <c r="U153" s="501"/>
      <c r="V153" s="501"/>
      <c r="W153" s="501"/>
      <c r="X153" s="501"/>
      <c r="Y153" s="57"/>
      <c r="Z153" s="57"/>
      <c r="AA153" s="57"/>
      <c r="AB153" s="501"/>
      <c r="AC153" s="501"/>
      <c r="AF153" s="543"/>
      <c r="AI153" s="543"/>
      <c r="AK153" s="543"/>
      <c r="AM153" s="560"/>
    </row>
    <row r="154" spans="1:39">
      <c r="A154" s="3"/>
      <c r="B154" s="3"/>
      <c r="C154" s="3"/>
      <c r="D154" s="3"/>
      <c r="E154" s="57"/>
      <c r="F154" s="3"/>
      <c r="G154" s="1152" t="s">
        <v>231</v>
      </c>
      <c r="H154" s="1152"/>
      <c r="I154" s="1152"/>
      <c r="J154" s="1152"/>
      <c r="K154" s="3"/>
      <c r="L154" s="1152" t="s">
        <v>94</v>
      </c>
      <c r="M154" s="1152"/>
      <c r="N154" s="1152"/>
      <c r="O154" s="1152"/>
      <c r="P154" s="1152"/>
      <c r="Q154" s="58"/>
      <c r="R154" s="3"/>
      <c r="S154" s="1152" t="s">
        <v>95</v>
      </c>
      <c r="T154" s="1152"/>
      <c r="U154" s="1152"/>
      <c r="V154" s="1152"/>
      <c r="W154" s="1152"/>
      <c r="X154" s="1152"/>
      <c r="Y154" s="3"/>
      <c r="Z154" s="1152" t="s">
        <v>232</v>
      </c>
      <c r="AA154" s="1152"/>
      <c r="AB154" s="1152"/>
      <c r="AC154" s="1152"/>
      <c r="AD154" s="6"/>
      <c r="AF154" s="543"/>
      <c r="AI154" s="543"/>
      <c r="AK154" s="543"/>
      <c r="AM154" s="560"/>
    </row>
    <row r="155" spans="1:39" ht="37.5">
      <c r="A155" s="5" t="s">
        <v>56</v>
      </c>
      <c r="B155" s="5"/>
      <c r="C155" s="5"/>
      <c r="D155" s="5"/>
      <c r="E155" s="6" t="s">
        <v>233</v>
      </c>
      <c r="F155" s="5"/>
      <c r="G155" s="17" t="s">
        <v>234</v>
      </c>
      <c r="H155" s="5"/>
      <c r="I155" s="17" t="s">
        <v>235</v>
      </c>
      <c r="J155" s="17" t="s">
        <v>101</v>
      </c>
      <c r="K155" s="5"/>
      <c r="L155" s="17" t="s">
        <v>106</v>
      </c>
      <c r="M155" s="17" t="s">
        <v>236</v>
      </c>
      <c r="N155" s="5" t="s">
        <v>237</v>
      </c>
      <c r="O155" s="5" t="s">
        <v>109</v>
      </c>
      <c r="P155" s="5" t="s">
        <v>238</v>
      </c>
      <c r="Q155" s="5" t="s">
        <v>239</v>
      </c>
      <c r="R155" s="5"/>
      <c r="S155" s="5" t="s">
        <v>240</v>
      </c>
      <c r="T155" s="17" t="s">
        <v>106</v>
      </c>
      <c r="U155" s="17" t="s">
        <v>236</v>
      </c>
      <c r="V155" s="5" t="s">
        <v>237</v>
      </c>
      <c r="W155" s="5" t="s">
        <v>109</v>
      </c>
      <c r="X155" s="5" t="s">
        <v>238</v>
      </c>
      <c r="Y155" s="5"/>
      <c r="Z155" s="17" t="s">
        <v>241</v>
      </c>
      <c r="AA155" s="17" t="s">
        <v>242</v>
      </c>
      <c r="AB155" s="17" t="s">
        <v>243</v>
      </c>
      <c r="AC155" s="5" t="s">
        <v>244</v>
      </c>
      <c r="AD155" s="5"/>
      <c r="AF155" s="543"/>
      <c r="AI155" s="543"/>
      <c r="AK155" s="543"/>
      <c r="AM155" s="560"/>
    </row>
    <row r="156" spans="1:39" ht="14.45">
      <c r="A156" s="237" t="s">
        <v>57</v>
      </c>
      <c r="B156" s="58"/>
      <c r="C156" s="59" t="s">
        <v>194</v>
      </c>
      <c r="D156" s="58"/>
      <c r="E156" s="237" t="s">
        <v>245</v>
      </c>
      <c r="F156" s="58"/>
      <c r="G156" s="237" t="s">
        <v>246</v>
      </c>
      <c r="H156" s="58"/>
      <c r="I156" s="237" t="s">
        <v>247</v>
      </c>
      <c r="J156" s="237" t="s">
        <v>248</v>
      </c>
      <c r="K156" s="58"/>
      <c r="L156" s="237" t="s">
        <v>248</v>
      </c>
      <c r="M156" s="237" t="s">
        <v>248</v>
      </c>
      <c r="N156" s="237" t="s">
        <v>248</v>
      </c>
      <c r="O156" s="237" t="s">
        <v>248</v>
      </c>
      <c r="P156" s="237" t="s">
        <v>248</v>
      </c>
      <c r="Q156" s="237" t="s">
        <v>248</v>
      </c>
      <c r="R156" s="58"/>
      <c r="S156" s="237" t="s">
        <v>248</v>
      </c>
      <c r="T156" s="237" t="s">
        <v>248</v>
      </c>
      <c r="U156" s="237" t="s">
        <v>248</v>
      </c>
      <c r="V156" s="237" t="s">
        <v>248</v>
      </c>
      <c r="W156" s="237" t="s">
        <v>248</v>
      </c>
      <c r="X156" s="237" t="s">
        <v>248</v>
      </c>
      <c r="Y156" s="58"/>
      <c r="Z156" s="237" t="s">
        <v>248</v>
      </c>
      <c r="AA156" s="237" t="s">
        <v>247</v>
      </c>
      <c r="AB156" s="237" t="s">
        <v>248</v>
      </c>
      <c r="AC156" s="237" t="s">
        <v>249</v>
      </c>
      <c r="AD156" s="6"/>
      <c r="AF156" s="543"/>
      <c r="AI156" s="543"/>
      <c r="AK156" s="543"/>
      <c r="AM156" s="560"/>
    </row>
    <row r="157" spans="1:39">
      <c r="A157" s="6"/>
      <c r="B157" s="58"/>
      <c r="C157" s="58"/>
      <c r="D157" s="58"/>
      <c r="E157" s="6"/>
      <c r="F157" s="58"/>
      <c r="G157" s="6" t="s">
        <v>9</v>
      </c>
      <c r="H157" s="6"/>
      <c r="I157" s="6" t="s">
        <v>10</v>
      </c>
      <c r="J157" s="6" t="s">
        <v>58</v>
      </c>
      <c r="K157" s="6"/>
      <c r="L157" s="123" t="s">
        <v>12</v>
      </c>
      <c r="M157" s="123" t="s">
        <v>13</v>
      </c>
      <c r="N157" s="123" t="s">
        <v>115</v>
      </c>
      <c r="O157" s="123" t="s">
        <v>209</v>
      </c>
      <c r="P157" s="6" t="s">
        <v>210</v>
      </c>
      <c r="Q157" s="6" t="s">
        <v>250</v>
      </c>
      <c r="R157" s="6"/>
      <c r="S157" s="6" t="s">
        <v>251</v>
      </c>
      <c r="T157" s="6" t="s">
        <v>120</v>
      </c>
      <c r="U157" s="6" t="s">
        <v>121</v>
      </c>
      <c r="V157" s="6" t="s">
        <v>122</v>
      </c>
      <c r="W157" s="6" t="s">
        <v>252</v>
      </c>
      <c r="X157" s="6" t="s">
        <v>253</v>
      </c>
      <c r="Y157" s="6"/>
      <c r="Z157" s="6" t="s">
        <v>254</v>
      </c>
      <c r="AA157" s="6" t="s">
        <v>255</v>
      </c>
      <c r="AB157" s="6" t="s">
        <v>256</v>
      </c>
      <c r="AC157" s="6" t="s">
        <v>257</v>
      </c>
      <c r="AD157" s="6"/>
      <c r="AF157" s="543"/>
      <c r="AI157" s="543"/>
      <c r="AK157" s="543"/>
      <c r="AM157" s="560"/>
    </row>
    <row r="158" spans="1:39">
      <c r="A158" s="3"/>
      <c r="B158" s="3"/>
      <c r="C158" s="3"/>
      <c r="D158" s="3"/>
      <c r="E158" s="57"/>
      <c r="F158" s="3"/>
      <c r="G158" s="614"/>
      <c r="H158" s="616"/>
      <c r="I158" s="534"/>
      <c r="J158" s="616"/>
      <c r="K158" s="616"/>
      <c r="L158" s="534"/>
      <c r="M158" s="534"/>
      <c r="N158" s="501"/>
      <c r="O158" s="501"/>
      <c r="P158" s="501"/>
      <c r="Q158" s="501"/>
      <c r="R158" s="3"/>
      <c r="S158" s="3"/>
      <c r="T158" s="501"/>
      <c r="U158" s="501"/>
      <c r="V158" s="501"/>
      <c r="W158" s="501"/>
      <c r="X158" s="501"/>
      <c r="Y158" s="3"/>
      <c r="Z158" s="3"/>
      <c r="AA158" s="617"/>
      <c r="AB158" s="501"/>
      <c r="AC158" s="501"/>
      <c r="AF158" s="543"/>
    </row>
    <row r="159" spans="1:39">
      <c r="A159" s="5"/>
      <c r="B159" s="5"/>
      <c r="C159" s="9" t="s">
        <v>133</v>
      </c>
      <c r="D159" s="5"/>
      <c r="E159" s="6"/>
      <c r="F159" s="5"/>
      <c r="G159" s="17"/>
      <c r="H159" s="5"/>
      <c r="I159" s="501"/>
      <c r="J159" s="5"/>
      <c r="K159" s="5"/>
      <c r="L159" s="538"/>
      <c r="M159" s="538"/>
      <c r="N159" s="538"/>
      <c r="O159" s="538"/>
      <c r="P159" s="538"/>
      <c r="Q159" s="538"/>
      <c r="R159" s="5"/>
      <c r="S159" s="5"/>
      <c r="T159" s="501"/>
      <c r="U159" s="501"/>
      <c r="V159" s="501"/>
      <c r="W159" s="501"/>
      <c r="X159" s="501"/>
      <c r="Y159" s="5"/>
      <c r="Z159" s="5"/>
      <c r="AA159" s="5"/>
      <c r="AB159" s="501"/>
      <c r="AC159" s="501"/>
    </row>
    <row r="160" spans="1:39">
      <c r="A160" s="6">
        <v>68</v>
      </c>
      <c r="B160" s="58"/>
      <c r="C160" s="10" t="s">
        <v>258</v>
      </c>
      <c r="D160" s="58"/>
      <c r="E160" s="30" t="s">
        <v>259</v>
      </c>
      <c r="F160" s="58"/>
      <c r="G160" s="29">
        <v>492</v>
      </c>
      <c r="H160" s="58"/>
      <c r="I160" s="537">
        <v>125.890540340409</v>
      </c>
      <c r="J160" s="539">
        <f>G160*I160/1000</f>
        <v>61.938145847481231</v>
      </c>
      <c r="K160" s="58"/>
      <c r="L160" s="538">
        <v>0</v>
      </c>
      <c r="M160" s="538">
        <v>0</v>
      </c>
      <c r="N160" s="538">
        <v>0</v>
      </c>
      <c r="O160" s="538">
        <v>0</v>
      </c>
      <c r="P160" s="538">
        <v>0</v>
      </c>
      <c r="Q160" s="538">
        <f>J160-L160-M160-N160-O160-P160</f>
        <v>61.938145847481231</v>
      </c>
      <c r="R160" s="58"/>
      <c r="S160" s="29">
        <v>1.6924775830091008</v>
      </c>
      <c r="T160" s="538">
        <v>0</v>
      </c>
      <c r="U160" s="538">
        <v>0</v>
      </c>
      <c r="V160" s="538">
        <v>0</v>
      </c>
      <c r="W160" s="538">
        <v>0</v>
      </c>
      <c r="X160" s="538">
        <v>0</v>
      </c>
      <c r="Y160" s="564"/>
      <c r="Z160" s="564">
        <f>Q160+S160+T160+U160+V160+W160+X160</f>
        <v>63.630623430490331</v>
      </c>
      <c r="AA160" s="577">
        <f>Z160/G160*1000</f>
        <v>129.33053542782588</v>
      </c>
      <c r="AB160" s="538">
        <f>Z160-J160</f>
        <v>1.6924775830091008</v>
      </c>
      <c r="AC160" s="541">
        <f>AA160/I160-1</f>
        <v>2.7325286539521487E-2</v>
      </c>
      <c r="AD160" s="542"/>
      <c r="AF160" s="543"/>
      <c r="AI160" s="543"/>
      <c r="AK160" s="543"/>
      <c r="AM160" s="560"/>
    </row>
    <row r="161" spans="1:39">
      <c r="A161" s="6"/>
      <c r="B161" s="58"/>
      <c r="C161" s="10" t="s">
        <v>289</v>
      </c>
      <c r="D161" s="58"/>
      <c r="E161" s="6"/>
      <c r="F161" s="58"/>
      <c r="G161" s="6"/>
      <c r="H161" s="58"/>
      <c r="I161" s="501"/>
      <c r="J161" s="539"/>
      <c r="K161" s="58"/>
      <c r="L161" s="538"/>
      <c r="M161" s="538"/>
      <c r="N161" s="538"/>
      <c r="O161" s="538"/>
      <c r="P161" s="538"/>
      <c r="Q161" s="538"/>
      <c r="R161" s="58"/>
      <c r="S161" s="564"/>
      <c r="T161" s="538"/>
      <c r="U161" s="538"/>
      <c r="V161" s="538"/>
      <c r="W161" s="538"/>
      <c r="X161" s="538"/>
      <c r="Y161" s="564"/>
      <c r="Z161" s="564"/>
      <c r="AA161" s="564"/>
      <c r="AB161" s="538"/>
      <c r="AC161" s="541"/>
      <c r="AD161" s="542"/>
      <c r="AF161" s="543"/>
      <c r="AI161" s="543"/>
      <c r="AK161" s="543"/>
      <c r="AM161" s="560"/>
    </row>
    <row r="162" spans="1:39">
      <c r="A162" s="6"/>
      <c r="B162" s="58"/>
      <c r="C162" s="521" t="s">
        <v>260</v>
      </c>
      <c r="D162" s="58"/>
      <c r="E162" s="591"/>
      <c r="F162" s="58"/>
      <c r="G162" s="618"/>
      <c r="H162" s="58"/>
      <c r="I162" s="501"/>
      <c r="J162" s="539"/>
      <c r="K162" s="58"/>
      <c r="L162" s="538"/>
      <c r="M162" s="538"/>
      <c r="N162" s="538"/>
      <c r="O162" s="538"/>
      <c r="P162" s="538"/>
      <c r="Q162" s="538"/>
      <c r="R162" s="58"/>
      <c r="S162" s="564"/>
      <c r="T162" s="538"/>
      <c r="U162" s="538"/>
      <c r="V162" s="538"/>
      <c r="W162" s="538"/>
      <c r="X162" s="538"/>
      <c r="Y162" s="564"/>
      <c r="Z162" s="564"/>
      <c r="AA162" s="564"/>
      <c r="AB162" s="538"/>
      <c r="AC162" s="541"/>
      <c r="AD162" s="542"/>
      <c r="AF162" s="543"/>
      <c r="AI162" s="543"/>
      <c r="AK162" s="543"/>
      <c r="AM162" s="560"/>
    </row>
    <row r="163" spans="1:39">
      <c r="A163" s="6">
        <f>MAX(A$159:A162)+1</f>
        <v>69</v>
      </c>
      <c r="B163" s="58"/>
      <c r="C163" s="521" t="s">
        <v>290</v>
      </c>
      <c r="D163" s="58"/>
      <c r="E163" s="30" t="s">
        <v>262</v>
      </c>
      <c r="F163" s="58"/>
      <c r="G163" s="29">
        <v>402.14400000000001</v>
      </c>
      <c r="H163" s="58"/>
      <c r="I163" s="547">
        <v>8.7071583280414799</v>
      </c>
      <c r="J163" s="539">
        <f>G163*I163/100</f>
        <v>35.015314786719131</v>
      </c>
      <c r="K163" s="58"/>
      <c r="L163" s="29">
        <v>2.0784882493309644</v>
      </c>
      <c r="M163" s="538">
        <v>0</v>
      </c>
      <c r="N163" s="29">
        <v>4.2535944758403228E-2</v>
      </c>
      <c r="O163" s="29">
        <v>0.8543162153724142</v>
      </c>
      <c r="P163" s="538">
        <v>0</v>
      </c>
      <c r="Q163" s="538">
        <f>J163-L163-M163-N163-O163-P163</f>
        <v>32.039974377257344</v>
      </c>
      <c r="R163" s="58"/>
      <c r="S163" s="29">
        <v>0.87037573589734407</v>
      </c>
      <c r="T163" s="29">
        <v>7.4831892382198761</v>
      </c>
      <c r="U163" s="538">
        <v>0</v>
      </c>
      <c r="V163" s="29">
        <v>3.557187638544717E-2</v>
      </c>
      <c r="W163" s="29">
        <v>0.93626292774108477</v>
      </c>
      <c r="X163" s="538">
        <v>0</v>
      </c>
      <c r="Y163" s="564"/>
      <c r="Z163" s="564">
        <f>Q163+S163+T163+U163+V163+W163+X163</f>
        <v>41.365374155501101</v>
      </c>
      <c r="AA163" s="565">
        <f>Z163/G163*100</f>
        <v>10.286209456190095</v>
      </c>
      <c r="AB163" s="538">
        <f>Z163-J163</f>
        <v>6.3500593687819702</v>
      </c>
      <c r="AC163" s="541"/>
      <c r="AD163" s="542"/>
      <c r="AF163" s="543"/>
      <c r="AI163" s="543"/>
      <c r="AK163" s="543"/>
      <c r="AM163" s="560"/>
    </row>
    <row r="164" spans="1:39">
      <c r="A164" s="6">
        <f>MAX(A$159:A163)+1</f>
        <v>70</v>
      </c>
      <c r="B164" s="58"/>
      <c r="C164" s="521" t="s">
        <v>291</v>
      </c>
      <c r="D164" s="58"/>
      <c r="E164" s="30" t="s">
        <v>262</v>
      </c>
      <c r="F164" s="58"/>
      <c r="G164" s="29">
        <v>846.84799999999996</v>
      </c>
      <c r="H164" s="58"/>
      <c r="I164" s="547">
        <v>7.2307643883583737</v>
      </c>
      <c r="J164" s="539">
        <f t="shared" ref="J164:J165" si="54">G164*I164/100</f>
        <v>61.233583607525112</v>
      </c>
      <c r="K164" s="58"/>
      <c r="L164" s="29">
        <v>4.37694859793862</v>
      </c>
      <c r="M164" s="538">
        <v>0</v>
      </c>
      <c r="N164" s="29">
        <v>8.9573584951570223E-2</v>
      </c>
      <c r="O164" s="29">
        <v>1.7990470536815126</v>
      </c>
      <c r="P164" s="538">
        <v>0</v>
      </c>
      <c r="Q164" s="538">
        <f>J164-L164-M164-N164-O164-P164</f>
        <v>54.968014370953405</v>
      </c>
      <c r="R164" s="58"/>
      <c r="S164" s="29">
        <v>1.4911685895736326</v>
      </c>
      <c r="T164" s="29">
        <v>15.758344871508775</v>
      </c>
      <c r="U164" s="538">
        <v>0</v>
      </c>
      <c r="V164" s="29">
        <v>7.490842179235091E-2</v>
      </c>
      <c r="W164" s="29">
        <v>1.971613123238646</v>
      </c>
      <c r="X164" s="538">
        <v>0</v>
      </c>
      <c r="Y164" s="564"/>
      <c r="Z164" s="564">
        <f>Q164+S164+T164+U164+V164+W164+X164</f>
        <v>74.264049377066797</v>
      </c>
      <c r="AA164" s="565">
        <f>Z164/G164*100</f>
        <v>8.7694662297208943</v>
      </c>
      <c r="AB164" s="538">
        <f>Z164-J164</f>
        <v>13.030465769541685</v>
      </c>
      <c r="AC164" s="541"/>
      <c r="AD164" s="542"/>
      <c r="AF164" s="543"/>
      <c r="AI164" s="543"/>
      <c r="AK164" s="543"/>
      <c r="AM164" s="560"/>
    </row>
    <row r="165" spans="1:39">
      <c r="A165" s="6">
        <f>MAX(A$159:A164)+1</f>
        <v>71</v>
      </c>
      <c r="B165" s="58"/>
      <c r="C165" s="521" t="s">
        <v>292</v>
      </c>
      <c r="D165" s="58"/>
      <c r="E165" s="30" t="s">
        <v>262</v>
      </c>
      <c r="F165" s="58"/>
      <c r="G165" s="29">
        <v>2136.3440000000001</v>
      </c>
      <c r="H165" s="58"/>
      <c r="I165" s="547">
        <v>6.6456319318883716</v>
      </c>
      <c r="J165" s="539">
        <f t="shared" si="54"/>
        <v>141.97355903898131</v>
      </c>
      <c r="K165" s="58"/>
      <c r="L165" s="29">
        <v>11.041731072771718</v>
      </c>
      <c r="M165" s="538">
        <v>0</v>
      </c>
      <c r="N165" s="29">
        <v>0.22596734097474086</v>
      </c>
      <c r="O165" s="29">
        <v>4.5384571715941675</v>
      </c>
      <c r="P165" s="538">
        <v>0</v>
      </c>
      <c r="Q165" s="538">
        <f>J165-L165-M165-N165-O165-P165</f>
        <v>126.1674034536407</v>
      </c>
      <c r="R165" s="58"/>
      <c r="S165" s="29">
        <v>3.4202399828496368</v>
      </c>
      <c r="T165" s="29">
        <v>39.753586849326616</v>
      </c>
      <c r="U165" s="538">
        <v>0</v>
      </c>
      <c r="V165" s="29">
        <v>0.18897152434150891</v>
      </c>
      <c r="W165" s="29">
        <v>4.9737897074234612</v>
      </c>
      <c r="X165" s="538">
        <v>0</v>
      </c>
      <c r="Y165" s="564"/>
      <c r="Z165" s="564">
        <f>Q165+S165+T165+U165+V165+W165+X165</f>
        <v>174.50399151758191</v>
      </c>
      <c r="AA165" s="565">
        <f>Z165/G165*100</f>
        <v>8.168347022650936</v>
      </c>
      <c r="AB165" s="538">
        <f>Z165-J165</f>
        <v>32.530432478600602</v>
      </c>
      <c r="AC165" s="541"/>
      <c r="AD165" s="542"/>
      <c r="AF165" s="543"/>
      <c r="AI165" s="543"/>
      <c r="AK165" s="543"/>
      <c r="AM165" s="560"/>
    </row>
    <row r="166" spans="1:39">
      <c r="A166" s="6">
        <f>MAX(A$159:A165)+1</f>
        <v>72</v>
      </c>
      <c r="B166" s="58"/>
      <c r="C166" s="521" t="s">
        <v>260</v>
      </c>
      <c r="D166" s="58"/>
      <c r="E166" s="30"/>
      <c r="F166" s="58"/>
      <c r="G166" s="411">
        <f>SUM(G163:G165)</f>
        <v>3385.3360000000002</v>
      </c>
      <c r="H166" s="58"/>
      <c r="I166" s="578">
        <f>J166/G166*100</f>
        <v>7.0368925694000692</v>
      </c>
      <c r="J166" s="554">
        <f>SUM(J163:J165)</f>
        <v>238.22245743322554</v>
      </c>
      <c r="K166" s="58"/>
      <c r="L166" s="555">
        <f>SUM(L163:L165)</f>
        <v>17.497167920041303</v>
      </c>
      <c r="M166" s="555">
        <f t="shared" ref="M166:Q166" si="55">SUM(M163:M165)</f>
        <v>0</v>
      </c>
      <c r="N166" s="555">
        <f t="shared" si="55"/>
        <v>0.35807687068471428</v>
      </c>
      <c r="O166" s="555">
        <f t="shared" si="55"/>
        <v>7.1918204406480939</v>
      </c>
      <c r="P166" s="555">
        <f t="shared" si="55"/>
        <v>0</v>
      </c>
      <c r="Q166" s="555">
        <f t="shared" si="55"/>
        <v>213.17539220185145</v>
      </c>
      <c r="R166" s="58"/>
      <c r="S166" s="619">
        <f>SUM(S163:S165)</f>
        <v>5.7817843083206135</v>
      </c>
      <c r="T166" s="619">
        <f t="shared" ref="T166:X166" si="56">SUM(T163:T165)</f>
        <v>62.995120959055271</v>
      </c>
      <c r="U166" s="619">
        <f t="shared" si="56"/>
        <v>0</v>
      </c>
      <c r="V166" s="619">
        <f t="shared" si="56"/>
        <v>0.29945182251930702</v>
      </c>
      <c r="W166" s="619">
        <f t="shared" si="56"/>
        <v>7.8816657584031917</v>
      </c>
      <c r="X166" s="619">
        <f t="shared" si="56"/>
        <v>0</v>
      </c>
      <c r="Y166" s="564"/>
      <c r="Z166" s="619">
        <f>SUM(Z163:Z165)</f>
        <v>290.13341505014978</v>
      </c>
      <c r="AA166" s="592">
        <f>Z166/G166*100</f>
        <v>8.5702989319272813</v>
      </c>
      <c r="AB166" s="555">
        <f>SUM(AB163:AB165)</f>
        <v>51.910957616924257</v>
      </c>
      <c r="AC166" s="562">
        <f>AA166/I166-1</f>
        <v>0.21790958827412399</v>
      </c>
      <c r="AD166" s="542"/>
      <c r="AF166" s="543"/>
      <c r="AI166" s="543"/>
      <c r="AK166" s="543"/>
      <c r="AM166" s="560"/>
    </row>
    <row r="167" spans="1:39">
      <c r="A167" s="6"/>
      <c r="B167" s="58"/>
      <c r="C167" s="10"/>
      <c r="D167" s="58"/>
      <c r="E167" s="30"/>
      <c r="F167" s="58"/>
      <c r="G167" s="29"/>
      <c r="H167" s="58"/>
      <c r="I167" s="501"/>
      <c r="J167" s="58"/>
      <c r="K167" s="58"/>
      <c r="L167" s="538"/>
      <c r="M167" s="538"/>
      <c r="N167" s="538"/>
      <c r="O167" s="538"/>
      <c r="P167" s="538"/>
      <c r="Q167" s="538"/>
      <c r="R167" s="58"/>
      <c r="S167" s="564"/>
      <c r="T167" s="538"/>
      <c r="U167" s="538"/>
      <c r="V167" s="538"/>
      <c r="W167" s="538"/>
      <c r="X167" s="538"/>
      <c r="Y167" s="564"/>
      <c r="Z167" s="564"/>
      <c r="AA167" s="564"/>
      <c r="AB167" s="501"/>
      <c r="AC167" s="541"/>
      <c r="AD167" s="542"/>
      <c r="AF167" s="543"/>
      <c r="AI167" s="543"/>
      <c r="AK167" s="543"/>
      <c r="AM167" s="560"/>
    </row>
    <row r="168" spans="1:39">
      <c r="A168" s="6"/>
      <c r="B168" s="58"/>
      <c r="C168" s="10" t="s">
        <v>293</v>
      </c>
      <c r="D168" s="58"/>
      <c r="E168" s="30"/>
      <c r="F168" s="58"/>
      <c r="G168" s="29"/>
      <c r="H168" s="58"/>
      <c r="I168" s="501"/>
      <c r="J168" s="58"/>
      <c r="K168" s="58"/>
      <c r="L168" s="538"/>
      <c r="M168" s="538"/>
      <c r="N168" s="538"/>
      <c r="O168" s="538"/>
      <c r="P168" s="538"/>
      <c r="Q168" s="538"/>
      <c r="R168" s="58"/>
      <c r="S168" s="564"/>
      <c r="T168" s="538"/>
      <c r="U168" s="538"/>
      <c r="V168" s="538"/>
      <c r="W168" s="538"/>
      <c r="X168" s="538"/>
      <c r="Y168" s="564"/>
      <c r="Z168" s="564"/>
      <c r="AA168" s="564"/>
      <c r="AB168" s="501"/>
      <c r="AC168" s="541"/>
      <c r="AD168" s="542"/>
      <c r="AF168" s="543"/>
      <c r="AI168" s="543"/>
      <c r="AK168" s="543"/>
      <c r="AM168" s="560"/>
    </row>
    <row r="169" spans="1:39">
      <c r="A169" s="6"/>
      <c r="B169" s="58"/>
      <c r="C169" s="521" t="s">
        <v>260</v>
      </c>
      <c r="D169" s="58"/>
      <c r="E169" s="30"/>
      <c r="F169" s="58"/>
      <c r="G169" s="132"/>
      <c r="H169" s="58"/>
      <c r="I169" s="501"/>
      <c r="J169" s="58"/>
      <c r="K169" s="58"/>
      <c r="L169" s="538"/>
      <c r="M169" s="538"/>
      <c r="N169" s="538"/>
      <c r="O169" s="538"/>
      <c r="P169" s="538"/>
      <c r="Q169" s="538"/>
      <c r="R169" s="58"/>
      <c r="S169" s="564"/>
      <c r="T169" s="538"/>
      <c r="U169" s="538"/>
      <c r="V169" s="538"/>
      <c r="W169" s="538"/>
      <c r="X169" s="538"/>
      <c r="Y169" s="564"/>
      <c r="Z169" s="564"/>
      <c r="AA169" s="564"/>
      <c r="AB169" s="501"/>
      <c r="AC169" s="541"/>
      <c r="AD169" s="542"/>
      <c r="AF169" s="543"/>
      <c r="AI169" s="543"/>
      <c r="AK169" s="543"/>
      <c r="AM169" s="560"/>
    </row>
    <row r="170" spans="1:39">
      <c r="A170" s="6">
        <f>MAX(A$159:A169)+1</f>
        <v>73</v>
      </c>
      <c r="B170" s="58"/>
      <c r="C170" s="521" t="s">
        <v>290</v>
      </c>
      <c r="D170" s="58"/>
      <c r="E170" s="30" t="s">
        <v>262</v>
      </c>
      <c r="F170" s="58"/>
      <c r="G170" s="29">
        <v>3705.44</v>
      </c>
      <c r="H170" s="58"/>
      <c r="I170" s="547">
        <v>3.0187054350434206</v>
      </c>
      <c r="J170" s="539">
        <f>G170*I170/100</f>
        <v>111.85631867227292</v>
      </c>
      <c r="K170" s="58"/>
      <c r="L170" s="29">
        <v>19.151631004319171</v>
      </c>
      <c r="M170" s="538">
        <v>0</v>
      </c>
      <c r="N170" s="29">
        <v>0.39193520516426367</v>
      </c>
      <c r="O170" s="29">
        <v>7.8718505736491373</v>
      </c>
      <c r="P170" s="538">
        <v>0</v>
      </c>
      <c r="Q170" s="538">
        <f>J170-L170-M170-N170-O170-P170</f>
        <v>84.440901889140349</v>
      </c>
      <c r="R170" s="58"/>
      <c r="S170" s="29">
        <v>2.2601163182790742</v>
      </c>
      <c r="T170" s="29">
        <v>68.951690764674993</v>
      </c>
      <c r="U170" s="29">
        <v>0</v>
      </c>
      <c r="V170" s="29">
        <v>0.32776680401470953</v>
      </c>
      <c r="W170" s="29">
        <v>8.6269249397452796</v>
      </c>
      <c r="X170" s="538">
        <v>0</v>
      </c>
      <c r="Y170" s="564"/>
      <c r="Z170" s="564">
        <f>Q170+S170+T170+U170+V170+W170+X170</f>
        <v>164.6074007158544</v>
      </c>
      <c r="AA170" s="565">
        <f>Z170/G170*100</f>
        <v>4.4423172609961137</v>
      </c>
      <c r="AB170" s="538">
        <f>Z170-J170</f>
        <v>52.751082043581476</v>
      </c>
      <c r="AC170" s="541"/>
      <c r="AD170" s="542"/>
      <c r="AF170" s="543"/>
      <c r="AI170" s="543"/>
      <c r="AK170" s="543"/>
      <c r="AM170" s="560"/>
    </row>
    <row r="171" spans="1:39">
      <c r="A171" s="6">
        <f>MAX(A$159:A170)+1</f>
        <v>74</v>
      </c>
      <c r="B171" s="58"/>
      <c r="C171" s="521" t="s">
        <v>291</v>
      </c>
      <c r="D171" s="58"/>
      <c r="E171" s="30" t="s">
        <v>262</v>
      </c>
      <c r="F171" s="58"/>
      <c r="G171" s="29">
        <v>7201.058</v>
      </c>
      <c r="H171" s="58"/>
      <c r="I171" s="547">
        <v>2.1834219027636586</v>
      </c>
      <c r="J171" s="539">
        <f t="shared" ref="J171:J172" si="57">G171*I171/100</f>
        <v>157.22947760271464</v>
      </c>
      <c r="K171" s="58"/>
      <c r="L171" s="29">
        <v>37.218793356983412</v>
      </c>
      <c r="M171" s="538">
        <v>0</v>
      </c>
      <c r="N171" s="29">
        <v>0.76167692490763905</v>
      </c>
      <c r="O171" s="29">
        <v>15.297954506935939</v>
      </c>
      <c r="P171" s="538">
        <v>0</v>
      </c>
      <c r="Q171" s="538">
        <f>J171-L171-M171-N171-O171-P171</f>
        <v>103.95105281388766</v>
      </c>
      <c r="R171" s="58"/>
      <c r="S171" s="29">
        <v>2.7486947477805757</v>
      </c>
      <c r="T171" s="29">
        <v>133.99896487178012</v>
      </c>
      <c r="U171" s="29">
        <v>0</v>
      </c>
      <c r="V171" s="29">
        <v>0.63697368360695528</v>
      </c>
      <c r="W171" s="29">
        <v>16.765346855637187</v>
      </c>
      <c r="X171" s="538">
        <v>0</v>
      </c>
      <c r="Y171" s="564"/>
      <c r="Z171" s="564">
        <f>Q171+S171+T171+U171+V171+W171+X171</f>
        <v>258.10103297269251</v>
      </c>
      <c r="AA171" s="565">
        <f>Z171/G171*100</f>
        <v>3.5842098893342134</v>
      </c>
      <c r="AB171" s="538">
        <f>Z171-J171</f>
        <v>100.87155536997787</v>
      </c>
      <c r="AC171" s="541"/>
      <c r="AD171" s="542"/>
      <c r="AF171" s="543"/>
      <c r="AI171" s="543"/>
      <c r="AK171" s="543"/>
      <c r="AM171" s="560"/>
    </row>
    <row r="172" spans="1:39">
      <c r="A172" s="6">
        <f>MAX(A$159:A171)+1</f>
        <v>75</v>
      </c>
      <c r="C172" s="521" t="s">
        <v>292</v>
      </c>
      <c r="E172" s="30" t="s">
        <v>262</v>
      </c>
      <c r="G172" s="29">
        <v>38354.665000000001</v>
      </c>
      <c r="I172" s="547">
        <v>1.9276317065247057</v>
      </c>
      <c r="J172" s="539">
        <f t="shared" si="57"/>
        <v>739.33668347133414</v>
      </c>
      <c r="L172" s="29">
        <v>198.23675228158473</v>
      </c>
      <c r="M172" s="538">
        <v>0</v>
      </c>
      <c r="N172" s="29">
        <v>4.0568848762310559</v>
      </c>
      <c r="O172" s="29">
        <v>81.480793558219929</v>
      </c>
      <c r="P172" s="538">
        <v>0</v>
      </c>
      <c r="Q172" s="538">
        <f>J172-L172-M172-N172-O172-P172</f>
        <v>455.56225275529846</v>
      </c>
      <c r="S172" s="29">
        <v>11.959435949510521</v>
      </c>
      <c r="T172" s="29">
        <v>713.71254168538769</v>
      </c>
      <c r="U172" s="29">
        <v>0</v>
      </c>
      <c r="V172" s="29">
        <v>3.3926837207200333</v>
      </c>
      <c r="W172" s="29">
        <v>89.296498133575312</v>
      </c>
      <c r="X172" s="538">
        <v>0</v>
      </c>
      <c r="Y172" s="64"/>
      <c r="Z172" s="564">
        <f>Q172+S172+T172+U172+V172+W172+X172</f>
        <v>1273.9234122444921</v>
      </c>
      <c r="AA172" s="565">
        <f>Z172/G172*100</f>
        <v>3.321430163044031</v>
      </c>
      <c r="AB172" s="538">
        <f>Z172-J172</f>
        <v>534.58672877315792</v>
      </c>
      <c r="AC172" s="541"/>
      <c r="AD172" s="542"/>
      <c r="AF172" s="543"/>
      <c r="AI172" s="543"/>
      <c r="AK172" s="543"/>
      <c r="AM172" s="560"/>
    </row>
    <row r="173" spans="1:39">
      <c r="A173" s="6">
        <f>MAX(A$159:A172)+1</f>
        <v>76</v>
      </c>
      <c r="B173" s="58"/>
      <c r="C173" s="521" t="s">
        <v>260</v>
      </c>
      <c r="D173" s="58"/>
      <c r="E173" s="574"/>
      <c r="F173" s="58"/>
      <c r="G173" s="411">
        <f>SUM(G170:G172)</f>
        <v>49261.163</v>
      </c>
      <c r="H173" s="58"/>
      <c r="I173" s="578">
        <f>J173/G173*100</f>
        <v>2.0470943403149486</v>
      </c>
      <c r="J173" s="554">
        <f>SUM(J170:J172)</f>
        <v>1008.4224797463216</v>
      </c>
      <c r="K173" s="58"/>
      <c r="L173" s="555">
        <f>SUM(L170:L172)</f>
        <v>254.60717664288731</v>
      </c>
      <c r="M173" s="555">
        <f t="shared" ref="M173:Q173" si="58">SUM(M170:M172)</f>
        <v>0</v>
      </c>
      <c r="N173" s="555">
        <f t="shared" si="58"/>
        <v>5.2104970063029583</v>
      </c>
      <c r="O173" s="555">
        <f t="shared" si="58"/>
        <v>104.65059863880501</v>
      </c>
      <c r="P173" s="555">
        <f t="shared" si="58"/>
        <v>0</v>
      </c>
      <c r="Q173" s="555">
        <f t="shared" si="58"/>
        <v>643.95420745832644</v>
      </c>
      <c r="R173" s="58"/>
      <c r="S173" s="619">
        <f>SUM(S170:S172)</f>
        <v>16.968247015570171</v>
      </c>
      <c r="T173" s="619">
        <f t="shared" ref="T173:X173" si="59">SUM(T170:T172)</f>
        <v>916.66319732184274</v>
      </c>
      <c r="U173" s="619">
        <f t="shared" si="59"/>
        <v>0</v>
      </c>
      <c r="V173" s="619">
        <f t="shared" si="59"/>
        <v>4.3574242083416976</v>
      </c>
      <c r="W173" s="619">
        <f t="shared" si="59"/>
        <v>114.68876992895778</v>
      </c>
      <c r="X173" s="619">
        <f t="shared" si="59"/>
        <v>0</v>
      </c>
      <c r="Y173" s="564"/>
      <c r="Z173" s="619">
        <f>SUM(Z170:Z172)</f>
        <v>1696.6318459330389</v>
      </c>
      <c r="AA173" s="592">
        <f>Z173/G173*100</f>
        <v>3.4441571059397011</v>
      </c>
      <c r="AB173" s="555">
        <f>SUM(AB170:AB172)</f>
        <v>688.20936618671726</v>
      </c>
      <c r="AC173" s="562">
        <f>AA173/I173-1</f>
        <v>0.68246134929463587</v>
      </c>
      <c r="AD173" s="542"/>
      <c r="AF173" s="543"/>
      <c r="AI173" s="543"/>
      <c r="AK173" s="543"/>
      <c r="AM173" s="560"/>
    </row>
    <row r="174" spans="1:39">
      <c r="A174" s="6"/>
      <c r="B174" s="58"/>
      <c r="C174" s="10"/>
      <c r="D174" s="58"/>
      <c r="E174" s="574"/>
      <c r="F174" s="58"/>
      <c r="G174" s="29"/>
      <c r="H174" s="58"/>
      <c r="I174" s="501"/>
      <c r="J174" s="58"/>
      <c r="K174" s="58"/>
      <c r="L174" s="538"/>
      <c r="M174" s="538"/>
      <c r="N174" s="538"/>
      <c r="O174" s="538"/>
      <c r="P174" s="538"/>
      <c r="Q174" s="538"/>
      <c r="R174" s="58"/>
      <c r="S174" s="564"/>
      <c r="T174" s="538"/>
      <c r="U174" s="538"/>
      <c r="V174" s="538"/>
      <c r="W174" s="538"/>
      <c r="X174" s="538"/>
      <c r="Y174" s="564"/>
      <c r="Z174" s="564"/>
      <c r="AA174" s="564"/>
      <c r="AB174" s="501"/>
      <c r="AC174" s="541"/>
      <c r="AD174" s="542"/>
      <c r="AF174" s="543"/>
      <c r="AI174" s="543"/>
      <c r="AK174" s="543"/>
      <c r="AM174" s="560"/>
    </row>
    <row r="175" spans="1:39">
      <c r="A175" s="6">
        <f>MAX(A$159:A174)+1</f>
        <v>77</v>
      </c>
      <c r="B175" s="58"/>
      <c r="C175" s="10" t="s">
        <v>294</v>
      </c>
      <c r="D175" s="58"/>
      <c r="E175" s="30" t="s">
        <v>262</v>
      </c>
      <c r="F175" s="58"/>
      <c r="G175" s="29">
        <v>576.94793424657541</v>
      </c>
      <c r="H175" s="58"/>
      <c r="I175" s="620">
        <v>-77</v>
      </c>
      <c r="J175" s="621">
        <f>G175*I175/100+0.3</f>
        <v>-443.94990936986306</v>
      </c>
      <c r="K175" s="58"/>
      <c r="L175" s="538">
        <v>0</v>
      </c>
      <c r="M175" s="538">
        <v>0</v>
      </c>
      <c r="N175" s="538">
        <v>0</v>
      </c>
      <c r="O175" s="538">
        <v>0</v>
      </c>
      <c r="P175" s="538">
        <v>0</v>
      </c>
      <c r="Q175" s="538">
        <f>J175-L175-M175-N175-O175-P175</f>
        <v>-443.94990936986306</v>
      </c>
      <c r="R175" s="58"/>
      <c r="S175" s="564">
        <v>0</v>
      </c>
      <c r="T175" s="538">
        <v>0</v>
      </c>
      <c r="U175" s="538">
        <v>0</v>
      </c>
      <c r="V175" s="538">
        <v>0</v>
      </c>
      <c r="W175" s="538">
        <v>0</v>
      </c>
      <c r="X175" s="538">
        <v>0</v>
      </c>
      <c r="Y175" s="564"/>
      <c r="Z175" s="564">
        <f>Q175+S175+T175+U175+V175+W175+X175</f>
        <v>-443.94990936986306</v>
      </c>
      <c r="AA175" s="565">
        <f>Z175/G175*100</f>
        <v>-76.948002240376894</v>
      </c>
      <c r="AB175" s="622">
        <v>0</v>
      </c>
      <c r="AC175" s="622"/>
      <c r="AD175" s="430"/>
      <c r="AF175" s="543"/>
      <c r="AI175" s="543"/>
      <c r="AK175" s="543"/>
      <c r="AM175" s="560"/>
    </row>
    <row r="176" spans="1:39">
      <c r="A176" s="6"/>
      <c r="B176" s="58"/>
      <c r="C176" s="10"/>
      <c r="D176" s="58"/>
      <c r="E176" s="574"/>
      <c r="F176" s="58"/>
      <c r="G176" s="29"/>
      <c r="H176" s="58"/>
      <c r="I176" s="501"/>
      <c r="J176" s="58"/>
      <c r="K176" s="58"/>
      <c r="L176" s="538"/>
      <c r="M176" s="538"/>
      <c r="N176" s="538"/>
      <c r="O176" s="538"/>
      <c r="P176" s="538"/>
      <c r="Q176" s="538"/>
      <c r="R176" s="58"/>
      <c r="S176" s="564"/>
      <c r="T176" s="538"/>
      <c r="U176" s="538"/>
      <c r="V176" s="538"/>
      <c r="W176" s="538"/>
      <c r="X176" s="538"/>
      <c r="Y176" s="564"/>
      <c r="Z176" s="564"/>
      <c r="AA176" s="564"/>
      <c r="AB176" s="501"/>
      <c r="AC176" s="541"/>
      <c r="AD176" s="542"/>
      <c r="AF176" s="543"/>
      <c r="AI176" s="543"/>
      <c r="AK176" s="543"/>
      <c r="AM176" s="560"/>
    </row>
    <row r="177" spans="1:39">
      <c r="A177" s="6">
        <f>MAX(A$159:A176)+1</f>
        <v>78</v>
      </c>
      <c r="B177" s="58"/>
      <c r="C177" s="10" t="s">
        <v>266</v>
      </c>
      <c r="D177" s="58"/>
      <c r="E177" s="574"/>
      <c r="F177" s="58"/>
      <c r="G177" s="411">
        <f>G166+G173</f>
        <v>52646.499000000003</v>
      </c>
      <c r="H177" s="58"/>
      <c r="I177" s="578">
        <f>J177/G177*100</f>
        <v>1.6423374584835455</v>
      </c>
      <c r="J177" s="554">
        <f>J160+J166+J173+J175</f>
        <v>864.63317365716534</v>
      </c>
      <c r="K177" s="539"/>
      <c r="L177" s="619">
        <f t="shared" ref="L177:AB177" si="60">L160+L166+L173+L175</f>
        <v>272.10434456292859</v>
      </c>
      <c r="M177" s="619">
        <f t="shared" si="60"/>
        <v>0</v>
      </c>
      <c r="N177" s="619">
        <f t="shared" si="60"/>
        <v>5.5685738769876725</v>
      </c>
      <c r="O177" s="619">
        <f t="shared" si="60"/>
        <v>111.84241907945309</v>
      </c>
      <c r="P177" s="619">
        <f t="shared" si="60"/>
        <v>0</v>
      </c>
      <c r="Q177" s="619">
        <f t="shared" si="60"/>
        <v>475.11783613779602</v>
      </c>
      <c r="R177" s="539"/>
      <c r="S177" s="619">
        <f t="shared" si="60"/>
        <v>24.442508906899885</v>
      </c>
      <c r="T177" s="619">
        <f t="shared" si="60"/>
        <v>979.65831828089802</v>
      </c>
      <c r="U177" s="619">
        <f t="shared" si="60"/>
        <v>0</v>
      </c>
      <c r="V177" s="619">
        <f t="shared" si="60"/>
        <v>4.6568760308610049</v>
      </c>
      <c r="W177" s="619">
        <f t="shared" si="60"/>
        <v>122.57043568736097</v>
      </c>
      <c r="X177" s="619">
        <f t="shared" si="60"/>
        <v>0</v>
      </c>
      <c r="Y177" s="564"/>
      <c r="Z177" s="619">
        <f t="shared" si="60"/>
        <v>1606.4459750438161</v>
      </c>
      <c r="AA177" s="592">
        <f>Z177/G177*100</f>
        <v>3.051382343665086</v>
      </c>
      <c r="AB177" s="619">
        <f t="shared" si="60"/>
        <v>741.81280138665056</v>
      </c>
      <c r="AC177" s="562">
        <f>AA177/I177-1</f>
        <v>0.85795089060599272</v>
      </c>
      <c r="AD177" s="542"/>
      <c r="AF177" s="543"/>
      <c r="AI177" s="543"/>
      <c r="AK177" s="543"/>
      <c r="AM177" s="560"/>
    </row>
    <row r="178" spans="1:39">
      <c r="A178" s="6"/>
      <c r="B178" s="58"/>
      <c r="C178" s="10"/>
      <c r="D178" s="58"/>
      <c r="E178" s="30"/>
      <c r="F178" s="58"/>
      <c r="G178" s="132"/>
      <c r="H178" s="58"/>
      <c r="I178" s="501"/>
      <c r="J178" s="58"/>
      <c r="K178" s="58"/>
      <c r="L178" s="538"/>
      <c r="M178" s="538"/>
      <c r="N178" s="538"/>
      <c r="O178" s="538"/>
      <c r="P178" s="538"/>
      <c r="Q178" s="538"/>
      <c r="R178" s="58"/>
      <c r="S178" s="564"/>
      <c r="T178" s="538"/>
      <c r="U178" s="538"/>
      <c r="V178" s="538"/>
      <c r="W178" s="538"/>
      <c r="X178" s="538"/>
      <c r="Y178" s="564"/>
      <c r="Z178" s="564"/>
      <c r="AA178" s="564"/>
      <c r="AB178" s="501"/>
      <c r="AC178" s="541"/>
      <c r="AD178" s="542"/>
      <c r="AF178" s="543"/>
      <c r="AI178" s="543"/>
      <c r="AK178" s="543"/>
      <c r="AM178" s="560"/>
    </row>
    <row r="179" spans="1:39">
      <c r="A179" s="6">
        <f>MAX(A$159:A178)+1</f>
        <v>79</v>
      </c>
      <c r="C179" s="12" t="s">
        <v>267</v>
      </c>
      <c r="E179" s="574" t="s">
        <v>262</v>
      </c>
      <c r="G179" s="29">
        <v>52646.499000000003</v>
      </c>
      <c r="H179" s="567"/>
      <c r="I179" s="29">
        <v>0</v>
      </c>
      <c r="J179" s="64">
        <f>G179*I179/100</f>
        <v>0</v>
      </c>
      <c r="L179" s="538">
        <v>0</v>
      </c>
      <c r="M179" s="538">
        <v>0</v>
      </c>
      <c r="N179" s="538">
        <v>0</v>
      </c>
      <c r="O179" s="538">
        <v>0</v>
      </c>
      <c r="P179" s="538">
        <v>0</v>
      </c>
      <c r="Q179" s="538">
        <f>J179-L179-M179-N179-O179-P179</f>
        <v>0</v>
      </c>
      <c r="S179" s="64">
        <v>0</v>
      </c>
      <c r="T179" s="538">
        <v>0</v>
      </c>
      <c r="U179" s="538">
        <v>0</v>
      </c>
      <c r="V179" s="538">
        <v>0</v>
      </c>
      <c r="W179" s="538">
        <v>0</v>
      </c>
      <c r="X179" s="538">
        <v>0</v>
      </c>
      <c r="Y179" s="64"/>
      <c r="Z179" s="64">
        <f>Q179+S179+T179+U179+V179+W179+X179</f>
        <v>0</v>
      </c>
      <c r="AA179" s="64">
        <f>Z179/G179*100</f>
        <v>0</v>
      </c>
      <c r="AB179" s="538">
        <f>Z179-J179</f>
        <v>0</v>
      </c>
      <c r="AC179" s="599"/>
      <c r="AD179" s="600"/>
      <c r="AF179" s="543"/>
      <c r="AI179" s="543"/>
      <c r="AK179" s="543"/>
      <c r="AM179" s="560"/>
    </row>
    <row r="180" spans="1:39">
      <c r="A180" s="6"/>
      <c r="C180" s="12"/>
      <c r="E180" s="574"/>
      <c r="G180" s="29"/>
      <c r="H180" s="567"/>
      <c r="I180" s="29"/>
      <c r="J180" s="64"/>
      <c r="L180" s="538"/>
      <c r="M180" s="538"/>
      <c r="N180" s="538"/>
      <c r="O180" s="538"/>
      <c r="P180" s="538"/>
      <c r="Q180" s="538"/>
      <c r="S180" s="64"/>
      <c r="T180" s="538"/>
      <c r="U180" s="538"/>
      <c r="V180" s="538"/>
      <c r="W180" s="538"/>
      <c r="X180" s="538"/>
      <c r="Y180" s="64"/>
      <c r="Z180" s="64"/>
      <c r="AA180" s="64"/>
      <c r="AB180" s="538"/>
      <c r="AC180" s="599"/>
      <c r="AD180" s="600"/>
      <c r="AF180" s="543"/>
      <c r="AI180" s="543"/>
      <c r="AK180" s="543"/>
      <c r="AM180" s="560"/>
    </row>
    <row r="181" spans="1:39">
      <c r="A181" s="6"/>
      <c r="C181" s="10" t="s">
        <v>268</v>
      </c>
      <c r="E181" s="574"/>
      <c r="G181" s="29"/>
      <c r="H181" s="567"/>
      <c r="I181" s="29"/>
      <c r="J181" s="64"/>
      <c r="L181" s="538"/>
      <c r="M181" s="538"/>
      <c r="N181" s="538"/>
      <c r="O181" s="538"/>
      <c r="P181" s="538"/>
      <c r="Q181" s="538"/>
      <c r="S181" s="64"/>
      <c r="T181" s="538"/>
      <c r="U181" s="538"/>
      <c r="V181" s="538"/>
      <c r="W181" s="538"/>
      <c r="X181" s="538"/>
      <c r="Y181" s="64"/>
      <c r="Z181" s="64"/>
      <c r="AA181" s="64"/>
      <c r="AB181" s="538"/>
      <c r="AC181" s="599"/>
      <c r="AD181" s="600"/>
      <c r="AF181" s="543"/>
      <c r="AI181" s="543"/>
      <c r="AK181" s="543"/>
      <c r="AM181" s="560"/>
    </row>
    <row r="182" spans="1:39">
      <c r="A182" s="6">
        <f>MAX(A$159:A181)+1</f>
        <v>80</v>
      </c>
      <c r="B182" s="58"/>
      <c r="C182" s="12" t="s">
        <v>268</v>
      </c>
      <c r="D182" s="58"/>
      <c r="E182" s="574" t="s">
        <v>262</v>
      </c>
      <c r="F182" s="58"/>
      <c r="G182" s="29">
        <v>4391.5119999999997</v>
      </c>
      <c r="H182" s="539"/>
      <c r="I182" s="547">
        <v>3.9267447076426962</v>
      </c>
      <c r="J182" s="567">
        <f t="shared" ref="J182:J186" si="61">G182*I182/100</f>
        <v>172.44346504549389</v>
      </c>
      <c r="K182" s="58"/>
      <c r="L182" s="538">
        <v>0</v>
      </c>
      <c r="M182" s="538">
        <v>0</v>
      </c>
      <c r="N182" s="538">
        <v>0</v>
      </c>
      <c r="O182" s="538">
        <v>0</v>
      </c>
      <c r="P182" s="538">
        <v>0</v>
      </c>
      <c r="Q182" s="538">
        <f>J182-L182-M182-N182-O182-P182</f>
        <v>172.44346504549389</v>
      </c>
      <c r="R182" s="58"/>
      <c r="S182" s="29">
        <v>9.0308046180620494E-2</v>
      </c>
      <c r="T182" s="538">
        <v>0</v>
      </c>
      <c r="U182" s="538">
        <v>0</v>
      </c>
      <c r="V182" s="538">
        <v>0</v>
      </c>
      <c r="W182" s="538">
        <v>0</v>
      </c>
      <c r="X182" s="538">
        <v>0</v>
      </c>
      <c r="Y182" s="564"/>
      <c r="Z182" s="64">
        <f>Q182+S182+T182+U182+V182+W182+X182</f>
        <v>172.5337730916745</v>
      </c>
      <c r="AA182" s="580">
        <f>Z182/G182*100</f>
        <v>3.9288011302638934</v>
      </c>
      <c r="AB182" s="538">
        <f>Z182-J182</f>
        <v>9.0308046180609836E-2</v>
      </c>
      <c r="AC182" s="541"/>
      <c r="AD182" s="542"/>
      <c r="AF182" s="543"/>
      <c r="AI182" s="543"/>
      <c r="AK182" s="543"/>
      <c r="AM182" s="560"/>
    </row>
    <row r="183" spans="1:39">
      <c r="A183" s="6">
        <f>MAX(A$159:A182)+1</f>
        <v>81</v>
      </c>
      <c r="B183" s="58"/>
      <c r="C183" s="12" t="s">
        <v>269</v>
      </c>
      <c r="D183" s="58"/>
      <c r="E183" s="574" t="s">
        <v>262</v>
      </c>
      <c r="F183" s="58"/>
      <c r="G183" s="29">
        <v>48254.987000000001</v>
      </c>
      <c r="H183" s="539"/>
      <c r="I183" s="547">
        <v>0.96972153366292246</v>
      </c>
      <c r="J183" s="567">
        <f t="shared" si="61"/>
        <v>467.93900000524388</v>
      </c>
      <c r="K183" s="58"/>
      <c r="L183" s="538">
        <v>0</v>
      </c>
      <c r="M183" s="538">
        <v>0</v>
      </c>
      <c r="N183" s="538">
        <v>0</v>
      </c>
      <c r="O183" s="538">
        <v>0</v>
      </c>
      <c r="P183" s="538">
        <v>0</v>
      </c>
      <c r="Q183" s="538">
        <f>J183-L183-M183-N183-O183-P183</f>
        <v>467.93900000524388</v>
      </c>
      <c r="R183" s="58"/>
      <c r="S183" s="29">
        <v>7.8826073308471223</v>
      </c>
      <c r="T183" s="538">
        <v>0</v>
      </c>
      <c r="U183" s="538">
        <v>0</v>
      </c>
      <c r="V183" s="538">
        <v>0</v>
      </c>
      <c r="W183" s="538">
        <v>0</v>
      </c>
      <c r="X183" s="538">
        <v>0</v>
      </c>
      <c r="Y183" s="564"/>
      <c r="Z183" s="64">
        <f>Q183+S183+T183+U183+V183+W183+X183</f>
        <v>475.82160733609101</v>
      </c>
      <c r="AA183" s="580">
        <f>Z183/G183*100</f>
        <v>0.98605685529682352</v>
      </c>
      <c r="AB183" s="538">
        <f>Z183-J183</f>
        <v>7.8826073308471223</v>
      </c>
      <c r="AC183" s="541"/>
      <c r="AD183" s="542"/>
      <c r="AF183" s="543"/>
      <c r="AI183" s="543"/>
      <c r="AK183" s="543"/>
      <c r="AM183" s="560"/>
    </row>
    <row r="184" spans="1:39">
      <c r="A184" s="6">
        <f>MAX(A$159:A183)+1</f>
        <v>82</v>
      </c>
      <c r="B184" s="58"/>
      <c r="C184" s="10" t="s">
        <v>268</v>
      </c>
      <c r="D184" s="58"/>
      <c r="E184" s="574"/>
      <c r="F184" s="58"/>
      <c r="G184" s="411">
        <f>SUM(G182:G183)</f>
        <v>52646.499000000003</v>
      </c>
      <c r="H184" s="539"/>
      <c r="I184" s="566">
        <f>J184/G184*100</f>
        <v>1.2163818624496525</v>
      </c>
      <c r="J184" s="623">
        <f>SUM(J182:J183)</f>
        <v>640.38246505073778</v>
      </c>
      <c r="K184" s="567"/>
      <c r="L184" s="407">
        <f t="shared" ref="L184:X184" si="62">SUM(L182:L183)</f>
        <v>0</v>
      </c>
      <c r="M184" s="407">
        <f t="shared" si="62"/>
        <v>0</v>
      </c>
      <c r="N184" s="407">
        <f t="shared" si="62"/>
        <v>0</v>
      </c>
      <c r="O184" s="407">
        <f t="shared" si="62"/>
        <v>0</v>
      </c>
      <c r="P184" s="407">
        <f t="shared" si="62"/>
        <v>0</v>
      </c>
      <c r="Q184" s="555">
        <f>SUM(Q182:Q183)</f>
        <v>640.38246505073778</v>
      </c>
      <c r="R184" s="567"/>
      <c r="S184" s="411">
        <f>SUM(S182:S183)</f>
        <v>7.9729153770277428</v>
      </c>
      <c r="T184" s="407">
        <f t="shared" si="62"/>
        <v>0</v>
      </c>
      <c r="U184" s="407">
        <f t="shared" si="62"/>
        <v>0</v>
      </c>
      <c r="V184" s="407">
        <f t="shared" si="62"/>
        <v>0</v>
      </c>
      <c r="W184" s="407">
        <f t="shared" si="62"/>
        <v>0</v>
      </c>
      <c r="X184" s="407">
        <f t="shared" si="62"/>
        <v>0</v>
      </c>
      <c r="Y184" s="567"/>
      <c r="Z184" s="407">
        <f>SUM(Z182:Z183)</f>
        <v>648.35538042776557</v>
      </c>
      <c r="AA184" s="579">
        <f>Z184/G184*100</f>
        <v>1.2315261085599738</v>
      </c>
      <c r="AB184" s="555">
        <f>SUM(AB182:AB183)</f>
        <v>7.9729153770277321</v>
      </c>
      <c r="AC184" s="562">
        <f>AA184/I184-1</f>
        <v>1.2450239992745749E-2</v>
      </c>
      <c r="AD184" s="542"/>
      <c r="AF184" s="543"/>
      <c r="AI184" s="543"/>
      <c r="AK184" s="543"/>
      <c r="AM184" s="560"/>
    </row>
    <row r="185" spans="1:39">
      <c r="A185" s="6"/>
      <c r="B185" s="58"/>
      <c r="D185" s="58"/>
      <c r="E185" s="30"/>
      <c r="F185" s="58"/>
      <c r="G185" s="624"/>
      <c r="H185" s="539"/>
      <c r="I185" s="625"/>
      <c r="J185" s="567"/>
      <c r="K185" s="58"/>
      <c r="L185" s="538"/>
      <c r="M185" s="538"/>
      <c r="N185" s="538"/>
      <c r="O185" s="538"/>
      <c r="P185" s="538"/>
      <c r="Q185" s="538"/>
      <c r="R185" s="58"/>
      <c r="S185" s="564"/>
      <c r="T185" s="538"/>
      <c r="U185" s="538"/>
      <c r="V185" s="538"/>
      <c r="W185" s="538"/>
      <c r="X185" s="538"/>
      <c r="Y185" s="564"/>
      <c r="Z185" s="64"/>
      <c r="AA185" s="580"/>
      <c r="AB185" s="538"/>
      <c r="AC185" s="541"/>
      <c r="AD185" s="542"/>
      <c r="AF185" s="543"/>
      <c r="AI185" s="543"/>
      <c r="AK185" s="543"/>
      <c r="AM185" s="560"/>
    </row>
    <row r="186" spans="1:39">
      <c r="A186" s="6">
        <f>MAX(A$159:A185)+1</f>
        <v>83</v>
      </c>
      <c r="C186" s="10" t="s">
        <v>270</v>
      </c>
      <c r="E186" s="574" t="s">
        <v>262</v>
      </c>
      <c r="G186" s="29">
        <v>4391.5119999999997</v>
      </c>
      <c r="H186" s="567"/>
      <c r="I186" s="547">
        <v>18.34709332635693</v>
      </c>
      <c r="J186" s="567">
        <f t="shared" si="61"/>
        <v>805.71480507816364</v>
      </c>
      <c r="L186" s="538">
        <v>0</v>
      </c>
      <c r="M186" s="538">
        <v>0</v>
      </c>
      <c r="N186" s="538">
        <v>0</v>
      </c>
      <c r="O186" s="538">
        <v>0</v>
      </c>
      <c r="P186" s="538">
        <v>0</v>
      </c>
      <c r="Q186" s="538">
        <f>J186-L186-M186-N186-O186-P186</f>
        <v>805.71480507816364</v>
      </c>
      <c r="S186" s="29">
        <v>6.5557985869233448E-2</v>
      </c>
      <c r="T186" s="538">
        <v>0</v>
      </c>
      <c r="U186" s="538">
        <v>0</v>
      </c>
      <c r="V186" s="538">
        <v>0</v>
      </c>
      <c r="W186" s="538">
        <v>0</v>
      </c>
      <c r="X186" s="538">
        <v>0</v>
      </c>
      <c r="Y186" s="64"/>
      <c r="Z186" s="64">
        <f>Q186+S186+T186+U186+V186+W186+X186</f>
        <v>805.78036306403283</v>
      </c>
      <c r="AA186" s="580">
        <f>Z186/G186*100</f>
        <v>18.348586160393797</v>
      </c>
      <c r="AB186" s="538">
        <f>Z186-J186</f>
        <v>6.5557985869190816E-2</v>
      </c>
      <c r="AC186" s="541">
        <f>AA186/I186-1</f>
        <v>8.1366242069558226E-5</v>
      </c>
      <c r="AD186" s="542"/>
      <c r="AF186" s="543"/>
      <c r="AI186" s="543"/>
      <c r="AK186" s="543"/>
      <c r="AM186" s="560"/>
    </row>
    <row r="187" spans="1:39" ht="12.95">
      <c r="A187" s="6"/>
      <c r="B187" s="58"/>
      <c r="C187" s="10"/>
      <c r="D187" s="58"/>
      <c r="E187" s="128"/>
      <c r="F187" s="58"/>
      <c r="G187" s="626"/>
      <c r="H187" s="539"/>
      <c r="I187" s="625"/>
      <c r="J187" s="539"/>
      <c r="K187" s="58"/>
      <c r="L187" s="538"/>
      <c r="M187" s="501"/>
      <c r="N187" s="538"/>
      <c r="O187" s="538"/>
      <c r="P187" s="538"/>
      <c r="Q187" s="538"/>
      <c r="R187" s="58"/>
      <c r="S187" s="29"/>
      <c r="T187" s="538"/>
      <c r="U187" s="538"/>
      <c r="V187" s="538"/>
      <c r="W187" s="538"/>
      <c r="X187" s="538"/>
      <c r="Y187" s="564"/>
      <c r="Z187" s="564"/>
      <c r="AA187" s="565"/>
      <c r="AB187" s="501"/>
      <c r="AC187" s="541"/>
      <c r="AD187" s="542"/>
      <c r="AF187" s="543"/>
      <c r="AI187" s="543"/>
      <c r="AK187" s="543"/>
      <c r="AM187" s="560"/>
    </row>
    <row r="188" spans="1:39" ht="12.95" thickBot="1">
      <c r="A188" s="6">
        <f>MAX(A$159:A187)+1</f>
        <v>84</v>
      </c>
      <c r="B188" s="58"/>
      <c r="C188" s="10" t="s">
        <v>295</v>
      </c>
      <c r="D188" s="58"/>
      <c r="E188" s="30"/>
      <c r="F188" s="58"/>
      <c r="G188" s="589">
        <f>G177</f>
        <v>52646.499000000003</v>
      </c>
      <c r="H188" s="58"/>
      <c r="I188" s="586">
        <f>J188/G188*100</f>
        <v>4.3891436043754144</v>
      </c>
      <c r="J188" s="627">
        <f>J177+J179+J184+J186</f>
        <v>2310.7304437860666</v>
      </c>
      <c r="K188" s="539"/>
      <c r="L188" s="589">
        <f>L177+L179+L184+L186</f>
        <v>272.10434456292859</v>
      </c>
      <c r="M188" s="589">
        <f t="shared" ref="M188:P188" si="63">M177+M179+M184+M186</f>
        <v>0</v>
      </c>
      <c r="N188" s="589">
        <f t="shared" si="63"/>
        <v>5.5685738769876725</v>
      </c>
      <c r="O188" s="589">
        <f t="shared" si="63"/>
        <v>111.84241907945309</v>
      </c>
      <c r="P188" s="589">
        <f t="shared" si="63"/>
        <v>0</v>
      </c>
      <c r="Q188" s="589">
        <f>Q177+Q179+Q184+Q186</f>
        <v>1921.2151062666974</v>
      </c>
      <c r="R188" s="539"/>
      <c r="S188" s="589">
        <f>S177+S179+S184+S186</f>
        <v>32.480982269796861</v>
      </c>
      <c r="T188" s="589">
        <f>T177+T179+T184+T186</f>
        <v>979.65831828089802</v>
      </c>
      <c r="U188" s="628">
        <f t="shared" ref="U188:X188" si="64">U177+U179+U184+U186</f>
        <v>0</v>
      </c>
      <c r="V188" s="628">
        <f t="shared" si="64"/>
        <v>4.6568760308610049</v>
      </c>
      <c r="W188" s="589">
        <f>W177+W179+W184+W186</f>
        <v>122.57043568736097</v>
      </c>
      <c r="X188" s="628">
        <f t="shared" si="64"/>
        <v>0</v>
      </c>
      <c r="Y188" s="539"/>
      <c r="Z188" s="589">
        <f>Z177+Z179+Z184+Z186</f>
        <v>3060.5817185356145</v>
      </c>
      <c r="AA188" s="590">
        <f>Z188/G188*100</f>
        <v>5.8134572605399919</v>
      </c>
      <c r="AB188" s="628">
        <f>AB177+AB179+AB184+AB186</f>
        <v>749.85127474954743</v>
      </c>
      <c r="AC188" s="629">
        <f>AA188/I188-1</f>
        <v>0.32450832885593428</v>
      </c>
      <c r="AD188" s="630"/>
      <c r="AF188" s="543"/>
      <c r="AI188" s="543"/>
      <c r="AK188" s="543"/>
      <c r="AM188" s="560"/>
    </row>
    <row r="189" spans="1:39" ht="12.95" thickTop="1">
      <c r="A189" s="6"/>
      <c r="B189" s="58"/>
      <c r="C189" s="10"/>
      <c r="D189" s="58"/>
      <c r="E189" s="30"/>
      <c r="F189" s="58"/>
      <c r="G189" s="29"/>
      <c r="H189" s="58"/>
      <c r="I189" s="58"/>
      <c r="J189" s="58"/>
      <c r="K189" s="58"/>
      <c r="L189" s="501"/>
      <c r="M189" s="501"/>
      <c r="N189" s="501"/>
      <c r="O189" s="501"/>
      <c r="P189" s="501"/>
      <c r="Q189" s="501"/>
      <c r="R189" s="58"/>
      <c r="S189" s="539"/>
      <c r="T189" s="534"/>
      <c r="U189" s="534"/>
      <c r="V189" s="534"/>
      <c r="W189" s="534"/>
      <c r="X189" s="534"/>
      <c r="Y189" s="539"/>
      <c r="Z189" s="539"/>
      <c r="AA189" s="539"/>
      <c r="AB189" s="534"/>
      <c r="AC189" s="541"/>
      <c r="AD189" s="542"/>
      <c r="AF189" s="543"/>
      <c r="AM189" s="560"/>
    </row>
    <row r="190" spans="1:39">
      <c r="A190" s="6"/>
      <c r="B190" s="58"/>
      <c r="C190" s="9" t="s">
        <v>134</v>
      </c>
      <c r="D190" s="58"/>
      <c r="E190" s="30"/>
      <c r="F190" s="58"/>
      <c r="G190" s="132"/>
      <c r="H190" s="58"/>
      <c r="I190" s="58"/>
      <c r="J190" s="58"/>
      <c r="K190" s="58"/>
      <c r="L190" s="501"/>
      <c r="M190" s="501"/>
      <c r="N190" s="501"/>
      <c r="O190" s="501"/>
      <c r="P190" s="501"/>
      <c r="Q190" s="501"/>
      <c r="R190" s="58"/>
      <c r="S190" s="58"/>
      <c r="T190" s="501"/>
      <c r="U190" s="501"/>
      <c r="V190" s="501"/>
      <c r="W190" s="501"/>
      <c r="X190" s="501"/>
      <c r="Y190" s="58"/>
      <c r="Z190" s="58"/>
      <c r="AA190" s="58"/>
      <c r="AB190" s="501"/>
      <c r="AC190" s="501"/>
    </row>
    <row r="191" spans="1:39">
      <c r="A191" s="6">
        <f>MAX(A$159:A190)+1</f>
        <v>85</v>
      </c>
      <c r="C191" s="10" t="s">
        <v>258</v>
      </c>
      <c r="E191" s="30" t="s">
        <v>259</v>
      </c>
      <c r="G191" s="29">
        <v>192</v>
      </c>
      <c r="I191" s="537">
        <v>134.92647936727528</v>
      </c>
      <c r="J191" s="567">
        <f>G191*I191/1000</f>
        <v>25.905884038516852</v>
      </c>
      <c r="L191" s="538">
        <v>0</v>
      </c>
      <c r="M191" s="538">
        <v>0</v>
      </c>
      <c r="N191" s="538">
        <v>0</v>
      </c>
      <c r="O191" s="538">
        <v>0</v>
      </c>
      <c r="P191" s="538">
        <v>0</v>
      </c>
      <c r="Q191" s="64">
        <f>J191-L191-M191-N191-O191-P191</f>
        <v>25.905884038516852</v>
      </c>
      <c r="R191" s="64"/>
      <c r="S191" s="29">
        <v>0.70788570441208876</v>
      </c>
      <c r="T191" s="538">
        <v>0</v>
      </c>
      <c r="U191" s="538">
        <v>0</v>
      </c>
      <c r="V191" s="538">
        <v>0</v>
      </c>
      <c r="W191" s="538">
        <v>0</v>
      </c>
      <c r="X191" s="538">
        <v>0</v>
      </c>
      <c r="Y191" s="64"/>
      <c r="Z191" s="64">
        <f>Q191+S191+T191+U191+V191+W191+X191</f>
        <v>26.613769742928941</v>
      </c>
      <c r="AA191" s="631">
        <f>Z191/G191*1000</f>
        <v>138.61338407775489</v>
      </c>
      <c r="AB191" s="538">
        <f>Z191-J191</f>
        <v>0.70788570441208876</v>
      </c>
      <c r="AC191" s="541">
        <f>AA191/I191-1</f>
        <v>2.7325286539521265E-2</v>
      </c>
      <c r="AD191" s="542"/>
      <c r="AF191" s="543"/>
      <c r="AI191" s="543"/>
      <c r="AK191" s="543"/>
      <c r="AM191" s="560"/>
    </row>
    <row r="192" spans="1:39">
      <c r="A192" s="6">
        <f>MAX(A$159:A191)+1</f>
        <v>86</v>
      </c>
      <c r="B192" s="58"/>
      <c r="C192" s="521" t="s">
        <v>280</v>
      </c>
      <c r="D192" s="58"/>
      <c r="E192" s="30" t="s">
        <v>281</v>
      </c>
      <c r="F192" s="58"/>
      <c r="G192" s="29">
        <v>6138.48</v>
      </c>
      <c r="H192" s="58"/>
      <c r="I192" s="547">
        <v>9.0517208463813486</v>
      </c>
      <c r="J192" s="539">
        <f>G192*I192/100</f>
        <v>555.63807381094978</v>
      </c>
      <c r="K192" s="58"/>
      <c r="L192" s="538">
        <v>0</v>
      </c>
      <c r="M192" s="538">
        <v>0</v>
      </c>
      <c r="N192" s="538">
        <v>0</v>
      </c>
      <c r="O192" s="538">
        <v>0</v>
      </c>
      <c r="P192" s="538">
        <v>0</v>
      </c>
      <c r="Q192" s="64">
        <f>J192-L192-M192-N192-O192-P192</f>
        <v>555.63807381094978</v>
      </c>
      <c r="R192" s="564"/>
      <c r="S192" s="29">
        <v>15.182969579151973</v>
      </c>
      <c r="T192" s="538">
        <v>0</v>
      </c>
      <c r="U192" s="538">
        <v>0</v>
      </c>
      <c r="V192" s="538">
        <v>0</v>
      </c>
      <c r="W192" s="538">
        <v>0</v>
      </c>
      <c r="X192" s="538">
        <v>0</v>
      </c>
      <c r="Y192" s="564"/>
      <c r="Z192" s="64">
        <f>Q192+S192+T192+U192+V192+W192+X192</f>
        <v>570.82104339010175</v>
      </c>
      <c r="AA192" s="565">
        <f>Z192/G192*100</f>
        <v>9.2990617121844785</v>
      </c>
      <c r="AB192" s="538">
        <f>Z192-J192</f>
        <v>15.182969579151973</v>
      </c>
      <c r="AC192" s="541">
        <f>AA192/I192-1</f>
        <v>2.7325286539521487E-2</v>
      </c>
      <c r="AD192" s="542"/>
      <c r="AF192" s="543"/>
      <c r="AI192" s="543"/>
      <c r="AK192" s="543"/>
      <c r="AM192" s="560"/>
    </row>
    <row r="193" spans="1:39">
      <c r="A193" s="6"/>
      <c r="B193" s="58"/>
      <c r="C193" s="521" t="s">
        <v>260</v>
      </c>
      <c r="D193" s="58"/>
      <c r="E193" s="30"/>
      <c r="F193" s="58"/>
      <c r="G193" s="29"/>
      <c r="H193" s="58"/>
      <c r="I193" s="58"/>
      <c r="J193" s="539"/>
      <c r="K193" s="58"/>
      <c r="L193" s="538"/>
      <c r="M193" s="538"/>
      <c r="N193" s="538"/>
      <c r="O193" s="538"/>
      <c r="P193" s="538"/>
      <c r="Q193" s="64"/>
      <c r="R193" s="564"/>
      <c r="S193" s="29"/>
      <c r="T193" s="538"/>
      <c r="U193" s="538"/>
      <c r="V193" s="538"/>
      <c r="W193" s="538"/>
      <c r="X193" s="538"/>
      <c r="Y193" s="564"/>
      <c r="Z193" s="64"/>
      <c r="AA193" s="565"/>
      <c r="AB193" s="538"/>
      <c r="AC193" s="541"/>
      <c r="AD193" s="542"/>
      <c r="AF193" s="543"/>
      <c r="AI193" s="543"/>
      <c r="AK193" s="543"/>
      <c r="AM193" s="560"/>
    </row>
    <row r="194" spans="1:39">
      <c r="A194" s="6">
        <f>MAX(A$159:A193)+1</f>
        <v>87</v>
      </c>
      <c r="B194" s="58"/>
      <c r="C194" s="521" t="s">
        <v>290</v>
      </c>
      <c r="D194" s="58"/>
      <c r="E194" s="30" t="s">
        <v>262</v>
      </c>
      <c r="F194" s="58"/>
      <c r="G194" s="29">
        <v>2496.9</v>
      </c>
      <c r="H194" s="58"/>
      <c r="I194" s="547">
        <v>7.4823219899090896</v>
      </c>
      <c r="J194" s="539">
        <f t="shared" ref="J194:J196" si="65">G194*I194/100</f>
        <v>186.82609776604008</v>
      </c>
      <c r="K194" s="58"/>
      <c r="L194" s="29">
        <v>191.80981250237761</v>
      </c>
      <c r="M194" s="29">
        <v>0</v>
      </c>
      <c r="N194" s="29">
        <v>0.26410440157569681</v>
      </c>
      <c r="O194" s="29">
        <v>5.8685587970682915</v>
      </c>
      <c r="P194" s="29">
        <v>0.71365196917169615</v>
      </c>
      <c r="Q194" s="64">
        <f>'Sch. 19 pp.18-34'!N197+'Sch. 19 pp.35-51'!O194</f>
        <v>2.2572754399925552</v>
      </c>
      <c r="R194" s="564"/>
      <c r="S194" s="29">
        <v>0</v>
      </c>
      <c r="T194" s="29">
        <v>50.747074313533822</v>
      </c>
      <c r="U194" s="538">
        <v>0</v>
      </c>
      <c r="V194" s="29">
        <v>0.22086471051867745</v>
      </c>
      <c r="W194" s="29">
        <v>6.4314757721983336</v>
      </c>
      <c r="X194" s="29">
        <v>0.63740236112499682</v>
      </c>
      <c r="Y194" s="564"/>
      <c r="Z194" s="64">
        <f>Q194+S194+T194+U194+V194+W194+X194</f>
        <v>60.294092597368383</v>
      </c>
      <c r="AA194" s="565">
        <f>Z194/G194*100</f>
        <v>2.4147580038194714</v>
      </c>
      <c r="AB194" s="538">
        <f>Z194-J194</f>
        <v>-126.5320051686717</v>
      </c>
      <c r="AC194" s="559"/>
      <c r="AD194" s="559"/>
      <c r="AF194" s="543"/>
      <c r="AI194" s="543"/>
      <c r="AK194" s="543"/>
      <c r="AM194" s="560"/>
    </row>
    <row r="195" spans="1:39">
      <c r="A195" s="6">
        <f>MAX(A$159:A194)+1</f>
        <v>88</v>
      </c>
      <c r="B195" s="58"/>
      <c r="C195" s="521" t="s">
        <v>291</v>
      </c>
      <c r="D195" s="58"/>
      <c r="E195" s="30" t="s">
        <v>262</v>
      </c>
      <c r="F195" s="58"/>
      <c r="G195" s="29">
        <v>4159.7690000000002</v>
      </c>
      <c r="H195" s="58"/>
      <c r="I195" s="547">
        <v>6.1080928904752776</v>
      </c>
      <c r="J195" s="539">
        <f t="shared" si="65"/>
        <v>254.08255454919458</v>
      </c>
      <c r="K195" s="58"/>
      <c r="L195" s="29">
        <v>319.55004683535697</v>
      </c>
      <c r="M195" s="29">
        <v>0</v>
      </c>
      <c r="N195" s="29">
        <v>0.43999090970328597</v>
      </c>
      <c r="O195" s="29">
        <v>9.7768628934767001</v>
      </c>
      <c r="P195" s="29">
        <v>1.1889252025108643</v>
      </c>
      <c r="Q195" s="64">
        <f>'Sch. 19 pp.18-34'!N198+'Sch. 19 pp.35-51'!O195</f>
        <v>3.758321823003973</v>
      </c>
      <c r="R195" s="564"/>
      <c r="S195" s="29">
        <v>0</v>
      </c>
      <c r="T195" s="29">
        <v>84.54327629065412</v>
      </c>
      <c r="U195" s="538">
        <v>0</v>
      </c>
      <c r="V195" s="29">
        <v>0.36795473427432746</v>
      </c>
      <c r="W195" s="29">
        <v>10.71466760440614</v>
      </c>
      <c r="X195" s="29">
        <v>1.0618953832090057</v>
      </c>
      <c r="Y195" s="564"/>
      <c r="Z195" s="64">
        <f>Q195+S195+T195+U195+V195+W195+X195</f>
        <v>100.44611583554756</v>
      </c>
      <c r="AA195" s="565">
        <f>Z195/G195*100</f>
        <v>2.4147041779374661</v>
      </c>
      <c r="AB195" s="538">
        <f>Z195-J195</f>
        <v>-153.63643871364701</v>
      </c>
      <c r="AC195" s="559"/>
      <c r="AD195" s="559"/>
      <c r="AF195" s="543"/>
      <c r="AI195" s="543"/>
      <c r="AK195" s="543"/>
      <c r="AM195" s="560"/>
    </row>
    <row r="196" spans="1:39">
      <c r="A196" s="6">
        <f>MAX(A$159:A195)+1</f>
        <v>89</v>
      </c>
      <c r="B196" s="58"/>
      <c r="C196" s="521" t="s">
        <v>292</v>
      </c>
      <c r="D196" s="58"/>
      <c r="E196" s="30" t="s">
        <v>262</v>
      </c>
      <c r="F196" s="58"/>
      <c r="G196" s="29">
        <v>9056.9930000000004</v>
      </c>
      <c r="H196" s="58"/>
      <c r="I196" s="547">
        <v>5.542619907675042</v>
      </c>
      <c r="J196" s="539">
        <f t="shared" si="65"/>
        <v>501.99469705473501</v>
      </c>
      <c r="K196" s="58"/>
      <c r="L196" s="29">
        <v>695.75078263660794</v>
      </c>
      <c r="M196" s="29">
        <v>0</v>
      </c>
      <c r="N196" s="29">
        <v>0.95798458742451642</v>
      </c>
      <c r="O196" s="29">
        <v>21.286994250925524</v>
      </c>
      <c r="P196" s="29">
        <v>2.5886262522424874</v>
      </c>
      <c r="Q196" s="64">
        <f>'Sch. 19 pp.18-34'!N199+'Sch. 19 pp.35-51'!O196</f>
        <v>8.185962944069697</v>
      </c>
      <c r="R196" s="564"/>
      <c r="S196" s="29">
        <v>0</v>
      </c>
      <c r="T196" s="29">
        <v>184.07461124921127</v>
      </c>
      <c r="U196" s="538">
        <v>0</v>
      </c>
      <c r="V196" s="29">
        <v>0.80114147026900884</v>
      </c>
      <c r="W196" s="29">
        <v>23.328860206043455</v>
      </c>
      <c r="X196" s="29">
        <v>2.3120464267261673</v>
      </c>
      <c r="Y196" s="564"/>
      <c r="Z196" s="64">
        <f>Q196+S196+T196+U196+V196+W196+X196</f>
        <v>218.70262229631962</v>
      </c>
      <c r="AA196" s="565">
        <f>Z196/G196*100</f>
        <v>2.4147376761395267</v>
      </c>
      <c r="AB196" s="538">
        <f>Z196-J196</f>
        <v>-283.29207475841542</v>
      </c>
      <c r="AC196" s="559"/>
      <c r="AD196" s="559"/>
      <c r="AF196" s="543"/>
      <c r="AI196" s="543"/>
      <c r="AK196" s="543"/>
      <c r="AM196" s="560"/>
    </row>
    <row r="197" spans="1:39">
      <c r="A197" s="6">
        <f>MAX(A$159:A196)+1</f>
        <v>90</v>
      </c>
      <c r="B197" s="58"/>
      <c r="C197" s="521" t="s">
        <v>260</v>
      </c>
      <c r="D197" s="58"/>
      <c r="E197" s="574"/>
      <c r="F197" s="58"/>
      <c r="G197" s="131">
        <f>SUM(G194:G196)</f>
        <v>15713.662</v>
      </c>
      <c r="H197" s="58"/>
      <c r="I197" s="556">
        <f>J197/G197*100</f>
        <v>6.0005322080236265</v>
      </c>
      <c r="J197" s="554">
        <f>SUM(J194:J196)</f>
        <v>942.90334936996965</v>
      </c>
      <c r="K197" s="58"/>
      <c r="L197" s="619">
        <f t="shared" ref="L197:Q197" si="66">SUM(L194:L196)</f>
        <v>1207.1106419743426</v>
      </c>
      <c r="M197" s="555">
        <f t="shared" si="66"/>
        <v>0</v>
      </c>
      <c r="N197" s="555">
        <f t="shared" si="66"/>
        <v>1.662079898703499</v>
      </c>
      <c r="O197" s="619">
        <f t="shared" si="66"/>
        <v>36.932415941470516</v>
      </c>
      <c r="P197" s="555">
        <f t="shared" si="66"/>
        <v>4.4912034239250485</v>
      </c>
      <c r="Q197" s="555">
        <f t="shared" si="66"/>
        <v>14.201560207066226</v>
      </c>
      <c r="R197" s="564"/>
      <c r="S197" s="619">
        <f>SUM(S194:S196)</f>
        <v>0</v>
      </c>
      <c r="T197" s="619">
        <f t="shared" ref="T197:X197" si="67">SUM(T194:T196)</f>
        <v>319.36496185339922</v>
      </c>
      <c r="U197" s="619">
        <f t="shared" si="67"/>
        <v>0</v>
      </c>
      <c r="V197" s="619">
        <f t="shared" si="67"/>
        <v>1.3899609150620136</v>
      </c>
      <c r="W197" s="619">
        <f t="shared" si="67"/>
        <v>40.475003582647929</v>
      </c>
      <c r="X197" s="619">
        <f t="shared" si="67"/>
        <v>4.0113441710601698</v>
      </c>
      <c r="Y197" s="564"/>
      <c r="Z197" s="619">
        <f>SUM(Z194:Z196)</f>
        <v>379.44283072923554</v>
      </c>
      <c r="AA197" s="592">
        <f>Z197/G197*100</f>
        <v>2.4147320384594981</v>
      </c>
      <c r="AB197" s="555">
        <f>SUM(AB194:AB196)</f>
        <v>-563.46051864073411</v>
      </c>
      <c r="AC197" s="558">
        <f>AA197/I197-1</f>
        <v>-0.59758035541736887</v>
      </c>
      <c r="AD197" s="559"/>
      <c r="AF197" s="543"/>
      <c r="AI197" s="543"/>
      <c r="AK197" s="543"/>
      <c r="AM197" s="560"/>
    </row>
    <row r="198" spans="1:39">
      <c r="A198" s="6"/>
      <c r="C198" s="10"/>
      <c r="L198" s="538"/>
      <c r="M198" s="538"/>
      <c r="N198" s="538"/>
      <c r="O198" s="538"/>
      <c r="P198" s="538"/>
      <c r="Q198" s="538"/>
      <c r="R198" s="64"/>
      <c r="S198" s="64"/>
      <c r="T198" s="538"/>
      <c r="U198" s="538"/>
      <c r="V198" s="538"/>
      <c r="W198" s="538"/>
      <c r="X198" s="538"/>
      <c r="Y198" s="64"/>
      <c r="Z198" s="64"/>
      <c r="AA198" s="632"/>
      <c r="AB198" s="538"/>
      <c r="AC198" s="541"/>
      <c r="AD198" s="542"/>
      <c r="AF198" s="543"/>
      <c r="AI198" s="543"/>
      <c r="AK198" s="543"/>
      <c r="AM198" s="560"/>
    </row>
    <row r="199" spans="1:39">
      <c r="A199" s="6">
        <f>MAX(A$159:A198)+1</f>
        <v>91</v>
      </c>
      <c r="B199" s="581"/>
      <c r="C199" s="10" t="s">
        <v>296</v>
      </c>
      <c r="D199" s="581"/>
      <c r="E199" s="581"/>
      <c r="F199" s="581"/>
      <c r="G199" s="29">
        <v>172.20451506849315</v>
      </c>
      <c r="H199" s="4"/>
      <c r="I199" s="620">
        <v>-50</v>
      </c>
      <c r="J199" s="633">
        <f>G199*I199/100</f>
        <v>-86.102257534246576</v>
      </c>
      <c r="K199" s="581"/>
      <c r="L199" s="538">
        <v>0</v>
      </c>
      <c r="M199" s="538">
        <v>0</v>
      </c>
      <c r="N199" s="538">
        <v>0</v>
      </c>
      <c r="O199" s="538">
        <v>0</v>
      </c>
      <c r="P199" s="538">
        <v>0</v>
      </c>
      <c r="Q199" s="538">
        <f>J199-L199-M199-N199-O199-P199</f>
        <v>-86.102257534246576</v>
      </c>
      <c r="R199" s="582"/>
      <c r="S199" s="130">
        <v>0</v>
      </c>
      <c r="T199" s="576">
        <v>0</v>
      </c>
      <c r="U199" s="576">
        <v>0</v>
      </c>
      <c r="V199" s="576">
        <v>0</v>
      </c>
      <c r="W199" s="576">
        <v>0</v>
      </c>
      <c r="X199" s="576">
        <v>0</v>
      </c>
      <c r="Y199" s="612"/>
      <c r="Z199" s="130">
        <f>Q199+S199+T199+U199+V199+W199+X199</f>
        <v>-86.102257534246576</v>
      </c>
      <c r="AA199" s="565">
        <f>Z199/G199*100</f>
        <v>-50</v>
      </c>
      <c r="AB199" s="576">
        <v>0</v>
      </c>
      <c r="AC199" s="576"/>
      <c r="AD199" s="610"/>
      <c r="AF199" s="543"/>
      <c r="AI199" s="543"/>
      <c r="AK199" s="543"/>
      <c r="AM199" s="560"/>
    </row>
    <row r="200" spans="1:39">
      <c r="A200" s="6">
        <f>MAX(A$159:A199)+1</f>
        <v>92</v>
      </c>
      <c r="B200" s="581"/>
      <c r="C200" s="10" t="s">
        <v>297</v>
      </c>
      <c r="D200" s="581"/>
      <c r="E200" s="581"/>
      <c r="F200" s="581"/>
      <c r="G200" s="538">
        <v>0</v>
      </c>
      <c r="I200" s="538">
        <v>0</v>
      </c>
      <c r="J200" s="538">
        <v>0</v>
      </c>
      <c r="K200" s="581"/>
      <c r="L200" s="538">
        <v>0</v>
      </c>
      <c r="M200" s="538">
        <v>0</v>
      </c>
      <c r="N200" s="538">
        <v>0</v>
      </c>
      <c r="O200" s="538">
        <v>0</v>
      </c>
      <c r="P200" s="538">
        <v>0</v>
      </c>
      <c r="Q200" s="538">
        <f>J200-L200-M200-N200-O200-P200</f>
        <v>0</v>
      </c>
      <c r="R200" s="582"/>
      <c r="S200" s="130">
        <v>0</v>
      </c>
      <c r="T200" s="576">
        <v>0</v>
      </c>
      <c r="U200" s="576">
        <v>0</v>
      </c>
      <c r="V200" s="576">
        <v>0</v>
      </c>
      <c r="W200" s="576">
        <v>0</v>
      </c>
      <c r="X200" s="576">
        <v>0</v>
      </c>
      <c r="Y200" s="612"/>
      <c r="Z200" s="130">
        <f>Q200+S200+T200+U200+V200+W200+X200</f>
        <v>0</v>
      </c>
      <c r="AA200" s="576">
        <v>0</v>
      </c>
      <c r="AB200" s="576">
        <v>0</v>
      </c>
      <c r="AC200" s="576"/>
      <c r="AD200" s="610"/>
      <c r="AF200" s="543"/>
      <c r="AI200" s="543"/>
      <c r="AK200" s="543"/>
      <c r="AM200" s="560"/>
    </row>
    <row r="201" spans="1:39">
      <c r="A201" s="6"/>
      <c r="B201" s="57"/>
      <c r="C201" s="10"/>
      <c r="D201" s="57"/>
      <c r="E201" s="3"/>
      <c r="F201" s="57"/>
      <c r="G201" s="3"/>
      <c r="H201" s="57"/>
      <c r="I201" s="57"/>
      <c r="J201" s="57"/>
      <c r="K201" s="57"/>
      <c r="L201" s="538"/>
      <c r="M201" s="538"/>
      <c r="N201" s="538"/>
      <c r="O201" s="538"/>
      <c r="P201" s="538"/>
      <c r="Q201" s="538"/>
      <c r="R201" s="583"/>
      <c r="S201" s="583"/>
      <c r="T201" s="538"/>
      <c r="U201" s="538"/>
      <c r="V201" s="538"/>
      <c r="W201" s="538"/>
      <c r="X201" s="538"/>
      <c r="Y201" s="583"/>
      <c r="Z201" s="583"/>
      <c r="AA201" s="634"/>
      <c r="AB201" s="538"/>
      <c r="AC201" s="541"/>
      <c r="AD201" s="542"/>
      <c r="AF201" s="543"/>
      <c r="AI201" s="543"/>
      <c r="AK201" s="543"/>
      <c r="AM201" s="560"/>
    </row>
    <row r="202" spans="1:39">
      <c r="A202" s="6">
        <f>MAX(A$159:A201)+1</f>
        <v>93</v>
      </c>
      <c r="B202" s="3"/>
      <c r="C202" s="10" t="s">
        <v>266</v>
      </c>
      <c r="D202" s="3"/>
      <c r="E202" s="57"/>
      <c r="F202" s="3"/>
      <c r="G202" s="131">
        <f>G197</f>
        <v>15713.662</v>
      </c>
      <c r="H202" s="3"/>
      <c r="I202" s="635">
        <f>J202/G202*100</f>
        <v>9.1534681711060735</v>
      </c>
      <c r="J202" s="550">
        <f>J191+J192+J197+J199+J200</f>
        <v>1438.3450496851899</v>
      </c>
      <c r="K202" s="624"/>
      <c r="L202" s="619">
        <f>L191+L192+L197+L199+L200</f>
        <v>1207.1106419743426</v>
      </c>
      <c r="M202" s="131">
        <f t="shared" ref="M202:U202" si="68">M191+M192+M197+M199+M200</f>
        <v>0</v>
      </c>
      <c r="N202" s="619">
        <f>N191+N192+N197+N199+N200</f>
        <v>1.662079898703499</v>
      </c>
      <c r="O202" s="619">
        <f>O191+O192+O197+O199+O200</f>
        <v>36.932415941470516</v>
      </c>
      <c r="P202" s="619">
        <f>P191+P192+P197+P199+P200</f>
        <v>4.4912034239250485</v>
      </c>
      <c r="Q202" s="550">
        <f>Q191+Q192+Q197+Q199+Q200</f>
        <v>509.64326052228631</v>
      </c>
      <c r="R202" s="624"/>
      <c r="S202" s="619">
        <f>S191+S192+S197+S199+S200</f>
        <v>15.890855283564061</v>
      </c>
      <c r="T202" s="619">
        <f>T191+T192+T197+T199+T200</f>
        <v>319.36496185339922</v>
      </c>
      <c r="U202" s="131">
        <f t="shared" si="68"/>
        <v>0</v>
      </c>
      <c r="V202" s="619">
        <f>V191+V192+V197+V199+V200</f>
        <v>1.3899609150620136</v>
      </c>
      <c r="W202" s="619">
        <f>W191+W192+W197+W199+W200</f>
        <v>40.475003582647929</v>
      </c>
      <c r="X202" s="619">
        <f>X191+X192+X197+X199+X200</f>
        <v>4.0113441710601698</v>
      </c>
      <c r="Y202" s="624"/>
      <c r="Z202" s="619">
        <f>Z191+Z192+Z197+Z199+Z200</f>
        <v>890.77538632801975</v>
      </c>
      <c r="AA202" s="635">
        <f>Z202/G202*100</f>
        <v>5.6687956399216155</v>
      </c>
      <c r="AB202" s="636">
        <f>AB191+AB192+AB197+AB199+AB200</f>
        <v>-547.56966335717004</v>
      </c>
      <c r="AC202" s="558">
        <f>AA202/I202-1</f>
        <v>-0.38069423152463777</v>
      </c>
      <c r="AD202" s="559"/>
      <c r="AF202" s="543"/>
      <c r="AI202" s="543"/>
      <c r="AK202" s="543"/>
      <c r="AM202" s="560"/>
    </row>
    <row r="203" spans="1:39">
      <c r="A203" s="6"/>
      <c r="B203" s="5"/>
      <c r="C203" s="5"/>
      <c r="D203" s="5"/>
      <c r="E203" s="6"/>
      <c r="F203" s="5"/>
      <c r="G203" s="17"/>
      <c r="H203" s="5"/>
      <c r="I203" s="5"/>
      <c r="J203" s="5"/>
      <c r="K203" s="5"/>
      <c r="L203" s="538"/>
      <c r="M203" s="538"/>
      <c r="N203" s="538"/>
      <c r="O203" s="538"/>
      <c r="P203" s="538"/>
      <c r="Q203" s="538"/>
      <c r="R203" s="585"/>
      <c r="S203" s="585"/>
      <c r="T203" s="538"/>
      <c r="U203" s="538"/>
      <c r="V203" s="538"/>
      <c r="W203" s="538"/>
      <c r="X203" s="538"/>
      <c r="Y203" s="585"/>
      <c r="Z203" s="585"/>
      <c r="AA203" s="637"/>
      <c r="AB203" s="538"/>
      <c r="AC203" s="541"/>
      <c r="AD203" s="542"/>
      <c r="AF203" s="543"/>
      <c r="AI203" s="543"/>
      <c r="AK203" s="543"/>
      <c r="AM203" s="560"/>
    </row>
    <row r="204" spans="1:39">
      <c r="A204" s="6">
        <f>MAX(A$159:A203)+1</f>
        <v>94</v>
      </c>
      <c r="B204" s="58"/>
      <c r="C204" s="12" t="s">
        <v>267</v>
      </c>
      <c r="D204" s="58"/>
      <c r="E204" s="574" t="s">
        <v>262</v>
      </c>
      <c r="F204" s="58"/>
      <c r="G204" s="29">
        <v>15713.662</v>
      </c>
      <c r="H204" s="58"/>
      <c r="I204" s="547">
        <v>0.56728392094566971</v>
      </c>
      <c r="J204" s="539">
        <f>G204*I204/100</f>
        <v>89.14107791774974</v>
      </c>
      <c r="K204" s="58"/>
      <c r="L204" s="538">
        <v>0</v>
      </c>
      <c r="M204" s="29">
        <v>23.910450696564268</v>
      </c>
      <c r="N204" s="538">
        <v>0</v>
      </c>
      <c r="O204" s="538">
        <v>0</v>
      </c>
      <c r="P204" s="538">
        <v>0</v>
      </c>
      <c r="Q204" s="538">
        <f>J204-L204-M204-N204-O204-P204</f>
        <v>65.230627221185472</v>
      </c>
      <c r="R204" s="564"/>
      <c r="S204" s="29">
        <v>0.69157072127129382</v>
      </c>
      <c r="T204" s="538">
        <v>0</v>
      </c>
      <c r="U204" s="29">
        <v>23.82768445233804</v>
      </c>
      <c r="V204" s="538">
        <v>0</v>
      </c>
      <c r="W204" s="538">
        <v>0</v>
      </c>
      <c r="X204" s="538">
        <v>0</v>
      </c>
      <c r="Y204" s="564"/>
      <c r="Z204" s="564">
        <f>Q204+S204+T204+U204+V204+W204+X204</f>
        <v>89.74988239479481</v>
      </c>
      <c r="AA204" s="565">
        <f>Z204/G204*100</f>
        <v>0.57115828503117105</v>
      </c>
      <c r="AB204" s="538">
        <f>Z204-J204</f>
        <v>0.60880447704506935</v>
      </c>
      <c r="AC204" s="559">
        <f>AA204/I204-1</f>
        <v>6.8296737179553979E-3</v>
      </c>
      <c r="AD204" s="559"/>
      <c r="AF204" s="543"/>
      <c r="AI204" s="543"/>
      <c r="AK204" s="543"/>
      <c r="AM204" s="560"/>
    </row>
    <row r="205" spans="1:39">
      <c r="A205" s="6"/>
      <c r="B205" s="58"/>
      <c r="C205" s="12"/>
      <c r="D205" s="58"/>
      <c r="E205" s="574"/>
      <c r="F205" s="58"/>
      <c r="G205" s="29"/>
      <c r="H205" s="58"/>
      <c r="I205" s="547"/>
      <c r="J205" s="539"/>
      <c r="K205" s="58"/>
      <c r="L205" s="538"/>
      <c r="M205" s="29"/>
      <c r="N205" s="538"/>
      <c r="O205" s="538"/>
      <c r="P205" s="538"/>
      <c r="Q205" s="538"/>
      <c r="R205" s="564"/>
      <c r="S205" s="29"/>
      <c r="T205" s="538"/>
      <c r="U205" s="29"/>
      <c r="V205" s="538"/>
      <c r="W205" s="538"/>
      <c r="X205" s="538"/>
      <c r="Y205" s="564"/>
      <c r="Z205" s="564"/>
      <c r="AA205" s="548"/>
      <c r="AB205" s="538"/>
      <c r="AC205" s="559"/>
      <c r="AD205" s="559"/>
      <c r="AF205" s="543"/>
      <c r="AI205" s="543"/>
      <c r="AK205" s="543"/>
      <c r="AM205" s="560"/>
    </row>
    <row r="206" spans="1:39">
      <c r="A206" s="6"/>
      <c r="B206" s="58"/>
      <c r="C206" s="10" t="s">
        <v>268</v>
      </c>
      <c r="D206" s="58"/>
      <c r="E206" s="574"/>
      <c r="F206" s="58"/>
      <c r="G206" s="29"/>
      <c r="H206" s="58"/>
      <c r="I206" s="547"/>
      <c r="J206" s="539"/>
      <c r="K206" s="58"/>
      <c r="L206" s="538"/>
      <c r="M206" s="29"/>
      <c r="N206" s="538"/>
      <c r="O206" s="538"/>
      <c r="P206" s="538"/>
      <c r="Q206" s="538"/>
      <c r="R206" s="564"/>
      <c r="S206" s="29"/>
      <c r="T206" s="538"/>
      <c r="U206" s="29"/>
      <c r="V206" s="538"/>
      <c r="W206" s="538"/>
      <c r="X206" s="538"/>
      <c r="Y206" s="564"/>
      <c r="Z206" s="564"/>
      <c r="AA206" s="548"/>
      <c r="AB206" s="538"/>
      <c r="AC206" s="559"/>
      <c r="AD206" s="559"/>
      <c r="AF206" s="543"/>
      <c r="AI206" s="543"/>
      <c r="AK206" s="543"/>
      <c r="AM206" s="560"/>
    </row>
    <row r="207" spans="1:39">
      <c r="A207" s="6">
        <f>MAX(A$159:A206)+1</f>
        <v>95</v>
      </c>
      <c r="B207" s="58"/>
      <c r="C207" s="12" t="s">
        <v>268</v>
      </c>
      <c r="D207" s="58"/>
      <c r="E207" s="574" t="s">
        <v>262</v>
      </c>
      <c r="F207" s="58"/>
      <c r="G207" s="29">
        <v>573.62400000000002</v>
      </c>
      <c r="H207" s="58"/>
      <c r="I207" s="547">
        <v>3.9267458432309148</v>
      </c>
      <c r="J207" s="539">
        <f t="shared" ref="J207:J211" si="69">G207*I207/100</f>
        <v>22.524756575774905</v>
      </c>
      <c r="K207" s="58"/>
      <c r="L207" s="538">
        <v>0</v>
      </c>
      <c r="M207" s="538">
        <v>0</v>
      </c>
      <c r="N207" s="538">
        <v>0</v>
      </c>
      <c r="O207" s="538">
        <v>0</v>
      </c>
      <c r="P207" s="538">
        <v>0</v>
      </c>
      <c r="Q207" s="538">
        <f>J207-L207-M207-N207-O207-P207</f>
        <v>22.524756575774905</v>
      </c>
      <c r="R207" s="564"/>
      <c r="S207" s="29">
        <v>1.1801256057488163E-2</v>
      </c>
      <c r="T207" s="538">
        <v>0</v>
      </c>
      <c r="U207" s="538">
        <v>0</v>
      </c>
      <c r="V207" s="538">
        <v>0</v>
      </c>
      <c r="W207" s="538">
        <v>0</v>
      </c>
      <c r="X207" s="538">
        <v>0</v>
      </c>
      <c r="Y207" s="564"/>
      <c r="Z207" s="564">
        <f>Q207+S207+T207+U207+V207+W207+X207</f>
        <v>22.536557831832393</v>
      </c>
      <c r="AA207" s="565">
        <f>Z207/G207*100</f>
        <v>3.9288031588344272</v>
      </c>
      <c r="AB207" s="538">
        <f>Z207-J207</f>
        <v>1.1801256057488274E-2</v>
      </c>
      <c r="AC207" s="541"/>
      <c r="AD207" s="542"/>
      <c r="AF207" s="543"/>
      <c r="AI207" s="543"/>
      <c r="AK207" s="543"/>
      <c r="AM207" s="560"/>
    </row>
    <row r="208" spans="1:39">
      <c r="A208" s="6">
        <f>MAX(A$159:A207)+1</f>
        <v>96</v>
      </c>
      <c r="B208" s="58"/>
      <c r="C208" s="12" t="s">
        <v>269</v>
      </c>
      <c r="D208" s="58"/>
      <c r="E208" s="574" t="s">
        <v>262</v>
      </c>
      <c r="F208" s="58"/>
      <c r="G208" s="29">
        <v>15140.038</v>
      </c>
      <c r="H208" s="58"/>
      <c r="I208" s="547">
        <v>0.96971985302412911</v>
      </c>
      <c r="J208" s="539">
        <f t="shared" si="69"/>
        <v>146.81595424139729</v>
      </c>
      <c r="K208" s="58"/>
      <c r="L208" s="538">
        <v>0</v>
      </c>
      <c r="M208" s="538">
        <v>0</v>
      </c>
      <c r="N208" s="538">
        <v>0</v>
      </c>
      <c r="O208" s="538">
        <v>0</v>
      </c>
      <c r="P208" s="538">
        <v>0</v>
      </c>
      <c r="Q208" s="538">
        <f>J208-L208-M208-N208-O208-P208</f>
        <v>146.81595424139729</v>
      </c>
      <c r="R208" s="564"/>
      <c r="S208" s="29">
        <v>2.4730929351009792</v>
      </c>
      <c r="T208" s="538">
        <v>0</v>
      </c>
      <c r="U208" s="538">
        <v>0</v>
      </c>
      <c r="V208" s="538">
        <v>0</v>
      </c>
      <c r="W208" s="538">
        <v>0</v>
      </c>
      <c r="X208" s="538">
        <v>0</v>
      </c>
      <c r="Y208" s="564"/>
      <c r="Z208" s="564">
        <f>Q208+S208+T208+U208+V208+W208+X208</f>
        <v>149.28904717649829</v>
      </c>
      <c r="AA208" s="565">
        <f>Z208/G208*100</f>
        <v>0.98605463986615005</v>
      </c>
      <c r="AB208" s="538">
        <f>Z208-J208</f>
        <v>2.4730929351009934</v>
      </c>
      <c r="AC208" s="541"/>
      <c r="AD208" s="542"/>
      <c r="AF208" s="543"/>
      <c r="AI208" s="543"/>
      <c r="AK208" s="543"/>
      <c r="AM208" s="560"/>
    </row>
    <row r="209" spans="1:39">
      <c r="A209" s="6">
        <f>MAX(A$159:A208)+1</f>
        <v>97</v>
      </c>
      <c r="B209" s="58"/>
      <c r="C209" s="10" t="s">
        <v>268</v>
      </c>
      <c r="D209" s="58"/>
      <c r="E209" s="574"/>
      <c r="F209" s="58"/>
      <c r="G209" s="411">
        <f>SUM(G207:G208)</f>
        <v>15713.662</v>
      </c>
      <c r="H209" s="58"/>
      <c r="I209" s="566">
        <f>J209/G209*100</f>
        <v>1.0776654787227331</v>
      </c>
      <c r="J209" s="554">
        <f>SUM(J207:J208)</f>
        <v>169.34071081717221</v>
      </c>
      <c r="K209" s="58"/>
      <c r="L209" s="555">
        <f>SUM(L207:L208)</f>
        <v>0</v>
      </c>
      <c r="M209" s="555">
        <f t="shared" ref="M209:Q209" si="70">SUM(M207:M208)</f>
        <v>0</v>
      </c>
      <c r="N209" s="555">
        <f t="shared" si="70"/>
        <v>0</v>
      </c>
      <c r="O209" s="555">
        <f t="shared" si="70"/>
        <v>0</v>
      </c>
      <c r="P209" s="555">
        <f t="shared" si="70"/>
        <v>0</v>
      </c>
      <c r="Q209" s="555">
        <f t="shared" si="70"/>
        <v>169.34071081717221</v>
      </c>
      <c r="R209" s="564"/>
      <c r="S209" s="411">
        <f>SUM(S207:S208)</f>
        <v>2.4848941911584674</v>
      </c>
      <c r="T209" s="411">
        <f t="shared" ref="T209:Z209" si="71">SUM(T207:T208)</f>
        <v>0</v>
      </c>
      <c r="U209" s="411">
        <f t="shared" si="71"/>
        <v>0</v>
      </c>
      <c r="V209" s="411">
        <f t="shared" si="71"/>
        <v>0</v>
      </c>
      <c r="W209" s="411">
        <f t="shared" si="71"/>
        <v>0</v>
      </c>
      <c r="X209" s="411">
        <f t="shared" si="71"/>
        <v>0</v>
      </c>
      <c r="Y209" s="29"/>
      <c r="Z209" s="411">
        <f t="shared" si="71"/>
        <v>171.82560500833068</v>
      </c>
      <c r="AA209" s="592">
        <f>Z209/G209*100</f>
        <v>1.0934790694131684</v>
      </c>
      <c r="AB209" s="555">
        <f>SUM(AB207:AB208)</f>
        <v>2.4848941911584816</v>
      </c>
      <c r="AC209" s="562">
        <f>AA209/I209-1</f>
        <v>1.4673932683802571E-2</v>
      </c>
      <c r="AD209" s="542"/>
      <c r="AF209" s="543"/>
      <c r="AI209" s="543"/>
      <c r="AK209" s="543"/>
      <c r="AM209" s="560"/>
    </row>
    <row r="210" spans="1:39" ht="12.95">
      <c r="A210" s="6"/>
      <c r="B210" s="58"/>
      <c r="D210" s="58"/>
      <c r="E210" s="30"/>
      <c r="F210" s="58"/>
      <c r="G210" s="575"/>
      <c r="H210" s="58"/>
      <c r="I210" s="547"/>
      <c r="J210" s="539"/>
      <c r="K210" s="58"/>
      <c r="L210" s="538"/>
      <c r="M210" s="538"/>
      <c r="N210" s="538"/>
      <c r="O210" s="538"/>
      <c r="P210" s="538"/>
      <c r="Q210" s="538"/>
      <c r="R210" s="564"/>
      <c r="S210" s="29"/>
      <c r="T210" s="538"/>
      <c r="U210" s="538"/>
      <c r="V210" s="538"/>
      <c r="W210" s="538"/>
      <c r="X210" s="538"/>
      <c r="Y210" s="564"/>
      <c r="Z210" s="564"/>
      <c r="AA210" s="548"/>
      <c r="AB210" s="538"/>
      <c r="AC210" s="541"/>
      <c r="AD210" s="542"/>
      <c r="AF210" s="543"/>
      <c r="AI210" s="543"/>
      <c r="AK210" s="543"/>
      <c r="AM210" s="560"/>
    </row>
    <row r="211" spans="1:39">
      <c r="A211" s="6">
        <f>MAX(A$159:A210)+1</f>
        <v>98</v>
      </c>
      <c r="B211" s="58"/>
      <c r="C211" s="10" t="s">
        <v>270</v>
      </c>
      <c r="D211" s="58"/>
      <c r="E211" s="574" t="s">
        <v>262</v>
      </c>
      <c r="F211" s="58"/>
      <c r="G211" s="29">
        <v>573.62400000000002</v>
      </c>
      <c r="H211" s="58"/>
      <c r="I211" s="547">
        <v>18.343372330048751</v>
      </c>
      <c r="J211" s="539">
        <f t="shared" si="69"/>
        <v>105.22198609451885</v>
      </c>
      <c r="K211" s="58"/>
      <c r="L211" s="538">
        <v>0</v>
      </c>
      <c r="M211" s="538">
        <v>0</v>
      </c>
      <c r="N211" s="538">
        <v>0</v>
      </c>
      <c r="O211" s="538">
        <v>0</v>
      </c>
      <c r="P211" s="538">
        <v>0</v>
      </c>
      <c r="Q211" s="538">
        <f>J211-L211-M211-N211-O211-P211</f>
        <v>105.22198609451885</v>
      </c>
      <c r="R211" s="564"/>
      <c r="S211" s="29">
        <v>7.9773350588043246E-3</v>
      </c>
      <c r="T211" s="538">
        <v>0</v>
      </c>
      <c r="U211" s="538">
        <v>0</v>
      </c>
      <c r="V211" s="538">
        <v>0</v>
      </c>
      <c r="W211" s="538">
        <v>0</v>
      </c>
      <c r="X211" s="538">
        <v>0</v>
      </c>
      <c r="Y211" s="564"/>
      <c r="Z211" s="564">
        <f>Q211+S211+T211+U211+V211+W211+X211</f>
        <v>105.22996342957767</v>
      </c>
      <c r="AA211" s="565">
        <f>Z211/G211*100</f>
        <v>18.344763020650749</v>
      </c>
      <c r="AB211" s="538">
        <f>Z211-J211</f>
        <v>7.9773350588112635E-3</v>
      </c>
      <c r="AC211" s="541">
        <f>AA211/I211-1</f>
        <v>7.5814336479407274E-5</v>
      </c>
      <c r="AD211" s="542"/>
      <c r="AF211" s="543"/>
      <c r="AI211" s="543"/>
      <c r="AK211" s="543"/>
      <c r="AM211" s="560"/>
    </row>
    <row r="212" spans="1:39">
      <c r="A212" s="6"/>
      <c r="B212" s="58"/>
      <c r="C212" s="10"/>
      <c r="D212" s="58"/>
      <c r="E212" s="30"/>
      <c r="F212" s="58"/>
      <c r="G212" s="29"/>
      <c r="H212" s="58"/>
      <c r="I212" s="548"/>
      <c r="J212" s="58"/>
      <c r="K212" s="58"/>
      <c r="L212" s="538"/>
      <c r="M212" s="538"/>
      <c r="N212" s="538"/>
      <c r="O212" s="538"/>
      <c r="P212" s="538"/>
      <c r="Q212" s="538"/>
      <c r="R212" s="564"/>
      <c r="S212" s="564"/>
      <c r="T212" s="538"/>
      <c r="U212" s="538"/>
      <c r="V212" s="538"/>
      <c r="W212" s="538"/>
      <c r="X212" s="538"/>
      <c r="Y212" s="564"/>
      <c r="Z212" s="564"/>
      <c r="AA212" s="548"/>
      <c r="AB212" s="538"/>
      <c r="AC212" s="541"/>
      <c r="AD212" s="542"/>
      <c r="AF212" s="543"/>
      <c r="AI212" s="543"/>
      <c r="AK212" s="543"/>
      <c r="AM212" s="560"/>
    </row>
    <row r="213" spans="1:39" ht="12.95" thickBot="1">
      <c r="A213" s="6">
        <f>MAX(A$159:A212)+1</f>
        <v>99</v>
      </c>
      <c r="B213" s="58"/>
      <c r="C213" s="10" t="s">
        <v>298</v>
      </c>
      <c r="D213" s="58"/>
      <c r="E213" s="30"/>
      <c r="F213" s="58"/>
      <c r="G213" s="589">
        <f>G202</f>
        <v>15713.662</v>
      </c>
      <c r="H213" s="58"/>
      <c r="I213" s="572">
        <f>J213/G213*100</f>
        <v>11.468038605607214</v>
      </c>
      <c r="J213" s="627">
        <f>J202+J204+J209+J211</f>
        <v>1802.0488245146307</v>
      </c>
      <c r="K213" s="539"/>
      <c r="L213" s="589">
        <f t="shared" ref="L213:Q213" si="72">L202+L204+L209+L211</f>
        <v>1207.1106419743426</v>
      </c>
      <c r="M213" s="589">
        <f t="shared" si="72"/>
        <v>23.910450696564268</v>
      </c>
      <c r="N213" s="589">
        <f t="shared" si="72"/>
        <v>1.662079898703499</v>
      </c>
      <c r="O213" s="589">
        <f t="shared" si="72"/>
        <v>36.932415941470516</v>
      </c>
      <c r="P213" s="589">
        <f t="shared" si="72"/>
        <v>4.4912034239250485</v>
      </c>
      <c r="Q213" s="589">
        <f t="shared" si="72"/>
        <v>849.43658465516273</v>
      </c>
      <c r="R213" s="539"/>
      <c r="S213" s="589">
        <f t="shared" ref="S213:X213" si="73">S202+S204+S209+S211</f>
        <v>19.075297531052627</v>
      </c>
      <c r="T213" s="589">
        <f t="shared" si="73"/>
        <v>319.36496185339922</v>
      </c>
      <c r="U213" s="589">
        <f t="shared" si="73"/>
        <v>23.82768445233804</v>
      </c>
      <c r="V213" s="589">
        <f t="shared" si="73"/>
        <v>1.3899609150620136</v>
      </c>
      <c r="W213" s="589">
        <f t="shared" si="73"/>
        <v>40.475003582647929</v>
      </c>
      <c r="X213" s="589">
        <f t="shared" si="73"/>
        <v>4.0113441710601698</v>
      </c>
      <c r="Y213" s="539"/>
      <c r="Z213" s="589">
        <f>Z202+Z204+Z209+Z211</f>
        <v>1257.5808371607229</v>
      </c>
      <c r="AA213" s="590">
        <f>Z213/G213*100</f>
        <v>8.0031047960731438</v>
      </c>
      <c r="AB213" s="638">
        <f>AB202+AB204+AB209+AB211</f>
        <v>-544.46798735390769</v>
      </c>
      <c r="AC213" s="602">
        <f>AA213/I213-1</f>
        <v>-0.30213831054247731</v>
      </c>
      <c r="AD213" s="559"/>
      <c r="AF213" s="543"/>
      <c r="AI213" s="543"/>
      <c r="AK213" s="543"/>
      <c r="AM213" s="560"/>
    </row>
    <row r="214" spans="1:39" ht="12.95" thickTop="1">
      <c r="L214" s="2"/>
      <c r="M214" s="2"/>
      <c r="N214" s="2"/>
      <c r="O214" s="2"/>
      <c r="P214" s="501"/>
      <c r="Q214" s="501"/>
      <c r="T214" s="501"/>
      <c r="U214" s="501"/>
      <c r="V214" s="501"/>
      <c r="W214" s="501"/>
      <c r="X214" s="501"/>
      <c r="AB214" s="534"/>
      <c r="AC214" s="501"/>
      <c r="AF214" s="543"/>
      <c r="AI214" s="543"/>
      <c r="AK214" s="543"/>
      <c r="AM214" s="560"/>
    </row>
    <row r="215" spans="1:39">
      <c r="L215" s="2"/>
      <c r="M215" s="2"/>
      <c r="N215" s="2"/>
      <c r="O215" s="2"/>
      <c r="P215" s="501"/>
      <c r="Q215" s="501"/>
      <c r="T215" s="501"/>
      <c r="U215" s="501"/>
      <c r="V215" s="501"/>
      <c r="W215" s="501"/>
      <c r="X215" s="501"/>
      <c r="AB215" s="501"/>
      <c r="AC215" s="501"/>
      <c r="AF215" s="543"/>
      <c r="AI215" s="543"/>
      <c r="AK215" s="543"/>
      <c r="AM215" s="560"/>
    </row>
    <row r="216" spans="1:39">
      <c r="L216" s="2"/>
      <c r="M216" s="2"/>
      <c r="N216" s="2"/>
      <c r="O216" s="2"/>
      <c r="P216" s="501"/>
      <c r="Q216" s="501"/>
      <c r="T216" s="501"/>
      <c r="U216" s="501"/>
      <c r="V216" s="501"/>
      <c r="W216" s="501"/>
      <c r="X216" s="501"/>
      <c r="AB216" s="501"/>
      <c r="AC216" s="501"/>
      <c r="AF216" s="543"/>
      <c r="AI216" s="543"/>
      <c r="AK216" s="543"/>
      <c r="AM216" s="560"/>
    </row>
    <row r="217" spans="1:39">
      <c r="L217" s="2"/>
      <c r="M217" s="2"/>
      <c r="N217" s="2"/>
      <c r="O217" s="2"/>
      <c r="P217" s="501"/>
      <c r="Q217" s="501"/>
      <c r="T217" s="501"/>
      <c r="U217" s="501"/>
      <c r="V217" s="501"/>
      <c r="W217" s="501"/>
      <c r="X217" s="501"/>
      <c r="AB217" s="501"/>
      <c r="AC217" s="501"/>
      <c r="AF217" s="543"/>
      <c r="AI217" s="543"/>
      <c r="AK217" s="543"/>
      <c r="AM217" s="560"/>
    </row>
    <row r="218" spans="1:39">
      <c r="A218" s="1156" t="s">
        <v>279</v>
      </c>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531"/>
      <c r="AF218" s="543"/>
      <c r="AI218" s="543"/>
      <c r="AK218" s="543"/>
      <c r="AM218" s="560"/>
    </row>
    <row r="219" spans="1:39">
      <c r="A219" s="57"/>
      <c r="B219" s="57"/>
      <c r="C219" s="57"/>
      <c r="D219" s="57"/>
      <c r="E219" s="3"/>
      <c r="F219" s="57"/>
      <c r="G219" s="3"/>
      <c r="H219" s="57"/>
      <c r="I219" s="57"/>
      <c r="J219" s="57"/>
      <c r="K219" s="57"/>
      <c r="L219" s="57"/>
      <c r="M219" s="57"/>
      <c r="N219" s="4"/>
      <c r="O219" s="4"/>
      <c r="P219" s="501"/>
      <c r="Q219" s="501"/>
      <c r="R219" s="57"/>
      <c r="S219" s="57"/>
      <c r="T219" s="501"/>
      <c r="U219" s="501"/>
      <c r="V219" s="501"/>
      <c r="W219" s="501"/>
      <c r="X219" s="501"/>
      <c r="Y219" s="57"/>
      <c r="Z219" s="57"/>
      <c r="AA219" s="57"/>
      <c r="AB219" s="501"/>
      <c r="AC219" s="501"/>
      <c r="AF219" s="543"/>
      <c r="AI219" s="543"/>
      <c r="AK219" s="543"/>
      <c r="AM219" s="560"/>
    </row>
    <row r="220" spans="1:39">
      <c r="A220" s="3"/>
      <c r="B220" s="3"/>
      <c r="C220" s="3"/>
      <c r="D220" s="3"/>
      <c r="E220" s="57"/>
      <c r="F220" s="3"/>
      <c r="G220" s="1152" t="s">
        <v>231</v>
      </c>
      <c r="H220" s="1152"/>
      <c r="I220" s="1152"/>
      <c r="J220" s="1152"/>
      <c r="K220" s="3"/>
      <c r="L220" s="1152" t="s">
        <v>94</v>
      </c>
      <c r="M220" s="1152"/>
      <c r="N220" s="1152"/>
      <c r="O220" s="1152"/>
      <c r="P220" s="1152"/>
      <c r="Q220" s="58"/>
      <c r="R220" s="3"/>
      <c r="S220" s="1152" t="s">
        <v>95</v>
      </c>
      <c r="T220" s="1152"/>
      <c r="U220" s="1152"/>
      <c r="V220" s="1152"/>
      <c r="W220" s="1152"/>
      <c r="X220" s="1152"/>
      <c r="Y220" s="3"/>
      <c r="Z220" s="1152" t="s">
        <v>232</v>
      </c>
      <c r="AA220" s="1152"/>
      <c r="AB220" s="1152"/>
      <c r="AC220" s="1152"/>
      <c r="AD220" s="6"/>
      <c r="AF220" s="543"/>
      <c r="AI220" s="543"/>
      <c r="AK220" s="543"/>
      <c r="AM220" s="560"/>
    </row>
    <row r="221" spans="1:39" ht="37.5">
      <c r="A221" s="5" t="s">
        <v>56</v>
      </c>
      <c r="B221" s="5"/>
      <c r="C221" s="5"/>
      <c r="D221" s="5"/>
      <c r="E221" s="6" t="s">
        <v>233</v>
      </c>
      <c r="F221" s="5"/>
      <c r="G221" s="17" t="s">
        <v>234</v>
      </c>
      <c r="H221" s="5"/>
      <c r="I221" s="17" t="s">
        <v>235</v>
      </c>
      <c r="J221" s="17" t="s">
        <v>101</v>
      </c>
      <c r="K221" s="5"/>
      <c r="L221" s="17" t="s">
        <v>106</v>
      </c>
      <c r="M221" s="17" t="s">
        <v>236</v>
      </c>
      <c r="N221" s="5" t="s">
        <v>237</v>
      </c>
      <c r="O221" s="5" t="s">
        <v>109</v>
      </c>
      <c r="P221" s="5" t="s">
        <v>238</v>
      </c>
      <c r="Q221" s="5" t="s">
        <v>239</v>
      </c>
      <c r="R221" s="5"/>
      <c r="S221" s="5" t="s">
        <v>240</v>
      </c>
      <c r="T221" s="17" t="s">
        <v>106</v>
      </c>
      <c r="U221" s="17" t="s">
        <v>236</v>
      </c>
      <c r="V221" s="5" t="s">
        <v>237</v>
      </c>
      <c r="W221" s="5" t="s">
        <v>109</v>
      </c>
      <c r="X221" s="5" t="s">
        <v>238</v>
      </c>
      <c r="Y221" s="5"/>
      <c r="Z221" s="17" t="s">
        <v>241</v>
      </c>
      <c r="AA221" s="17" t="s">
        <v>242</v>
      </c>
      <c r="AB221" s="17" t="s">
        <v>243</v>
      </c>
      <c r="AC221" s="5" t="s">
        <v>244</v>
      </c>
      <c r="AD221" s="5"/>
      <c r="AF221" s="543"/>
      <c r="AI221" s="543"/>
      <c r="AK221" s="543"/>
      <c r="AM221" s="560"/>
    </row>
    <row r="222" spans="1:39" ht="14.45">
      <c r="A222" s="237" t="s">
        <v>57</v>
      </c>
      <c r="B222" s="58"/>
      <c r="C222" s="59" t="s">
        <v>194</v>
      </c>
      <c r="D222" s="58"/>
      <c r="E222" s="237" t="s">
        <v>245</v>
      </c>
      <c r="F222" s="58"/>
      <c r="G222" s="237" t="s">
        <v>246</v>
      </c>
      <c r="H222" s="58"/>
      <c r="I222" s="237" t="s">
        <v>247</v>
      </c>
      <c r="J222" s="237" t="s">
        <v>248</v>
      </c>
      <c r="K222" s="58"/>
      <c r="L222" s="237" t="s">
        <v>248</v>
      </c>
      <c r="M222" s="237" t="s">
        <v>248</v>
      </c>
      <c r="N222" s="237" t="s">
        <v>248</v>
      </c>
      <c r="O222" s="237" t="s">
        <v>248</v>
      </c>
      <c r="P222" s="237" t="s">
        <v>248</v>
      </c>
      <c r="Q222" s="237" t="s">
        <v>248</v>
      </c>
      <c r="R222" s="58"/>
      <c r="S222" s="237" t="s">
        <v>248</v>
      </c>
      <c r="T222" s="237" t="s">
        <v>248</v>
      </c>
      <c r="U222" s="237" t="s">
        <v>248</v>
      </c>
      <c r="V222" s="237" t="s">
        <v>248</v>
      </c>
      <c r="W222" s="237" t="s">
        <v>248</v>
      </c>
      <c r="X222" s="237" t="s">
        <v>248</v>
      </c>
      <c r="Y222" s="58"/>
      <c r="Z222" s="237" t="s">
        <v>248</v>
      </c>
      <c r="AA222" s="237" t="s">
        <v>247</v>
      </c>
      <c r="AB222" s="237" t="s">
        <v>248</v>
      </c>
      <c r="AC222" s="237" t="s">
        <v>249</v>
      </c>
      <c r="AD222" s="6"/>
      <c r="AF222" s="543"/>
      <c r="AI222" s="543"/>
      <c r="AK222" s="543"/>
      <c r="AM222" s="560"/>
    </row>
    <row r="223" spans="1:39">
      <c r="A223" s="6"/>
      <c r="B223" s="58"/>
      <c r="C223" s="58"/>
      <c r="D223" s="58"/>
      <c r="E223" s="6"/>
      <c r="F223" s="58"/>
      <c r="G223" s="6" t="s">
        <v>9</v>
      </c>
      <c r="H223" s="6"/>
      <c r="I223" s="6" t="s">
        <v>10</v>
      </c>
      <c r="J223" s="6" t="s">
        <v>58</v>
      </c>
      <c r="K223" s="6"/>
      <c r="L223" s="123" t="s">
        <v>12</v>
      </c>
      <c r="M223" s="123" t="s">
        <v>13</v>
      </c>
      <c r="N223" s="123" t="s">
        <v>115</v>
      </c>
      <c r="O223" s="123" t="s">
        <v>209</v>
      </c>
      <c r="P223" s="6" t="s">
        <v>210</v>
      </c>
      <c r="Q223" s="6" t="s">
        <v>250</v>
      </c>
      <c r="R223" s="6"/>
      <c r="S223" s="6" t="s">
        <v>251</v>
      </c>
      <c r="T223" s="6" t="s">
        <v>120</v>
      </c>
      <c r="U223" s="6" t="s">
        <v>121</v>
      </c>
      <c r="V223" s="6" t="s">
        <v>122</v>
      </c>
      <c r="W223" s="6" t="s">
        <v>252</v>
      </c>
      <c r="X223" s="6" t="s">
        <v>253</v>
      </c>
      <c r="Y223" s="6"/>
      <c r="Z223" s="6" t="s">
        <v>254</v>
      </c>
      <c r="AA223" s="6" t="s">
        <v>255</v>
      </c>
      <c r="AB223" s="6" t="s">
        <v>256</v>
      </c>
      <c r="AC223" s="6" t="s">
        <v>257</v>
      </c>
      <c r="AD223" s="6"/>
      <c r="AF223" s="543"/>
      <c r="AI223" s="543"/>
      <c r="AK223" s="543"/>
      <c r="AM223" s="560"/>
    </row>
    <row r="224" spans="1:39">
      <c r="I224" s="501"/>
      <c r="J224" s="501"/>
      <c r="L224" s="538"/>
      <c r="M224" s="538"/>
      <c r="N224" s="538"/>
      <c r="O224" s="538"/>
      <c r="P224" s="538"/>
      <c r="Q224" s="538"/>
      <c r="R224" s="64"/>
      <c r="S224" s="64"/>
      <c r="T224" s="538"/>
      <c r="U224" s="538"/>
      <c r="V224" s="538"/>
      <c r="W224" s="538"/>
      <c r="X224" s="538"/>
      <c r="Y224" s="64"/>
      <c r="Z224" s="64"/>
      <c r="AA224" s="64"/>
      <c r="AB224" s="538"/>
      <c r="AC224" s="538"/>
      <c r="AD224" s="563"/>
      <c r="AE224" s="563"/>
      <c r="AF224" s="543"/>
      <c r="AI224" s="543"/>
      <c r="AK224" s="543"/>
      <c r="AM224" s="560"/>
    </row>
    <row r="225" spans="1:39">
      <c r="A225" s="6"/>
      <c r="B225" s="58"/>
      <c r="C225" s="9" t="s">
        <v>135</v>
      </c>
      <c r="D225" s="58"/>
      <c r="E225" s="30"/>
      <c r="F225" s="58"/>
      <c r="G225" s="29"/>
      <c r="H225" s="58"/>
      <c r="I225" s="58"/>
      <c r="J225" s="58"/>
      <c r="K225" s="58"/>
      <c r="L225" s="501"/>
      <c r="M225" s="501"/>
      <c r="N225" s="501"/>
      <c r="O225" s="501"/>
      <c r="P225" s="501"/>
      <c r="Q225" s="501"/>
      <c r="R225" s="58"/>
      <c r="S225" s="58"/>
      <c r="T225" s="501"/>
      <c r="U225" s="501"/>
      <c r="V225" s="501"/>
      <c r="W225" s="501"/>
      <c r="X225" s="501"/>
      <c r="Y225" s="58"/>
      <c r="Z225" s="58"/>
      <c r="AA225" s="58"/>
      <c r="AB225" s="501"/>
      <c r="AC225" s="501"/>
      <c r="AI225" s="543"/>
    </row>
    <row r="226" spans="1:39">
      <c r="A226" s="6">
        <v>100</v>
      </c>
      <c r="B226" s="58"/>
      <c r="C226" s="10" t="s">
        <v>258</v>
      </c>
      <c r="D226" s="58"/>
      <c r="E226" s="30" t="s">
        <v>259</v>
      </c>
      <c r="F226" s="58"/>
      <c r="G226" s="29">
        <v>264</v>
      </c>
      <c r="I226" s="537">
        <v>305.5481997087212</v>
      </c>
      <c r="J226" s="567">
        <f>G226*I226/1000</f>
        <v>80.664724723102395</v>
      </c>
      <c r="L226" s="538">
        <v>0</v>
      </c>
      <c r="M226" s="538">
        <v>0</v>
      </c>
      <c r="N226" s="538">
        <v>0</v>
      </c>
      <c r="O226" s="538">
        <v>0</v>
      </c>
      <c r="P226" s="538">
        <v>0</v>
      </c>
      <c r="Q226" s="64">
        <f>J226-L226-M226-N226-O226-P226</f>
        <v>80.664724723102395</v>
      </c>
      <c r="R226" s="64"/>
      <c r="S226" s="29">
        <v>2.2041867166904012</v>
      </c>
      <c r="T226" s="538">
        <v>0</v>
      </c>
      <c r="U226" s="538">
        <v>0</v>
      </c>
      <c r="V226" s="538">
        <v>0</v>
      </c>
      <c r="W226" s="538">
        <v>0</v>
      </c>
      <c r="X226" s="538">
        <v>0</v>
      </c>
      <c r="Y226" s="64"/>
      <c r="Z226" s="64">
        <f>Q226+S226+T226+U226+V226+W226+X226</f>
        <v>82.868911439792797</v>
      </c>
      <c r="AA226" s="631">
        <f>Z226/G226*1000</f>
        <v>313.89739181739697</v>
      </c>
      <c r="AB226" s="538">
        <f>Z226-J226</f>
        <v>2.2041867166904012</v>
      </c>
      <c r="AC226" s="541">
        <f>AA226/I226-1</f>
        <v>2.7325286539521487E-2</v>
      </c>
      <c r="AD226" s="542"/>
      <c r="AF226" s="543"/>
      <c r="AI226" s="543"/>
      <c r="AK226" s="543"/>
      <c r="AM226" s="560"/>
    </row>
    <row r="227" spans="1:39">
      <c r="A227" s="6">
        <f>MAX(A$225:A226)+1</f>
        <v>101</v>
      </c>
      <c r="B227" s="58"/>
      <c r="C227" s="521" t="s">
        <v>280</v>
      </c>
      <c r="D227" s="58"/>
      <c r="E227" s="30" t="s">
        <v>281</v>
      </c>
      <c r="F227" s="58"/>
      <c r="G227" s="29">
        <v>30927.768</v>
      </c>
      <c r="H227" s="58"/>
      <c r="I227" s="547">
        <v>4.4945119394531865</v>
      </c>
      <c r="J227" s="539">
        <f>G227*I227/100</f>
        <v>1390.0522253663821</v>
      </c>
      <c r="K227" s="58"/>
      <c r="L227" s="538">
        <v>0</v>
      </c>
      <c r="M227" s="538">
        <v>0</v>
      </c>
      <c r="N227" s="538">
        <v>0</v>
      </c>
      <c r="O227" s="538">
        <v>0</v>
      </c>
      <c r="P227" s="538">
        <v>0</v>
      </c>
      <c r="Q227" s="64">
        <f>J227-L227-M227-N227-O227-P227</f>
        <v>1390.0522253663821</v>
      </c>
      <c r="R227" s="564"/>
      <c r="S227" s="29">
        <v>37.983575363035925</v>
      </c>
      <c r="T227" s="538">
        <v>0</v>
      </c>
      <c r="U227" s="538">
        <v>0</v>
      </c>
      <c r="V227" s="538">
        <v>0</v>
      </c>
      <c r="W227" s="538">
        <v>0</v>
      </c>
      <c r="X227" s="538">
        <v>0</v>
      </c>
      <c r="Y227" s="564"/>
      <c r="Z227" s="64">
        <f>Q227+S227+T227+U227+V227+W227+X227</f>
        <v>1428.035800729418</v>
      </c>
      <c r="AA227" s="565">
        <f>Z227/G227*100</f>
        <v>4.6173257660540461</v>
      </c>
      <c r="AB227" s="538">
        <f>Z227-J227</f>
        <v>37.983575363035925</v>
      </c>
      <c r="AC227" s="541">
        <f>AA227/I227-1</f>
        <v>2.7325286539521709E-2</v>
      </c>
      <c r="AD227" s="542"/>
      <c r="AF227" s="543"/>
      <c r="AI227" s="543"/>
      <c r="AK227" s="543"/>
      <c r="AM227" s="560"/>
    </row>
    <row r="228" spans="1:39">
      <c r="A228" s="6"/>
      <c r="B228" s="58"/>
      <c r="C228" s="521" t="s">
        <v>260</v>
      </c>
      <c r="D228" s="58"/>
      <c r="E228" s="30"/>
      <c r="F228" s="58"/>
      <c r="G228" s="29"/>
      <c r="H228" s="58"/>
      <c r="I228" s="58"/>
      <c r="J228" s="539"/>
      <c r="K228" s="58"/>
      <c r="L228" s="501"/>
      <c r="M228" s="501"/>
      <c r="N228" s="501"/>
      <c r="O228" s="501"/>
      <c r="P228" s="501"/>
      <c r="Q228" s="64"/>
      <c r="R228" s="58"/>
      <c r="S228" s="58"/>
      <c r="T228" s="501"/>
      <c r="U228" s="501"/>
      <c r="V228" s="501"/>
      <c r="W228" s="501"/>
      <c r="X228" s="501"/>
      <c r="Y228" s="58"/>
      <c r="Z228" s="64"/>
      <c r="AA228" s="565"/>
      <c r="AB228" s="538"/>
      <c r="AC228" s="541"/>
      <c r="AD228" s="542"/>
      <c r="AF228" s="543"/>
      <c r="AI228" s="543"/>
      <c r="AK228" s="543"/>
      <c r="AM228" s="560"/>
    </row>
    <row r="229" spans="1:39">
      <c r="A229" s="6">
        <f>MAX(A$225:A228)+1</f>
        <v>102</v>
      </c>
      <c r="B229" s="58"/>
      <c r="C229" s="12" t="s">
        <v>283</v>
      </c>
      <c r="D229" s="58"/>
      <c r="E229" s="30" t="s">
        <v>262</v>
      </c>
      <c r="F229" s="58"/>
      <c r="G229" s="29">
        <v>183923.41800000001</v>
      </c>
      <c r="H229" s="58"/>
      <c r="I229" s="547">
        <v>0.59804635914981807</v>
      </c>
      <c r="J229" s="539">
        <f t="shared" ref="J229:J230" si="74">G229*I229/100</f>
        <v>1099.9473049729013</v>
      </c>
      <c r="K229" s="58"/>
      <c r="L229" s="29">
        <v>1347.3118645257566</v>
      </c>
      <c r="M229" s="29">
        <v>0</v>
      </c>
      <c r="N229" s="29">
        <v>19.45411680349503</v>
      </c>
      <c r="O229" s="29">
        <v>409.35571905921825</v>
      </c>
      <c r="P229" s="29">
        <v>23.565270754459615</v>
      </c>
      <c r="Q229" s="64">
        <f>'Sch. 19 pp.18-34'!N233+'Sch. 19 pp.35-51'!O229</f>
        <v>117.6637003581381</v>
      </c>
      <c r="R229" s="564"/>
      <c r="S229" s="29">
        <v>0</v>
      </c>
      <c r="T229" s="29">
        <v>208.96896806109086</v>
      </c>
      <c r="U229" s="538">
        <v>0</v>
      </c>
      <c r="V229" s="29">
        <v>16.269050612429695</v>
      </c>
      <c r="W229" s="29">
        <v>448.62145551909913</v>
      </c>
      <c r="X229" s="29">
        <v>21.047457119576208</v>
      </c>
      <c r="Y229" s="564"/>
      <c r="Z229" s="64">
        <f>Q229+S229+T229+U229+V229+W229+X229</f>
        <v>812.57063167033391</v>
      </c>
      <c r="AA229" s="565">
        <f>Z229/G229*100</f>
        <v>0.44179835308972665</v>
      </c>
      <c r="AB229" s="538">
        <f>Z229-J229</f>
        <v>-287.37667330256738</v>
      </c>
      <c r="AC229" s="559"/>
      <c r="AD229" s="559"/>
      <c r="AF229" s="543"/>
      <c r="AI229" s="543"/>
      <c r="AK229" s="543"/>
      <c r="AM229" s="560"/>
    </row>
    <row r="230" spans="1:39">
      <c r="A230" s="6">
        <f>MAX(A$225:A229)+1</f>
        <v>103</v>
      </c>
      <c r="B230" s="58"/>
      <c r="C230" s="12" t="s">
        <v>284</v>
      </c>
      <c r="D230" s="58"/>
      <c r="E230" s="30" t="s">
        <v>262</v>
      </c>
      <c r="F230" s="58"/>
      <c r="G230" s="29">
        <v>139330.31</v>
      </c>
      <c r="H230" s="58"/>
      <c r="I230" s="547">
        <v>0.39401422289777976</v>
      </c>
      <c r="J230" s="539">
        <f t="shared" si="74"/>
        <v>548.98123820756746</v>
      </c>
      <c r="K230" s="58"/>
      <c r="L230" s="29">
        <v>1020.6496910091769</v>
      </c>
      <c r="M230" s="29">
        <v>0</v>
      </c>
      <c r="N230" s="29">
        <v>14.737373600827556</v>
      </c>
      <c r="O230" s="29">
        <v>310.10547681749682</v>
      </c>
      <c r="P230" s="29">
        <v>17.851758711078279</v>
      </c>
      <c r="Q230" s="64">
        <f>'Sch. 19 pp.18-34'!N234+'Sch. 19 pp.35-51'!O230</f>
        <v>89.136105067656047</v>
      </c>
      <c r="R230" s="564"/>
      <c r="S230" s="29">
        <v>0</v>
      </c>
      <c r="T230" s="29">
        <v>158.30344725505202</v>
      </c>
      <c r="U230" s="538">
        <v>0</v>
      </c>
      <c r="V230" s="29">
        <v>12.324541865764585</v>
      </c>
      <c r="W230" s="29">
        <v>339.85104860397541</v>
      </c>
      <c r="X230" s="29">
        <v>15.944400974443937</v>
      </c>
      <c r="Y230" s="564"/>
      <c r="Z230" s="64">
        <f>Q230+S230+T230+U230+V230+W230+X230</f>
        <v>615.55954376689203</v>
      </c>
      <c r="AA230" s="565">
        <f>Z230/G230*100</f>
        <v>0.44179873264251834</v>
      </c>
      <c r="AB230" s="538">
        <f>Z230-J230</f>
        <v>66.578305559324576</v>
      </c>
      <c r="AC230" s="559"/>
      <c r="AD230" s="559"/>
      <c r="AF230" s="543"/>
      <c r="AI230" s="543"/>
      <c r="AK230" s="543"/>
      <c r="AM230" s="560"/>
    </row>
    <row r="231" spans="1:39">
      <c r="A231" s="6">
        <f>MAX(A$225:A230)+1</f>
        <v>104</v>
      </c>
      <c r="B231" s="58"/>
      <c r="C231" s="521" t="s">
        <v>260</v>
      </c>
      <c r="D231" s="58"/>
      <c r="E231" s="30" t="s">
        <v>262</v>
      </c>
      <c r="F231" s="58"/>
      <c r="G231" s="131">
        <f>SUM(G229:G230)</f>
        <v>323253.728</v>
      </c>
      <c r="H231" s="58"/>
      <c r="I231" s="556">
        <f>J231/G231*100</f>
        <v>0.51010348848334663</v>
      </c>
      <c r="J231" s="554">
        <f>SUM(J229:J230)</f>
        <v>1648.9285431804688</v>
      </c>
      <c r="K231" s="58"/>
      <c r="L231" s="555">
        <f>SUM(L229:L230)</f>
        <v>2367.9615555349337</v>
      </c>
      <c r="M231" s="555">
        <f t="shared" ref="M231:P231" si="75">SUM(M229:M230)</f>
        <v>0</v>
      </c>
      <c r="N231" s="555">
        <f t="shared" si="75"/>
        <v>34.191490404322586</v>
      </c>
      <c r="O231" s="555">
        <f t="shared" si="75"/>
        <v>719.46119587671501</v>
      </c>
      <c r="P231" s="555">
        <f t="shared" si="75"/>
        <v>41.417029465537894</v>
      </c>
      <c r="Q231" s="555">
        <f>SUM(Q229:Q230)</f>
        <v>206.79980542579415</v>
      </c>
      <c r="R231" s="538"/>
      <c r="S231" s="555">
        <f t="shared" ref="S231:X231" si="76">SUM(S229:S230)</f>
        <v>0</v>
      </c>
      <c r="T231" s="555">
        <f t="shared" si="76"/>
        <v>367.27241531614288</v>
      </c>
      <c r="U231" s="555">
        <f t="shared" si="76"/>
        <v>0</v>
      </c>
      <c r="V231" s="555">
        <f t="shared" si="76"/>
        <v>28.593592478194282</v>
      </c>
      <c r="W231" s="555">
        <f t="shared" si="76"/>
        <v>788.47250412307449</v>
      </c>
      <c r="X231" s="555">
        <f t="shared" si="76"/>
        <v>36.991858094020145</v>
      </c>
      <c r="Y231" s="564"/>
      <c r="Z231" s="619">
        <f>SUM(Z229:Z230)</f>
        <v>1428.1301754372259</v>
      </c>
      <c r="AA231" s="639">
        <f>Z231/G231*100</f>
        <v>0.44179851668631831</v>
      </c>
      <c r="AB231" s="555">
        <f>SUM(AB229:AB230)</f>
        <v>-220.79836774324281</v>
      </c>
      <c r="AC231" s="558">
        <f>AA231/I231-1</f>
        <v>-0.13390414560801078</v>
      </c>
      <c r="AD231" s="559"/>
      <c r="AF231" s="543"/>
      <c r="AI231" s="543"/>
      <c r="AK231" s="543"/>
      <c r="AM231" s="560"/>
    </row>
    <row r="232" spans="1:39">
      <c r="A232" s="6"/>
      <c r="B232" s="58"/>
      <c r="C232" s="10"/>
      <c r="D232" s="58"/>
      <c r="E232" s="30"/>
      <c r="F232" s="58"/>
      <c r="G232" s="29"/>
      <c r="H232" s="58"/>
      <c r="I232" s="58"/>
      <c r="J232" s="58"/>
      <c r="K232" s="58"/>
      <c r="L232" s="501"/>
      <c r="M232" s="501"/>
      <c r="N232" s="501"/>
      <c r="O232" s="501"/>
      <c r="P232" s="501"/>
      <c r="Q232" s="501"/>
      <c r="R232" s="58"/>
      <c r="S232" s="58"/>
      <c r="T232" s="501"/>
      <c r="U232" s="501"/>
      <c r="V232" s="501"/>
      <c r="W232" s="501"/>
      <c r="X232" s="501"/>
      <c r="Y232" s="58"/>
      <c r="Z232" s="58"/>
      <c r="AA232" s="58"/>
      <c r="AB232" s="501"/>
      <c r="AC232" s="501"/>
      <c r="AF232" s="543"/>
      <c r="AI232" s="543"/>
      <c r="AK232" s="543"/>
      <c r="AM232" s="560"/>
    </row>
    <row r="233" spans="1:39">
      <c r="A233" s="6">
        <f>MAX(A$225:A232)+1</f>
        <v>105</v>
      </c>
      <c r="B233" s="58"/>
      <c r="C233" s="10" t="s">
        <v>294</v>
      </c>
      <c r="D233" s="58"/>
      <c r="E233" s="30"/>
      <c r="F233" s="58"/>
      <c r="G233" s="29">
        <v>3542.5066082191779</v>
      </c>
      <c r="H233" s="58"/>
      <c r="I233" s="620">
        <v>-110</v>
      </c>
      <c r="J233" s="621">
        <f>G233*I233/100</f>
        <v>-3896.7572690410957</v>
      </c>
      <c r="K233" s="58"/>
      <c r="L233" s="538">
        <v>0</v>
      </c>
      <c r="M233" s="538">
        <v>0</v>
      </c>
      <c r="N233" s="538">
        <v>0</v>
      </c>
      <c r="O233" s="538">
        <v>0</v>
      </c>
      <c r="P233" s="538">
        <v>0</v>
      </c>
      <c r="Q233" s="538">
        <f>J233-L233-M233-N233-O233-P233</f>
        <v>-3896.7572690410957</v>
      </c>
      <c r="R233" s="564"/>
      <c r="S233" s="564">
        <v>0</v>
      </c>
      <c r="T233" s="538">
        <v>0</v>
      </c>
      <c r="U233" s="538">
        <v>0</v>
      </c>
      <c r="V233" s="538">
        <v>0</v>
      </c>
      <c r="W233" s="538">
        <v>0</v>
      </c>
      <c r="X233" s="538">
        <v>0</v>
      </c>
      <c r="Y233" s="564"/>
      <c r="Z233" s="564">
        <f>Q233+S233+T233+U233+V233+W233+X233</f>
        <v>-3896.7572690410957</v>
      </c>
      <c r="AA233" s="565">
        <f>Z233/G233*100</f>
        <v>-110.00000000000001</v>
      </c>
      <c r="AB233" s="538">
        <v>0</v>
      </c>
      <c r="AC233" s="538"/>
      <c r="AD233" s="563"/>
      <c r="AF233" s="543"/>
      <c r="AI233" s="543"/>
      <c r="AK233" s="543"/>
      <c r="AM233" s="560"/>
    </row>
    <row r="234" spans="1:39">
      <c r="A234" s="6"/>
      <c r="B234" s="58"/>
      <c r="C234" s="10"/>
      <c r="D234" s="58"/>
      <c r="E234" s="30"/>
      <c r="F234" s="58"/>
      <c r="G234" s="132"/>
      <c r="H234" s="58"/>
      <c r="I234" s="58"/>
      <c r="J234" s="58"/>
      <c r="K234" s="58"/>
      <c r="L234" s="622"/>
      <c r="M234" s="622"/>
      <c r="N234" s="622"/>
      <c r="O234" s="622"/>
      <c r="P234" s="622"/>
      <c r="Q234" s="622"/>
      <c r="R234" s="58"/>
      <c r="S234" s="640"/>
      <c r="T234" s="622"/>
      <c r="U234" s="622"/>
      <c r="V234" s="622"/>
      <c r="W234" s="622"/>
      <c r="X234" s="622"/>
      <c r="Y234" s="58"/>
      <c r="Z234" s="58"/>
      <c r="AA234" s="58"/>
      <c r="AB234" s="501"/>
      <c r="AC234" s="501"/>
      <c r="AF234" s="543"/>
      <c r="AI234" s="543"/>
      <c r="AK234" s="543"/>
      <c r="AM234" s="560"/>
    </row>
    <row r="235" spans="1:39">
      <c r="A235" s="6">
        <f>MAX(A$225:A234)+1</f>
        <v>106</v>
      </c>
      <c r="B235" s="58"/>
      <c r="C235" s="10" t="s">
        <v>266</v>
      </c>
      <c r="D235" s="58"/>
      <c r="E235" s="30"/>
      <c r="F235" s="58"/>
      <c r="G235" s="131">
        <f>G231</f>
        <v>323253.728</v>
      </c>
      <c r="H235" s="3"/>
      <c r="I235" s="641">
        <f>J235/G235*100</f>
        <v>-0.24040303589975678</v>
      </c>
      <c r="J235" s="636">
        <f>J226+J227+J231+J233</f>
        <v>-777.11177577114222</v>
      </c>
      <c r="K235" s="642"/>
      <c r="L235" s="636">
        <f t="shared" ref="L235:P235" si="77">L226+L227+L231+L233</f>
        <v>2367.9615555349337</v>
      </c>
      <c r="M235" s="131">
        <f t="shared" si="77"/>
        <v>0</v>
      </c>
      <c r="N235" s="636">
        <f t="shared" si="77"/>
        <v>34.191490404322586</v>
      </c>
      <c r="O235" s="636">
        <f t="shared" si="77"/>
        <v>719.46119587671501</v>
      </c>
      <c r="P235" s="636">
        <f t="shared" si="77"/>
        <v>41.417029465537894</v>
      </c>
      <c r="Q235" s="636">
        <f>Q226+Q227+Q231+Q233</f>
        <v>-2219.2405135258168</v>
      </c>
      <c r="R235" s="642"/>
      <c r="S235" s="636">
        <f t="shared" ref="S235:Z235" si="78">S226+S227+S231+S233</f>
        <v>40.187762079726326</v>
      </c>
      <c r="T235" s="636">
        <f t="shared" si="78"/>
        <v>367.27241531614288</v>
      </c>
      <c r="U235" s="131">
        <f t="shared" si="78"/>
        <v>0</v>
      </c>
      <c r="V235" s="636">
        <f t="shared" si="78"/>
        <v>28.593592478194282</v>
      </c>
      <c r="W235" s="636">
        <f t="shared" si="78"/>
        <v>788.47250412307449</v>
      </c>
      <c r="X235" s="636">
        <f t="shared" si="78"/>
        <v>36.991858094020145</v>
      </c>
      <c r="Y235" s="642"/>
      <c r="Z235" s="636">
        <f t="shared" si="78"/>
        <v>-957.72238143465893</v>
      </c>
      <c r="AA235" s="641">
        <f>Z235/G235*100</f>
        <v>-0.29627574208043134</v>
      </c>
      <c r="AB235" s="636">
        <f>AB226+AB227+AB231</f>
        <v>-180.61060566351648</v>
      </c>
      <c r="AC235" s="558">
        <f>AA235/I235-1</f>
        <v>0.23241264808308149</v>
      </c>
      <c r="AD235" s="559"/>
      <c r="AF235" s="543"/>
      <c r="AI235" s="543"/>
      <c r="AK235" s="543"/>
      <c r="AM235" s="560"/>
    </row>
    <row r="236" spans="1:39">
      <c r="A236" s="6"/>
      <c r="B236" s="58"/>
      <c r="C236" s="10"/>
      <c r="D236" s="58"/>
      <c r="E236" s="30"/>
      <c r="F236" s="58"/>
      <c r="G236" s="29"/>
      <c r="H236" s="58"/>
      <c r="I236" s="58"/>
      <c r="J236" s="58"/>
      <c r="K236" s="58"/>
      <c r="L236" s="501"/>
      <c r="M236" s="501"/>
      <c r="N236" s="501"/>
      <c r="O236" s="501"/>
      <c r="P236" s="501"/>
      <c r="Q236" s="501"/>
      <c r="R236" s="58"/>
      <c r="S236" s="640"/>
      <c r="T236" s="622"/>
      <c r="U236" s="622"/>
      <c r="V236" s="622"/>
      <c r="W236" s="622"/>
      <c r="X236" s="622"/>
      <c r="Y236" s="58"/>
      <c r="Z236" s="58"/>
      <c r="AA236" s="58"/>
      <c r="AB236" s="501"/>
      <c r="AC236" s="501"/>
      <c r="AF236" s="543"/>
      <c r="AI236" s="543"/>
      <c r="AK236" s="543"/>
      <c r="AM236" s="560"/>
    </row>
    <row r="237" spans="1:39">
      <c r="A237" s="6">
        <f>MAX(A$225:A236)+1</f>
        <v>107</v>
      </c>
      <c r="B237" s="58"/>
      <c r="C237" s="12" t="s">
        <v>267</v>
      </c>
      <c r="D237" s="58"/>
      <c r="E237" s="574" t="s">
        <v>262</v>
      </c>
      <c r="F237" s="58"/>
      <c r="G237" s="29">
        <v>323253.728</v>
      </c>
      <c r="H237" s="58"/>
      <c r="I237" s="547">
        <v>0.24646816740977195</v>
      </c>
      <c r="J237" s="539">
        <f>G237*I237/100</f>
        <v>796.71753948536889</v>
      </c>
      <c r="K237" s="58"/>
      <c r="L237" s="538">
        <v>0</v>
      </c>
      <c r="M237" s="643">
        <v>215.84879949943192</v>
      </c>
      <c r="N237" s="538">
        <v>0</v>
      </c>
      <c r="O237" s="538">
        <v>0</v>
      </c>
      <c r="P237" s="538">
        <v>0</v>
      </c>
      <c r="Q237" s="622">
        <f>J237-L237-M237-N237-O237-P237</f>
        <v>580.86873998593694</v>
      </c>
      <c r="R237" s="640"/>
      <c r="S237" s="29">
        <v>6.330059934936088</v>
      </c>
      <c r="T237" s="538">
        <v>0</v>
      </c>
      <c r="U237" s="29">
        <v>215.10163690170319</v>
      </c>
      <c r="V237" s="538">
        <v>0</v>
      </c>
      <c r="W237" s="538">
        <v>0</v>
      </c>
      <c r="X237" s="538">
        <v>0</v>
      </c>
      <c r="Y237" s="58"/>
      <c r="Z237" s="640">
        <f>Q237+S237+T237+U237+V237+W237+X237</f>
        <v>802.30043682257622</v>
      </c>
      <c r="AA237" s="565">
        <f>Z237/G237*100</f>
        <v>0.24819526190354599</v>
      </c>
      <c r="AB237" s="549">
        <f>Z237-J237</f>
        <v>5.5828973372073278</v>
      </c>
      <c r="AC237" s="559">
        <f>AA237/I237-1</f>
        <v>7.007373454855248E-3</v>
      </c>
      <c r="AD237" s="559"/>
      <c r="AF237" s="543"/>
      <c r="AI237" s="543"/>
      <c r="AK237" s="543"/>
      <c r="AM237" s="560"/>
    </row>
    <row r="238" spans="1:39">
      <c r="A238" s="6"/>
      <c r="B238" s="58"/>
      <c r="C238" s="12"/>
      <c r="D238" s="58"/>
      <c r="E238" s="574"/>
      <c r="F238" s="58"/>
      <c r="G238" s="29"/>
      <c r="H238" s="58"/>
      <c r="I238" s="547"/>
      <c r="J238" s="539"/>
      <c r="K238" s="58"/>
      <c r="L238" s="622"/>
      <c r="M238" s="643"/>
      <c r="N238" s="622"/>
      <c r="O238" s="622"/>
      <c r="P238" s="622"/>
      <c r="Q238" s="622"/>
      <c r="R238" s="640"/>
      <c r="S238" s="29"/>
      <c r="T238" s="622"/>
      <c r="U238" s="29"/>
      <c r="V238" s="622"/>
      <c r="W238" s="622"/>
      <c r="X238" s="622"/>
      <c r="Y238" s="58"/>
      <c r="Z238" s="640"/>
      <c r="AA238" s="548"/>
      <c r="AB238" s="549"/>
      <c r="AC238" s="559"/>
      <c r="AD238" s="559"/>
      <c r="AF238" s="543"/>
      <c r="AI238" s="543"/>
      <c r="AK238" s="543"/>
      <c r="AM238" s="560"/>
    </row>
    <row r="239" spans="1:39">
      <c r="A239" s="6"/>
      <c r="B239" s="58"/>
      <c r="C239" s="10" t="s">
        <v>268</v>
      </c>
      <c r="D239" s="58"/>
      <c r="E239" s="574"/>
      <c r="F239" s="58"/>
      <c r="G239" s="29"/>
      <c r="H239" s="58"/>
      <c r="I239" s="547"/>
      <c r="J239" s="539"/>
      <c r="K239" s="58"/>
      <c r="L239" s="622"/>
      <c r="M239" s="643"/>
      <c r="N239" s="622"/>
      <c r="O239" s="622"/>
      <c r="P239" s="622"/>
      <c r="Q239" s="622"/>
      <c r="R239" s="640"/>
      <c r="S239" s="29"/>
      <c r="T239" s="622"/>
      <c r="U239" s="29"/>
      <c r="V239" s="622"/>
      <c r="W239" s="622"/>
      <c r="X239" s="622"/>
      <c r="Y239" s="58"/>
      <c r="Z239" s="640"/>
      <c r="AA239" s="548"/>
      <c r="AB239" s="549"/>
      <c r="AC239" s="559"/>
      <c r="AD239" s="559"/>
      <c r="AF239" s="543"/>
      <c r="AI239" s="543"/>
      <c r="AK239" s="543"/>
      <c r="AM239" s="560"/>
    </row>
    <row r="240" spans="1:39">
      <c r="A240" s="6">
        <f>MAX(A$225:A239)+1</f>
        <v>108</v>
      </c>
      <c r="B240" s="58"/>
      <c r="C240" s="12" t="s">
        <v>268</v>
      </c>
      <c r="D240" s="58"/>
      <c r="E240" s="574" t="s">
        <v>262</v>
      </c>
      <c r="F240" s="58"/>
      <c r="G240" s="29">
        <v>5360.2020000000002</v>
      </c>
      <c r="H240" s="58"/>
      <c r="I240" s="547">
        <v>3.9267445962601735</v>
      </c>
      <c r="J240" s="539">
        <f t="shared" ref="J240:J244" si="79">G240*I240/100</f>
        <v>210.48144238362977</v>
      </c>
      <c r="K240" s="58"/>
      <c r="L240" s="538">
        <v>0</v>
      </c>
      <c r="M240" s="538">
        <v>0</v>
      </c>
      <c r="N240" s="538">
        <v>0</v>
      </c>
      <c r="O240" s="538">
        <v>0</v>
      </c>
      <c r="P240" s="538">
        <v>0</v>
      </c>
      <c r="Q240" s="622">
        <f>J240-L240-M240-N240-O240-P240</f>
        <v>210.48144238362977</v>
      </c>
      <c r="R240" s="640"/>
      <c r="S240" s="29">
        <v>0.11022371163648703</v>
      </c>
      <c r="T240" s="538">
        <v>0</v>
      </c>
      <c r="U240" s="538">
        <v>0</v>
      </c>
      <c r="V240" s="538">
        <v>0</v>
      </c>
      <c r="W240" s="538">
        <v>0</v>
      </c>
      <c r="X240" s="538">
        <v>0</v>
      </c>
      <c r="Y240" s="58"/>
      <c r="Z240" s="640">
        <f>Q240+S240+T240+U240+V240+W240+X240</f>
        <v>210.59166609526625</v>
      </c>
      <c r="AA240" s="565">
        <f>Z240/G240*100</f>
        <v>3.9288009312944969</v>
      </c>
      <c r="AB240" s="549">
        <f>Z240-J240</f>
        <v>0.11022371163647904</v>
      </c>
      <c r="AC240" s="541"/>
      <c r="AD240" s="542"/>
      <c r="AF240" s="543"/>
      <c r="AI240" s="543"/>
      <c r="AK240" s="543"/>
      <c r="AM240" s="560"/>
    </row>
    <row r="241" spans="1:39">
      <c r="A241" s="6">
        <f>MAX(A$225:A240)+1</f>
        <v>109</v>
      </c>
      <c r="C241" s="12" t="s">
        <v>269</v>
      </c>
      <c r="E241" s="574" t="s">
        <v>262</v>
      </c>
      <c r="G241" s="29">
        <v>108433.382</v>
      </c>
      <c r="I241" s="547">
        <v>0.96972043047287659</v>
      </c>
      <c r="J241" s="539">
        <f t="shared" si="79"/>
        <v>1051.5006587066987</v>
      </c>
      <c r="L241" s="538">
        <v>0</v>
      </c>
      <c r="M241" s="538">
        <v>0</v>
      </c>
      <c r="N241" s="538">
        <v>0</v>
      </c>
      <c r="O241" s="538">
        <v>0</v>
      </c>
      <c r="P241" s="538">
        <v>0</v>
      </c>
      <c r="Q241" s="622">
        <f>J241-L241-M241-N241-O241-P241</f>
        <v>1051.5006587066987</v>
      </c>
      <c r="R241" s="644"/>
      <c r="S241" s="29">
        <v>17.712561060035569</v>
      </c>
      <c r="T241" s="538">
        <v>0</v>
      </c>
      <c r="U241" s="538">
        <v>0</v>
      </c>
      <c r="V241" s="538">
        <v>0</v>
      </c>
      <c r="W241" s="538">
        <v>0</v>
      </c>
      <c r="X241" s="538">
        <v>0</v>
      </c>
      <c r="Z241" s="640">
        <f>Q241+S241+T241+U241+V241+W241+X241</f>
        <v>1069.2132197667343</v>
      </c>
      <c r="AA241" s="565">
        <f>Z241/G241*100</f>
        <v>0.98605540106342371</v>
      </c>
      <c r="AB241" s="549">
        <f>Z241-J241</f>
        <v>17.712561060035569</v>
      </c>
      <c r="AC241" s="541"/>
      <c r="AD241" s="542"/>
      <c r="AF241" s="543"/>
      <c r="AI241" s="543"/>
      <c r="AK241" s="543"/>
      <c r="AM241" s="560"/>
    </row>
    <row r="242" spans="1:39">
      <c r="A242" s="6">
        <f>MAX(A$225:A241)+1</f>
        <v>110</v>
      </c>
      <c r="C242" s="10" t="s">
        <v>268</v>
      </c>
      <c r="E242" s="574"/>
      <c r="G242" s="411">
        <f>SUM(G240:G241)</f>
        <v>113793.584</v>
      </c>
      <c r="I242" s="566">
        <f>J242/G242*100</f>
        <v>1.109009890303067</v>
      </c>
      <c r="J242" s="554">
        <f>SUM(J240:J241)</f>
        <v>1261.9821010903283</v>
      </c>
      <c r="K242" s="539"/>
      <c r="L242" s="619">
        <f>SUM(L240:L241)</f>
        <v>0</v>
      </c>
      <c r="M242" s="619">
        <f t="shared" ref="M242:X242" si="80">SUM(M240:M241)</f>
        <v>0</v>
      </c>
      <c r="N242" s="619">
        <f t="shared" si="80"/>
        <v>0</v>
      </c>
      <c r="O242" s="619">
        <f t="shared" si="80"/>
        <v>0</v>
      </c>
      <c r="P242" s="619">
        <f t="shared" si="80"/>
        <v>0</v>
      </c>
      <c r="Q242" s="619">
        <f>SUM(Q240:Q241)</f>
        <v>1261.9821010903283</v>
      </c>
      <c r="R242" s="539"/>
      <c r="S242" s="411">
        <f>SUM(S240:S241)</f>
        <v>17.822784771672055</v>
      </c>
      <c r="T242" s="619">
        <f t="shared" si="80"/>
        <v>0</v>
      </c>
      <c r="U242" s="619">
        <f t="shared" si="80"/>
        <v>0</v>
      </c>
      <c r="V242" s="619">
        <f t="shared" si="80"/>
        <v>0</v>
      </c>
      <c r="W242" s="619">
        <f t="shared" si="80"/>
        <v>0</v>
      </c>
      <c r="X242" s="619">
        <f t="shared" si="80"/>
        <v>0</v>
      </c>
      <c r="Y242" s="539"/>
      <c r="Z242" s="645">
        <f>SUM(Z240:Z241)</f>
        <v>1279.8048858620004</v>
      </c>
      <c r="AA242" s="592">
        <f>Z242/G242*100</f>
        <v>1.1246722713839477</v>
      </c>
      <c r="AB242" s="557">
        <f t="shared" ref="AB242" si="81">Z242-J242</f>
        <v>17.822784771672104</v>
      </c>
      <c r="AC242" s="562">
        <f>AA242/I242-1</f>
        <v>1.4122850677734222E-2</v>
      </c>
      <c r="AD242" s="542"/>
      <c r="AF242" s="543"/>
      <c r="AI242" s="543"/>
      <c r="AK242" s="543"/>
      <c r="AM242" s="560"/>
    </row>
    <row r="243" spans="1:39">
      <c r="A243" s="6"/>
      <c r="B243" s="58"/>
      <c r="D243" s="58"/>
      <c r="E243" s="30"/>
      <c r="F243" s="58"/>
      <c r="G243" s="29"/>
      <c r="H243" s="58"/>
      <c r="I243" s="547"/>
      <c r="J243" s="539"/>
      <c r="K243" s="58"/>
      <c r="L243" s="622"/>
      <c r="M243" s="622"/>
      <c r="N243" s="622"/>
      <c r="O243" s="622"/>
      <c r="P243" s="622"/>
      <c r="Q243" s="622"/>
      <c r="R243" s="640"/>
      <c r="S243" s="29"/>
      <c r="T243" s="622"/>
      <c r="U243" s="622"/>
      <c r="V243" s="622"/>
      <c r="W243" s="622"/>
      <c r="X243" s="622"/>
      <c r="Y243" s="58"/>
      <c r="Z243" s="640"/>
      <c r="AA243" s="548"/>
      <c r="AB243" s="534"/>
      <c r="AC243" s="541"/>
      <c r="AD243" s="542"/>
      <c r="AF243" s="543"/>
      <c r="AI243" s="543"/>
      <c r="AK243" s="543"/>
      <c r="AM243" s="560"/>
    </row>
    <row r="244" spans="1:39">
      <c r="A244" s="6">
        <f>MAX(A$225:A243)+1</f>
        <v>111</v>
      </c>
      <c r="B244" s="58"/>
      <c r="C244" s="10" t="s">
        <v>270</v>
      </c>
      <c r="D244" s="58"/>
      <c r="E244" s="574" t="s">
        <v>262</v>
      </c>
      <c r="F244" s="58"/>
      <c r="G244" s="29">
        <v>5360.2020000000002</v>
      </c>
      <c r="H244" s="58"/>
      <c r="I244" s="547">
        <v>18.339431198808857</v>
      </c>
      <c r="J244" s="539">
        <f t="shared" si="79"/>
        <v>983.03055790717644</v>
      </c>
      <c r="K244" s="58"/>
      <c r="L244" s="538">
        <v>0</v>
      </c>
      <c r="M244" s="538">
        <v>0</v>
      </c>
      <c r="N244" s="538">
        <v>0</v>
      </c>
      <c r="O244" s="538">
        <v>0</v>
      </c>
      <c r="P244" s="538">
        <v>0</v>
      </c>
      <c r="Q244" s="622">
        <f>J244-L244-M244-N244-O244-P244</f>
        <v>983.03055790717644</v>
      </c>
      <c r="R244" s="640"/>
      <c r="S244" s="29">
        <v>6.8725298248608624E-2</v>
      </c>
      <c r="T244" s="538">
        <v>0</v>
      </c>
      <c r="U244" s="538">
        <v>0</v>
      </c>
      <c r="V244" s="538">
        <v>0</v>
      </c>
      <c r="W244" s="538">
        <v>0</v>
      </c>
      <c r="X244" s="538">
        <v>0</v>
      </c>
      <c r="Y244" s="58"/>
      <c r="Z244" s="640">
        <f>Q244+S244+T244+U244+V244+W244+X244</f>
        <v>983.09928320542508</v>
      </c>
      <c r="AA244" s="565">
        <f>Z244/G244*100</f>
        <v>18.340713338889561</v>
      </c>
      <c r="AB244" s="549">
        <f>Z244-J244</f>
        <v>6.8725298248637046E-2</v>
      </c>
      <c r="AC244" s="541">
        <f>AA244/I244-1</f>
        <v>6.99116601166061E-5</v>
      </c>
      <c r="AD244" s="542"/>
      <c r="AF244" s="543"/>
      <c r="AI244" s="543"/>
      <c r="AK244" s="543"/>
      <c r="AM244" s="560"/>
    </row>
    <row r="245" spans="1:39">
      <c r="A245" s="6"/>
      <c r="B245" s="58"/>
      <c r="C245" s="10"/>
      <c r="D245" s="58"/>
      <c r="E245" s="574"/>
      <c r="F245" s="58"/>
      <c r="G245" s="29"/>
      <c r="H245" s="58"/>
      <c r="I245" s="58"/>
      <c r="J245" s="539"/>
      <c r="K245" s="58"/>
      <c r="L245" s="622"/>
      <c r="M245" s="622"/>
      <c r="N245" s="622"/>
      <c r="O245" s="622"/>
      <c r="P245" s="622"/>
      <c r="Q245" s="622"/>
      <c r="R245" s="640"/>
      <c r="S245" s="640"/>
      <c r="T245" s="622"/>
      <c r="U245" s="622"/>
      <c r="V245" s="622"/>
      <c r="W245" s="622"/>
      <c r="X245" s="622"/>
      <c r="Y245" s="58"/>
      <c r="Z245" s="58"/>
      <c r="AA245" s="548"/>
      <c r="AB245" s="501"/>
      <c r="AC245" s="541"/>
      <c r="AD245" s="542"/>
      <c r="AF245" s="543"/>
      <c r="AI245" s="543"/>
      <c r="AK245" s="543"/>
      <c r="AM245" s="560"/>
    </row>
    <row r="246" spans="1:39" ht="12.95" thickBot="1">
      <c r="A246" s="6">
        <f>MAX(A$225:A245)+1</f>
        <v>112</v>
      </c>
      <c r="B246" s="58"/>
      <c r="C246" s="10" t="s">
        <v>299</v>
      </c>
      <c r="D246" s="58"/>
      <c r="E246" s="574"/>
      <c r="F246" s="58"/>
      <c r="G246" s="589">
        <f>G235</f>
        <v>323253.728</v>
      </c>
      <c r="H246" s="58"/>
      <c r="I246" s="572">
        <f>J246/G246*100</f>
        <v>0.70056993208496932</v>
      </c>
      <c r="J246" s="627">
        <f>J235+J237+J242+J244</f>
        <v>2264.6184227117315</v>
      </c>
      <c r="K246" s="539"/>
      <c r="L246" s="638">
        <f t="shared" ref="L246:Q246" si="82">L235+L237+L242+L244</f>
        <v>2367.9615555349337</v>
      </c>
      <c r="M246" s="638">
        <f t="shared" si="82"/>
        <v>215.84879949943192</v>
      </c>
      <c r="N246" s="638">
        <f t="shared" si="82"/>
        <v>34.191490404322586</v>
      </c>
      <c r="O246" s="638">
        <f t="shared" si="82"/>
        <v>719.46119587671501</v>
      </c>
      <c r="P246" s="638">
        <f t="shared" si="82"/>
        <v>41.417029465537894</v>
      </c>
      <c r="Q246" s="638">
        <f t="shared" si="82"/>
        <v>606.64088545762479</v>
      </c>
      <c r="R246" s="621"/>
      <c r="S246" s="638">
        <f>S235+S237+S242+S244</f>
        <v>64.40933208458307</v>
      </c>
      <c r="T246" s="638">
        <f t="shared" ref="T246:X246" si="83">T235+T237+T242+T244</f>
        <v>367.27241531614288</v>
      </c>
      <c r="U246" s="638">
        <f t="shared" si="83"/>
        <v>215.10163690170319</v>
      </c>
      <c r="V246" s="638">
        <f t="shared" si="83"/>
        <v>28.593592478194282</v>
      </c>
      <c r="W246" s="638">
        <f t="shared" si="83"/>
        <v>788.47250412307449</v>
      </c>
      <c r="X246" s="638">
        <f t="shared" si="83"/>
        <v>36.991858094020145</v>
      </c>
      <c r="Y246" s="621"/>
      <c r="Z246" s="638">
        <f>Q246+S246+T246+U246+V246+W246+X246</f>
        <v>2107.4822244553429</v>
      </c>
      <c r="AA246" s="590">
        <f>Z246/G246*100</f>
        <v>0.65195913980467479</v>
      </c>
      <c r="AB246" s="638">
        <f>AB235+AB237+AB242+AB244</f>
        <v>-157.13619825638841</v>
      </c>
      <c r="AC246" s="602">
        <f>AA246/I246-1</f>
        <v>-6.9387494458438614E-2</v>
      </c>
      <c r="AD246" s="559"/>
      <c r="AF246" s="543"/>
      <c r="AI246" s="543"/>
      <c r="AK246" s="543"/>
      <c r="AM246" s="560"/>
    </row>
    <row r="247" spans="1:39" ht="12.95" thickTop="1">
      <c r="A247" s="6"/>
      <c r="B247" s="58"/>
      <c r="C247" s="12"/>
      <c r="D247" s="58"/>
      <c r="E247" s="574"/>
      <c r="F247" s="58"/>
      <c r="G247" s="29"/>
      <c r="H247" s="58"/>
      <c r="I247" s="58"/>
      <c r="J247" s="58"/>
      <c r="K247" s="58"/>
      <c r="L247" s="501"/>
      <c r="M247" s="501"/>
      <c r="N247" s="501"/>
      <c r="O247" s="501"/>
      <c r="P247" s="501"/>
      <c r="Q247" s="501"/>
      <c r="R247" s="58"/>
      <c r="S247" s="58"/>
      <c r="T247" s="501"/>
      <c r="U247" s="501"/>
      <c r="V247" s="501"/>
      <c r="W247" s="501"/>
      <c r="X247" s="501"/>
      <c r="Y247" s="58"/>
      <c r="Z247" s="58"/>
      <c r="AA247" s="58"/>
      <c r="AB247" s="549"/>
      <c r="AC247" s="501"/>
    </row>
    <row r="248" spans="1:39">
      <c r="A248" s="6"/>
      <c r="B248" s="58"/>
      <c r="C248" s="9" t="s">
        <v>136</v>
      </c>
      <c r="D248" s="58"/>
      <c r="E248" s="30"/>
      <c r="F248" s="58"/>
      <c r="G248" s="132"/>
      <c r="H248" s="58"/>
      <c r="I248" s="58"/>
      <c r="J248" s="58"/>
      <c r="K248" s="58"/>
      <c r="L248" s="501"/>
      <c r="M248" s="501"/>
      <c r="N248" s="501"/>
      <c r="O248" s="501"/>
      <c r="P248" s="501"/>
      <c r="Q248" s="501"/>
      <c r="R248" s="58"/>
      <c r="S248" s="58"/>
      <c r="T248" s="501"/>
      <c r="U248" s="501"/>
      <c r="V248" s="501"/>
      <c r="W248" s="501"/>
      <c r="X248" s="501"/>
      <c r="Y248" s="58"/>
      <c r="Z248" s="58"/>
      <c r="AA248" s="58"/>
      <c r="AB248" s="501"/>
      <c r="AC248" s="501"/>
    </row>
    <row r="249" spans="1:39">
      <c r="A249" s="6">
        <f>MAX(A$225:A248)+1</f>
        <v>113</v>
      </c>
      <c r="C249" s="10" t="s">
        <v>258</v>
      </c>
      <c r="E249" s="30" t="s">
        <v>259</v>
      </c>
      <c r="G249" s="29">
        <v>12</v>
      </c>
      <c r="I249" s="646">
        <v>0</v>
      </c>
      <c r="J249" s="647">
        <f>G249*I249/1000</f>
        <v>0</v>
      </c>
      <c r="L249" s="576">
        <v>0</v>
      </c>
      <c r="M249" s="576">
        <v>0</v>
      </c>
      <c r="N249" s="576">
        <v>0</v>
      </c>
      <c r="O249" s="576">
        <v>0</v>
      </c>
      <c r="P249" s="576">
        <v>0</v>
      </c>
      <c r="Q249" s="130">
        <f>J249-L249-M249-N249-O249-P249</f>
        <v>0</v>
      </c>
      <c r="R249" s="64"/>
      <c r="S249" s="29">
        <v>0</v>
      </c>
      <c r="T249" s="538">
        <v>0</v>
      </c>
      <c r="U249" s="538">
        <v>0</v>
      </c>
      <c r="V249" s="538">
        <v>0</v>
      </c>
      <c r="W249" s="538">
        <v>0</v>
      </c>
      <c r="X249" s="538">
        <v>0</v>
      </c>
      <c r="Y249" s="64"/>
      <c r="Z249" s="64">
        <f>Q249+S249+T249+U249+V249+W249+X249</f>
        <v>0</v>
      </c>
      <c r="AA249" s="644">
        <f>Z249/G249*1000</f>
        <v>0</v>
      </c>
      <c r="AB249" s="538">
        <f>Z249-J249</f>
        <v>0</v>
      </c>
      <c r="AC249" s="599"/>
      <c r="AD249" s="600"/>
      <c r="AF249" s="543"/>
      <c r="AI249" s="543"/>
      <c r="AK249" s="543"/>
      <c r="AM249" s="560"/>
    </row>
    <row r="250" spans="1:39">
      <c r="A250" s="6">
        <f>MAX(A$225:A249)+1</f>
        <v>114</v>
      </c>
      <c r="B250" s="58"/>
      <c r="C250" s="521" t="s">
        <v>280</v>
      </c>
      <c r="D250" s="58"/>
      <c r="E250" s="30" t="s">
        <v>281</v>
      </c>
      <c r="F250" s="58"/>
      <c r="G250" s="29">
        <v>15025.2</v>
      </c>
      <c r="H250" s="58"/>
      <c r="I250" s="547">
        <v>16.259208437643476</v>
      </c>
      <c r="J250" s="539">
        <f>G250*I250/100</f>
        <v>2442.9785861728078</v>
      </c>
      <c r="K250" s="58"/>
      <c r="L250" s="576">
        <v>0</v>
      </c>
      <c r="M250" s="576">
        <v>0</v>
      </c>
      <c r="N250" s="576">
        <v>0</v>
      </c>
      <c r="O250" s="576">
        <v>0</v>
      </c>
      <c r="P250" s="576">
        <v>0</v>
      </c>
      <c r="Q250" s="130">
        <f>J250-L250-M250-N250-O250-P250</f>
        <v>2442.9785861728078</v>
      </c>
      <c r="R250" s="564"/>
      <c r="S250" s="29">
        <v>66.755089877086903</v>
      </c>
      <c r="T250" s="538">
        <v>0</v>
      </c>
      <c r="U250" s="538">
        <v>0</v>
      </c>
      <c r="V250" s="538">
        <v>0</v>
      </c>
      <c r="W250" s="538">
        <v>0</v>
      </c>
      <c r="X250" s="538">
        <v>0</v>
      </c>
      <c r="Y250" s="564"/>
      <c r="Z250" s="64">
        <f>Q250+S250+T250+U250+V250+W250+X250</f>
        <v>2509.7336760498947</v>
      </c>
      <c r="AA250" s="648">
        <f>Z250/G250*100</f>
        <v>16.703495967107891</v>
      </c>
      <c r="AB250" s="538">
        <f>Z250-J250</f>
        <v>66.755089877086903</v>
      </c>
      <c r="AC250" s="541">
        <f>AA250/I250-1</f>
        <v>2.7325286539521487E-2</v>
      </c>
      <c r="AD250" s="542"/>
      <c r="AF250" s="543"/>
      <c r="AI250" s="543"/>
      <c r="AK250" s="543"/>
      <c r="AM250" s="560"/>
    </row>
    <row r="251" spans="1:39">
      <c r="A251" s="6">
        <f>MAX(A$225:A250)+1</f>
        <v>115</v>
      </c>
      <c r="B251" s="58"/>
      <c r="C251" s="521" t="s">
        <v>260</v>
      </c>
      <c r="D251" s="58"/>
      <c r="E251" s="30" t="s">
        <v>262</v>
      </c>
      <c r="F251" s="58"/>
      <c r="G251" s="29">
        <v>188852.1</v>
      </c>
      <c r="H251" s="58"/>
      <c r="I251" s="547">
        <v>1.3602427937070853</v>
      </c>
      <c r="J251" s="539">
        <f t="shared" ref="J251:J253" si="84">G251*I251/100</f>
        <v>2568.8470810144986</v>
      </c>
      <c r="K251" s="58"/>
      <c r="L251" s="29">
        <v>40.750410090988815</v>
      </c>
      <c r="M251" s="29">
        <v>0</v>
      </c>
      <c r="N251" s="29">
        <v>19.975437885703734</v>
      </c>
      <c r="O251" s="29">
        <v>484.16838165175238</v>
      </c>
      <c r="P251" s="29">
        <v>150.91966472771608</v>
      </c>
      <c r="Q251" s="130">
        <f>J251-L251-M251-N251-O251-P251</f>
        <v>1873.0331866583376</v>
      </c>
      <c r="R251" s="564"/>
      <c r="S251" s="29">
        <v>29.248848080838115</v>
      </c>
      <c r="T251" s="29">
        <v>42.257140600837147</v>
      </c>
      <c r="U251" s="538">
        <v>0</v>
      </c>
      <c r="V251" s="29">
        <v>16.705019983717541</v>
      </c>
      <c r="W251" s="29">
        <v>530.61021009337355</v>
      </c>
      <c r="X251" s="29">
        <v>134.79476662733822</v>
      </c>
      <c r="Y251" s="564"/>
      <c r="Z251" s="64">
        <f>Q251+S251+T251+U251+V251+W251+X251</f>
        <v>2626.6491720444424</v>
      </c>
      <c r="AA251" s="648">
        <f>Z251/G251*100</f>
        <v>1.3908498618995724</v>
      </c>
      <c r="AB251" s="538">
        <f>Z251-J251</f>
        <v>57.802091029943767</v>
      </c>
      <c r="AC251" s="559">
        <f>AA251/I251-1</f>
        <v>2.2501180182012304E-2</v>
      </c>
      <c r="AD251" s="559"/>
      <c r="AF251" s="543"/>
      <c r="AI251" s="543"/>
      <c r="AK251" s="543"/>
      <c r="AM251" s="560"/>
    </row>
    <row r="252" spans="1:39">
      <c r="A252" s="6"/>
      <c r="B252" s="58"/>
      <c r="C252" s="10"/>
      <c r="D252" s="58"/>
      <c r="E252" s="30"/>
      <c r="F252" s="58"/>
      <c r="G252" s="29"/>
      <c r="H252" s="58"/>
      <c r="I252" s="547"/>
      <c r="J252" s="539"/>
      <c r="K252" s="58"/>
      <c r="L252" s="29"/>
      <c r="M252" s="29"/>
      <c r="N252" s="29"/>
      <c r="O252" s="29"/>
      <c r="P252" s="29"/>
      <c r="Q252" s="130"/>
      <c r="R252" s="564"/>
      <c r="S252" s="29"/>
      <c r="T252" s="29"/>
      <c r="U252" s="538"/>
      <c r="V252" s="29"/>
      <c r="W252" s="29"/>
      <c r="X252" s="29"/>
      <c r="Y252" s="564"/>
      <c r="Z252" s="64"/>
      <c r="AA252" s="648"/>
      <c r="AB252" s="538"/>
      <c r="AC252" s="559"/>
      <c r="AD252" s="559"/>
      <c r="AF252" s="543"/>
      <c r="AI252" s="543"/>
      <c r="AK252" s="543"/>
      <c r="AM252" s="560"/>
    </row>
    <row r="253" spans="1:39">
      <c r="A253" s="6">
        <f>MAX(A$225:A252)+1</f>
        <v>116</v>
      </c>
      <c r="B253" s="58"/>
      <c r="C253" s="10" t="s">
        <v>294</v>
      </c>
      <c r="D253" s="58"/>
      <c r="E253" s="30"/>
      <c r="F253" s="58"/>
      <c r="G253" s="29">
        <v>236.82964000000001</v>
      </c>
      <c r="H253" s="58"/>
      <c r="I253" s="620">
        <v>-110</v>
      </c>
      <c r="J253" s="621">
        <f t="shared" si="84"/>
        <v>-260.51260400000001</v>
      </c>
      <c r="K253" s="58"/>
      <c r="L253" s="576">
        <v>0</v>
      </c>
      <c r="M253" s="576">
        <v>0</v>
      </c>
      <c r="N253" s="576">
        <v>0</v>
      </c>
      <c r="O253" s="649">
        <v>0</v>
      </c>
      <c r="P253" s="649">
        <v>0</v>
      </c>
      <c r="Q253" s="130">
        <f>J253-L253-M253-N253-O253-P253</f>
        <v>-260.51260400000001</v>
      </c>
      <c r="R253" s="58"/>
      <c r="S253" s="29">
        <v>0</v>
      </c>
      <c r="T253" s="538">
        <v>0</v>
      </c>
      <c r="U253" s="538">
        <v>0</v>
      </c>
      <c r="V253" s="538">
        <v>0</v>
      </c>
      <c r="W253" s="538">
        <v>0</v>
      </c>
      <c r="X253" s="538">
        <v>0</v>
      </c>
      <c r="Y253" s="58"/>
      <c r="Z253" s="64">
        <f>Q253+S253+T253+U253+V253+W253+X253</f>
        <v>-260.51260400000001</v>
      </c>
      <c r="AA253" s="565">
        <f>Z253/G253*100</f>
        <v>-110.00000000000001</v>
      </c>
      <c r="AB253" s="538">
        <v>0</v>
      </c>
      <c r="AC253" s="559"/>
      <c r="AD253" s="559"/>
      <c r="AF253" s="543"/>
      <c r="AI253" s="543"/>
      <c r="AK253" s="543"/>
      <c r="AM253" s="560"/>
    </row>
    <row r="254" spans="1:39">
      <c r="A254" s="6"/>
      <c r="C254" s="10"/>
      <c r="G254" s="129"/>
      <c r="L254" s="576">
        <v>0</v>
      </c>
      <c r="M254" s="605"/>
      <c r="N254" s="605"/>
      <c r="O254" s="605"/>
      <c r="P254" s="605"/>
      <c r="Q254" s="130"/>
      <c r="T254" s="501"/>
      <c r="U254" s="501"/>
      <c r="V254" s="501"/>
      <c r="W254" s="501"/>
      <c r="X254" s="501"/>
      <c r="AA254" s="632"/>
      <c r="AB254" s="501"/>
      <c r="AC254" s="501"/>
      <c r="AF254" s="543"/>
      <c r="AI254" s="543"/>
      <c r="AK254" s="543"/>
      <c r="AM254" s="560"/>
    </row>
    <row r="255" spans="1:39" ht="12.95">
      <c r="A255" s="6">
        <f>MAX(A$225:A254)+1</f>
        <v>117</v>
      </c>
      <c r="B255" s="58"/>
      <c r="C255" s="10" t="s">
        <v>266</v>
      </c>
      <c r="D255" s="58"/>
      <c r="E255" s="128"/>
      <c r="F255" s="58"/>
      <c r="G255" s="131">
        <f>G251</f>
        <v>188852.1</v>
      </c>
      <c r="H255" s="3"/>
      <c r="I255" s="641">
        <f>J255/G255*100</f>
        <v>2.5158910402305859</v>
      </c>
      <c r="J255" s="636">
        <f>SUM(J249:J254)</f>
        <v>4751.3130631873064</v>
      </c>
      <c r="K255" s="642"/>
      <c r="L255" s="598">
        <f>SUM(L249:L254)</f>
        <v>40.750410090988815</v>
      </c>
      <c r="M255" s="131">
        <f t="shared" ref="M255:Q255" si="85">SUM(M249:M254)</f>
        <v>0</v>
      </c>
      <c r="N255" s="636">
        <f>SUM(N249:N254)</f>
        <v>19.975437885703734</v>
      </c>
      <c r="O255" s="636">
        <f t="shared" si="85"/>
        <v>484.16838165175238</v>
      </c>
      <c r="P255" s="636">
        <f t="shared" si="85"/>
        <v>150.91966472771608</v>
      </c>
      <c r="Q255" s="636">
        <f t="shared" si="85"/>
        <v>4055.4991688311452</v>
      </c>
      <c r="R255" s="642"/>
      <c r="S255" s="636">
        <f t="shared" ref="S255:X255" si="86">SUM(S249:S254)</f>
        <v>96.003937957925018</v>
      </c>
      <c r="T255" s="636">
        <f t="shared" si="86"/>
        <v>42.257140600837147</v>
      </c>
      <c r="U255" s="131">
        <f t="shared" si="86"/>
        <v>0</v>
      </c>
      <c r="V255" s="636">
        <f t="shared" si="86"/>
        <v>16.705019983717541</v>
      </c>
      <c r="W255" s="636">
        <f t="shared" si="86"/>
        <v>530.61021009337355</v>
      </c>
      <c r="X255" s="636">
        <f t="shared" si="86"/>
        <v>134.79476662733822</v>
      </c>
      <c r="Y255" s="642"/>
      <c r="Z255" s="636">
        <f>SUM(Z249:Z254)</f>
        <v>4875.870244094338</v>
      </c>
      <c r="AA255" s="635">
        <f>Z255/G255*100</f>
        <v>2.5818459228646851</v>
      </c>
      <c r="AB255" s="636">
        <f>SUM(AB249:AB254)</f>
        <v>124.55718090703067</v>
      </c>
      <c r="AC255" s="558">
        <f>AA255/I255-1</f>
        <v>2.62153175870663E-2</v>
      </c>
      <c r="AD255" s="559"/>
      <c r="AF255" s="543"/>
      <c r="AI255" s="543"/>
      <c r="AK255" s="543"/>
      <c r="AM255" s="560"/>
    </row>
    <row r="256" spans="1:39" ht="12.95">
      <c r="A256" s="6"/>
      <c r="B256" s="58"/>
      <c r="C256" s="10"/>
      <c r="D256" s="58"/>
      <c r="E256" s="128"/>
      <c r="F256" s="58"/>
      <c r="G256" s="29"/>
      <c r="H256" s="58"/>
      <c r="I256" s="58"/>
      <c r="J256" s="58"/>
      <c r="K256" s="58"/>
      <c r="L256" s="501"/>
      <c r="M256" s="501"/>
      <c r="N256" s="501"/>
      <c r="O256" s="501"/>
      <c r="P256" s="501"/>
      <c r="Q256" s="501"/>
      <c r="R256" s="58"/>
      <c r="S256" s="640"/>
      <c r="T256" s="622"/>
      <c r="U256" s="622"/>
      <c r="V256" s="622"/>
      <c r="W256" s="622"/>
      <c r="X256" s="622"/>
      <c r="Y256" s="58"/>
      <c r="Z256" s="58"/>
      <c r="AA256" s="58"/>
      <c r="AB256" s="501"/>
      <c r="AC256" s="501"/>
      <c r="AF256" s="543"/>
      <c r="AI256" s="543"/>
      <c r="AK256" s="543"/>
      <c r="AM256" s="560"/>
    </row>
    <row r="257" spans="1:39">
      <c r="A257" s="6">
        <f>MAX(A$225:A256)+1</f>
        <v>118</v>
      </c>
      <c r="B257" s="58"/>
      <c r="C257" s="12" t="s">
        <v>267</v>
      </c>
      <c r="D257" s="58"/>
      <c r="E257" s="574" t="s">
        <v>262</v>
      </c>
      <c r="F257" s="58"/>
      <c r="G257" s="29">
        <v>188852.1</v>
      </c>
      <c r="H257" s="58"/>
      <c r="I257" s="547">
        <v>1.1360059253757275</v>
      </c>
      <c r="J257" s="539">
        <f>G257*I257/100</f>
        <v>2145.3710461964943</v>
      </c>
      <c r="K257" s="58"/>
      <c r="L257" s="622">
        <v>0</v>
      </c>
      <c r="M257" s="643">
        <v>550.32869750354416</v>
      </c>
      <c r="N257" s="622">
        <v>0</v>
      </c>
      <c r="O257" s="622">
        <v>0</v>
      </c>
      <c r="P257" s="622">
        <v>0</v>
      </c>
      <c r="Q257" s="622">
        <f>J257-L257-M257-N257-O257-P257</f>
        <v>1595.0423486929501</v>
      </c>
      <c r="R257" s="640"/>
      <c r="S257" s="29">
        <v>16.966912603354331</v>
      </c>
      <c r="T257" s="622">
        <v>0</v>
      </c>
      <c r="U257" s="29">
        <v>548.42372967335484</v>
      </c>
      <c r="V257" s="622">
        <v>0</v>
      </c>
      <c r="W257" s="622">
        <v>0</v>
      </c>
      <c r="X257" s="622">
        <v>0</v>
      </c>
      <c r="Y257" s="58"/>
      <c r="Z257" s="640">
        <f>Q257+S257+T257+U257+V257+W257+X257</f>
        <v>2160.4329909696594</v>
      </c>
      <c r="AA257" s="548">
        <f>Z257/G257*100</f>
        <v>1.1439814494885994</v>
      </c>
      <c r="AB257" s="549">
        <f>Z257-J257</f>
        <v>15.061944773165123</v>
      </c>
      <c r="AC257" s="559">
        <f>AA257/I257-1</f>
        <v>7.020671226018349E-3</v>
      </c>
      <c r="AD257" s="559"/>
      <c r="AF257" s="543"/>
      <c r="AI257" s="543"/>
      <c r="AK257" s="543"/>
      <c r="AM257" s="560"/>
    </row>
    <row r="258" spans="1:39">
      <c r="A258" s="6"/>
      <c r="B258" s="58"/>
      <c r="C258" s="12"/>
      <c r="D258" s="58"/>
      <c r="E258" s="574"/>
      <c r="F258" s="58"/>
      <c r="G258" s="29"/>
      <c r="H258" s="58"/>
      <c r="I258" s="547"/>
      <c r="J258" s="539"/>
      <c r="K258" s="58"/>
      <c r="L258" s="622"/>
      <c r="M258" s="643"/>
      <c r="N258" s="622"/>
      <c r="O258" s="622"/>
      <c r="P258" s="622"/>
      <c r="Q258" s="622"/>
      <c r="R258" s="640"/>
      <c r="S258" s="29"/>
      <c r="T258" s="622"/>
      <c r="U258" s="29"/>
      <c r="V258" s="622"/>
      <c r="W258" s="622"/>
      <c r="X258" s="622"/>
      <c r="Y258" s="58"/>
      <c r="Z258" s="640"/>
      <c r="AA258" s="548"/>
      <c r="AB258" s="549"/>
      <c r="AC258" s="559"/>
      <c r="AD258" s="559"/>
      <c r="AF258" s="543"/>
      <c r="AI258" s="543"/>
      <c r="AK258" s="543"/>
      <c r="AM258" s="560"/>
    </row>
    <row r="259" spans="1:39">
      <c r="A259" s="6"/>
      <c r="B259" s="58"/>
      <c r="C259" s="10" t="s">
        <v>268</v>
      </c>
      <c r="D259" s="58"/>
      <c r="E259" s="574"/>
      <c r="F259" s="58"/>
      <c r="G259" s="29"/>
      <c r="H259" s="58"/>
      <c r="I259" s="547"/>
      <c r="J259" s="539"/>
      <c r="K259" s="58"/>
      <c r="L259" s="622"/>
      <c r="M259" s="643"/>
      <c r="N259" s="622"/>
      <c r="O259" s="622"/>
      <c r="P259" s="622"/>
      <c r="Q259" s="622"/>
      <c r="R259" s="640"/>
      <c r="S259" s="29"/>
      <c r="T259" s="622"/>
      <c r="U259" s="29"/>
      <c r="V259" s="622"/>
      <c r="W259" s="622"/>
      <c r="X259" s="622"/>
      <c r="Y259" s="58"/>
      <c r="Z259" s="640"/>
      <c r="AA259" s="548"/>
      <c r="AB259" s="549"/>
      <c r="AC259" s="559"/>
      <c r="AD259" s="559"/>
      <c r="AF259" s="543"/>
      <c r="AI259" s="543"/>
      <c r="AK259" s="543"/>
      <c r="AM259" s="560"/>
    </row>
    <row r="260" spans="1:39">
      <c r="A260" s="6">
        <f>MAX(A$225:A259)+1</f>
        <v>119</v>
      </c>
      <c r="B260" s="58"/>
      <c r="C260" s="12" t="s">
        <v>268</v>
      </c>
      <c r="D260" s="58"/>
      <c r="E260" s="574" t="s">
        <v>262</v>
      </c>
      <c r="F260" s="58"/>
      <c r="G260" s="29">
        <v>140307.6</v>
      </c>
      <c r="H260" s="58"/>
      <c r="I260" s="547">
        <v>3.9267443834816063</v>
      </c>
      <c r="J260" s="539">
        <f t="shared" ref="J260:J264" si="87">G260*I260/100</f>
        <v>5509.5208025978391</v>
      </c>
      <c r="K260" s="58"/>
      <c r="L260" s="622">
        <v>0</v>
      </c>
      <c r="M260" s="622">
        <v>0</v>
      </c>
      <c r="N260" s="622">
        <v>0</v>
      </c>
      <c r="O260" s="622">
        <v>0</v>
      </c>
      <c r="P260" s="622">
        <v>0</v>
      </c>
      <c r="Q260" s="622">
        <f>J260-L260-M260-N260-O260-P260</f>
        <v>5509.5208025978391</v>
      </c>
      <c r="R260" s="640"/>
      <c r="S260" s="29">
        <v>2.8849618933536334</v>
      </c>
      <c r="T260" s="622">
        <v>0</v>
      </c>
      <c r="U260" s="622">
        <v>0</v>
      </c>
      <c r="V260" s="622">
        <v>0</v>
      </c>
      <c r="W260" s="622">
        <v>0</v>
      </c>
      <c r="X260" s="622">
        <v>0</v>
      </c>
      <c r="Y260" s="58"/>
      <c r="Z260" s="640">
        <f>Q260+S260+T260+U260+V260+W260+X260</f>
        <v>5512.4057644911927</v>
      </c>
      <c r="AA260" s="548">
        <f>Z260/G260*100</f>
        <v>3.9288005528504462</v>
      </c>
      <c r="AB260" s="549">
        <f>Z260-J260</f>
        <v>2.8849618933536476</v>
      </c>
      <c r="AC260" s="559"/>
      <c r="AD260" s="559"/>
      <c r="AF260" s="543"/>
      <c r="AI260" s="543"/>
      <c r="AK260" s="543"/>
      <c r="AM260" s="560"/>
    </row>
    <row r="261" spans="1:39">
      <c r="A261" s="6">
        <f>MAX(A$225:A260)+1</f>
        <v>120</v>
      </c>
      <c r="B261" s="58"/>
      <c r="C261" s="12" t="s">
        <v>269</v>
      </c>
      <c r="D261" s="58"/>
      <c r="E261" s="574" t="s">
        <v>262</v>
      </c>
      <c r="F261" s="58"/>
      <c r="G261" s="29">
        <v>48544.5</v>
      </c>
      <c r="I261" s="547">
        <v>0.96972041146112009</v>
      </c>
      <c r="J261" s="539">
        <f t="shared" si="87"/>
        <v>470.74592514174344</v>
      </c>
      <c r="L261" s="622">
        <v>0</v>
      </c>
      <c r="M261" s="622">
        <v>0</v>
      </c>
      <c r="N261" s="622">
        <v>0</v>
      </c>
      <c r="O261" s="622">
        <v>0</v>
      </c>
      <c r="P261" s="622">
        <v>0</v>
      </c>
      <c r="Q261" s="622">
        <f>J261-L261-M261-N261-O261-P261</f>
        <v>470.74592514174344</v>
      </c>
      <c r="R261" s="644"/>
      <c r="S261" s="29">
        <v>7.9297268615394501</v>
      </c>
      <c r="T261" s="622">
        <v>0</v>
      </c>
      <c r="U261" s="622">
        <v>0</v>
      </c>
      <c r="V261" s="622">
        <v>0</v>
      </c>
      <c r="W261" s="622">
        <v>0</v>
      </c>
      <c r="X261" s="622">
        <v>0</v>
      </c>
      <c r="Z261" s="640">
        <f>Q261+S261+T261+U261+V261+W261+X261</f>
        <v>478.67565200328289</v>
      </c>
      <c r="AA261" s="548">
        <f>Z261/G261*100</f>
        <v>0.98605537600198345</v>
      </c>
      <c r="AB261" s="549">
        <f>Z261-J261</f>
        <v>7.9297268615394501</v>
      </c>
      <c r="AC261" s="559"/>
      <c r="AD261" s="559"/>
      <c r="AF261" s="543"/>
      <c r="AI261" s="543"/>
      <c r="AK261" s="543"/>
      <c r="AM261" s="560"/>
    </row>
    <row r="262" spans="1:39">
      <c r="A262" s="6">
        <f>MAX(A$225:A261)+1</f>
        <v>121</v>
      </c>
      <c r="B262" s="58"/>
      <c r="C262" s="10" t="s">
        <v>268</v>
      </c>
      <c r="D262" s="58"/>
      <c r="E262" s="574"/>
      <c r="F262" s="58"/>
      <c r="G262" s="411">
        <f>SUM(G260:G261)</f>
        <v>188852.1</v>
      </c>
      <c r="I262" s="566">
        <f>J262/G262*100</f>
        <v>3.1666403115133921</v>
      </c>
      <c r="J262" s="554">
        <f>SUM(J260:J261)</f>
        <v>5980.2667277395822</v>
      </c>
      <c r="L262" s="650">
        <f>SUM(L260:L261)</f>
        <v>0</v>
      </c>
      <c r="M262" s="650">
        <f t="shared" ref="M262:Z262" si="88">SUM(M260:M261)</f>
        <v>0</v>
      </c>
      <c r="N262" s="650">
        <f t="shared" si="88"/>
        <v>0</v>
      </c>
      <c r="O262" s="650">
        <f t="shared" si="88"/>
        <v>0</v>
      </c>
      <c r="P262" s="650">
        <f t="shared" si="88"/>
        <v>0</v>
      </c>
      <c r="Q262" s="650">
        <f t="shared" si="88"/>
        <v>5980.2667277395822</v>
      </c>
      <c r="R262" s="622"/>
      <c r="S262" s="650">
        <f t="shared" si="88"/>
        <v>10.814688754893083</v>
      </c>
      <c r="T262" s="650">
        <f t="shared" si="88"/>
        <v>0</v>
      </c>
      <c r="U262" s="650">
        <f t="shared" si="88"/>
        <v>0</v>
      </c>
      <c r="V262" s="650">
        <f t="shared" si="88"/>
        <v>0</v>
      </c>
      <c r="W262" s="650">
        <f t="shared" si="88"/>
        <v>0</v>
      </c>
      <c r="X262" s="650">
        <f t="shared" si="88"/>
        <v>0</v>
      </c>
      <c r="Y262" s="622"/>
      <c r="Z262" s="650">
        <f t="shared" si="88"/>
        <v>5991.0814164944759</v>
      </c>
      <c r="AA262" s="556">
        <f>Z262/G262*100</f>
        <v>3.1723668502995075</v>
      </c>
      <c r="AB262" s="557">
        <f>SUM(AB260:AB261)</f>
        <v>10.814688754893098</v>
      </c>
      <c r="AC262" s="558">
        <f>AA262/I262-1</f>
        <v>1.8083957199983569E-3</v>
      </c>
      <c r="AD262" s="559"/>
      <c r="AF262" s="543"/>
      <c r="AI262" s="543"/>
      <c r="AK262" s="543"/>
      <c r="AM262" s="560"/>
    </row>
    <row r="263" spans="1:39">
      <c r="A263" s="6"/>
      <c r="B263" s="58"/>
      <c r="D263" s="58"/>
      <c r="E263" s="30"/>
      <c r="F263" s="58"/>
      <c r="G263" s="29"/>
      <c r="H263" s="58"/>
      <c r="I263" s="547"/>
      <c r="J263" s="539"/>
      <c r="K263" s="58"/>
      <c r="L263" s="622"/>
      <c r="M263" s="622"/>
      <c r="N263" s="622"/>
      <c r="O263" s="622"/>
      <c r="P263" s="622"/>
      <c r="Q263" s="622"/>
      <c r="R263" s="640"/>
      <c r="S263" s="29"/>
      <c r="T263" s="622"/>
      <c r="U263" s="622"/>
      <c r="V263" s="622"/>
      <c r="W263" s="622"/>
      <c r="X263" s="622"/>
      <c r="Y263" s="58"/>
      <c r="Z263" s="640"/>
      <c r="AA263" s="548"/>
      <c r="AB263" s="549"/>
      <c r="AC263" s="559"/>
      <c r="AD263" s="559"/>
      <c r="AF263" s="543"/>
      <c r="AI263" s="543"/>
      <c r="AK263" s="543"/>
      <c r="AM263" s="560"/>
    </row>
    <row r="264" spans="1:39">
      <c r="A264" s="6">
        <f>MAX(A$225:A263)+1</f>
        <v>122</v>
      </c>
      <c r="B264" s="58"/>
      <c r="C264" s="10" t="s">
        <v>270</v>
      </c>
      <c r="D264" s="58"/>
      <c r="E264" s="574" t="s">
        <v>262</v>
      </c>
      <c r="F264" s="58"/>
      <c r="G264" s="29">
        <v>140305.60000000001</v>
      </c>
      <c r="H264" s="58"/>
      <c r="I264" s="547">
        <v>18.339330746597561</v>
      </c>
      <c r="J264" s="539">
        <f t="shared" si="87"/>
        <v>25731.108039998187</v>
      </c>
      <c r="K264" s="58"/>
      <c r="L264" s="622">
        <v>0</v>
      </c>
      <c r="M264" s="622">
        <v>0</v>
      </c>
      <c r="N264" s="622">
        <v>0</v>
      </c>
      <c r="O264" s="622">
        <v>0</v>
      </c>
      <c r="P264" s="622">
        <v>0</v>
      </c>
      <c r="Q264" s="622">
        <f>J264-L264-M264-N264-O264-P264</f>
        <v>25731.108039998187</v>
      </c>
      <c r="R264" s="640"/>
      <c r="S264" s="29">
        <v>1.7987124374841272</v>
      </c>
      <c r="T264" s="622">
        <v>0</v>
      </c>
      <c r="U264" s="622">
        <v>0</v>
      </c>
      <c r="V264" s="622">
        <v>0</v>
      </c>
      <c r="W264" s="622">
        <v>0</v>
      </c>
      <c r="X264" s="622">
        <v>0</v>
      </c>
      <c r="Y264" s="58"/>
      <c r="Z264" s="640">
        <f>Q264+S264+T264+U264+V264+W264+X264</f>
        <v>25732.906752435672</v>
      </c>
      <c r="AA264" s="548">
        <f>Z264/G264*100</f>
        <v>18.340612742781236</v>
      </c>
      <c r="AB264" s="549">
        <f>Z264-J264</f>
        <v>1.7987124374849373</v>
      </c>
      <c r="AC264" s="559">
        <f>AA264/I264-1</f>
        <v>6.9904196690062648E-5</v>
      </c>
      <c r="AD264" s="559"/>
      <c r="AF264" s="543"/>
      <c r="AI264" s="543"/>
      <c r="AK264" s="543"/>
      <c r="AM264" s="560"/>
    </row>
    <row r="265" spans="1:39">
      <c r="A265" s="6"/>
      <c r="B265" s="58"/>
      <c r="C265" s="10"/>
      <c r="D265" s="58"/>
      <c r="E265" s="30"/>
      <c r="F265" s="58"/>
      <c r="G265" s="29"/>
      <c r="H265" s="58"/>
      <c r="I265" s="58"/>
      <c r="J265" s="539"/>
      <c r="K265" s="58"/>
      <c r="L265" s="622"/>
      <c r="M265" s="622"/>
      <c r="N265" s="622"/>
      <c r="O265" s="622"/>
      <c r="P265" s="622"/>
      <c r="Q265" s="622"/>
      <c r="R265" s="640"/>
      <c r="S265" s="640"/>
      <c r="T265" s="622"/>
      <c r="U265" s="622"/>
      <c r="V265" s="622"/>
      <c r="W265" s="622"/>
      <c r="X265" s="622"/>
      <c r="Y265" s="58"/>
      <c r="Z265" s="58"/>
      <c r="AA265" s="548"/>
      <c r="AB265" s="501"/>
      <c r="AC265" s="541"/>
      <c r="AD265" s="542"/>
      <c r="AF265" s="543"/>
      <c r="AI265" s="543"/>
      <c r="AK265" s="543"/>
      <c r="AM265" s="560"/>
    </row>
    <row r="266" spans="1:39" ht="12.95" thickBot="1">
      <c r="A266" s="6">
        <f>MAX(A$225:A265)+1</f>
        <v>123</v>
      </c>
      <c r="B266" s="58"/>
      <c r="C266" s="10" t="s">
        <v>300</v>
      </c>
      <c r="D266" s="58"/>
      <c r="E266" s="30"/>
      <c r="F266" s="58"/>
      <c r="G266" s="589">
        <f>G255</f>
        <v>188852.1</v>
      </c>
      <c r="H266" s="58"/>
      <c r="I266" s="572">
        <f>J266/G266*100</f>
        <v>20.443542262501484</v>
      </c>
      <c r="J266" s="627">
        <f>J255+J257+J262+J264</f>
        <v>38608.05887712157</v>
      </c>
      <c r="K266" s="539"/>
      <c r="L266" s="638">
        <f t="shared" ref="L266:Q266" si="89">L255+L257+L262+L264</f>
        <v>40.750410090988815</v>
      </c>
      <c r="M266" s="638">
        <f t="shared" si="89"/>
        <v>550.32869750354416</v>
      </c>
      <c r="N266" s="638">
        <f t="shared" si="89"/>
        <v>19.975437885703734</v>
      </c>
      <c r="O266" s="638">
        <f t="shared" si="89"/>
        <v>484.16838165175238</v>
      </c>
      <c r="P266" s="638">
        <f t="shared" si="89"/>
        <v>150.91966472771608</v>
      </c>
      <c r="Q266" s="638">
        <f t="shared" si="89"/>
        <v>37361.916285261861</v>
      </c>
      <c r="R266" s="539"/>
      <c r="S266" s="638">
        <f t="shared" ref="S266:X266" si="90">S255+S257+S262+S264</f>
        <v>125.58425175365656</v>
      </c>
      <c r="T266" s="638">
        <f t="shared" si="90"/>
        <v>42.257140600837147</v>
      </c>
      <c r="U266" s="638">
        <f t="shared" si="90"/>
        <v>548.42372967335484</v>
      </c>
      <c r="V266" s="638">
        <f t="shared" si="90"/>
        <v>16.705019983717541</v>
      </c>
      <c r="W266" s="638">
        <f t="shared" si="90"/>
        <v>530.61021009337355</v>
      </c>
      <c r="X266" s="638">
        <f t="shared" si="90"/>
        <v>134.79476662733822</v>
      </c>
      <c r="Y266" s="539"/>
      <c r="Z266" s="638">
        <f>Z255+Z257+Z262+Z264</f>
        <v>38760.291403994146</v>
      </c>
      <c r="AA266" s="651">
        <f>Z266/G266*100</f>
        <v>20.524151653062976</v>
      </c>
      <c r="AB266" s="638">
        <f>AB255+AB257+AB262+AB264</f>
        <v>152.23252687257383</v>
      </c>
      <c r="AC266" s="602">
        <f>AA266/I266-1</f>
        <v>3.9430246249130274E-3</v>
      </c>
      <c r="AD266" s="559"/>
      <c r="AF266" s="543"/>
      <c r="AI266" s="543"/>
      <c r="AK266" s="543"/>
      <c r="AM266" s="560"/>
    </row>
    <row r="267" spans="1:39" ht="12.95" thickTop="1">
      <c r="L267" s="2"/>
      <c r="M267" s="2"/>
      <c r="N267" s="2"/>
      <c r="O267" s="2"/>
      <c r="P267" s="501"/>
      <c r="Q267" s="501"/>
      <c r="T267" s="501"/>
      <c r="U267" s="501"/>
      <c r="V267" s="501"/>
      <c r="W267" s="501"/>
      <c r="X267" s="501"/>
      <c r="AB267" s="534"/>
      <c r="AC267" s="501"/>
      <c r="AF267" s="543"/>
      <c r="AI267" s="543"/>
      <c r="AK267" s="543"/>
      <c r="AM267" s="560"/>
    </row>
    <row r="268" spans="1:39">
      <c r="L268" s="2"/>
      <c r="M268" s="2"/>
      <c r="N268" s="2"/>
      <c r="O268" s="2"/>
      <c r="P268" s="501"/>
      <c r="Q268" s="501"/>
      <c r="T268" s="501"/>
      <c r="U268" s="501"/>
      <c r="V268" s="501"/>
      <c r="W268" s="501"/>
      <c r="X268" s="501"/>
      <c r="AB268" s="501"/>
      <c r="AC268" s="501"/>
      <c r="AF268" s="543"/>
      <c r="AI268" s="543"/>
      <c r="AK268" s="543"/>
      <c r="AM268" s="560"/>
    </row>
    <row r="269" spans="1:39">
      <c r="L269" s="2"/>
      <c r="M269" s="2"/>
      <c r="N269" s="2"/>
      <c r="O269" s="2"/>
      <c r="P269" s="501"/>
      <c r="Q269" s="501"/>
      <c r="T269" s="501"/>
      <c r="U269" s="501"/>
      <c r="V269" s="501"/>
      <c r="W269" s="501"/>
      <c r="X269" s="501"/>
      <c r="AB269" s="501"/>
      <c r="AC269" s="501"/>
      <c r="AF269" s="543"/>
      <c r="AI269" s="543"/>
      <c r="AK269" s="543"/>
      <c r="AM269" s="560"/>
    </row>
    <row r="270" spans="1:39">
      <c r="L270" s="2"/>
      <c r="M270" s="2"/>
      <c r="N270" s="2"/>
      <c r="O270" s="2"/>
      <c r="P270" s="501"/>
      <c r="Q270" s="501"/>
      <c r="T270" s="501"/>
      <c r="U270" s="501"/>
      <c r="V270" s="501"/>
      <c r="W270" s="501"/>
      <c r="X270" s="501"/>
      <c r="AB270" s="501"/>
      <c r="AC270" s="501"/>
      <c r="AF270" s="543"/>
      <c r="AI270" s="543"/>
      <c r="AK270" s="543"/>
      <c r="AM270" s="560"/>
    </row>
    <row r="271" spans="1:39">
      <c r="A271" s="1156" t="s">
        <v>279</v>
      </c>
      <c r="B271" s="1156"/>
      <c r="C271" s="1156"/>
      <c r="D271" s="1156"/>
      <c r="E271" s="1156"/>
      <c r="F271" s="1156"/>
      <c r="G271" s="1156"/>
      <c r="H271" s="1156"/>
      <c r="I271" s="1156"/>
      <c r="J271" s="1156"/>
      <c r="K271" s="1156"/>
      <c r="L271" s="1156"/>
      <c r="M271" s="1156"/>
      <c r="N271" s="1156"/>
      <c r="O271" s="1156"/>
      <c r="P271" s="1156"/>
      <c r="Q271" s="1156"/>
      <c r="R271" s="1156"/>
      <c r="S271" s="1156"/>
      <c r="T271" s="1156"/>
      <c r="U271" s="1156"/>
      <c r="V271" s="1156"/>
      <c r="W271" s="1156"/>
      <c r="X271" s="1156"/>
      <c r="Y271" s="1156"/>
      <c r="Z271" s="1156"/>
      <c r="AA271" s="1156"/>
      <c r="AB271" s="1156"/>
      <c r="AC271" s="1156"/>
      <c r="AD271" s="531"/>
      <c r="AF271" s="543"/>
      <c r="AI271" s="543"/>
      <c r="AK271" s="543"/>
      <c r="AM271" s="560"/>
    </row>
    <row r="272" spans="1:39">
      <c r="A272" s="57"/>
      <c r="B272" s="57"/>
      <c r="C272" s="57"/>
      <c r="D272" s="57"/>
      <c r="E272" s="3"/>
      <c r="F272" s="57"/>
      <c r="G272" s="3"/>
      <c r="H272" s="57"/>
      <c r="I272" s="57"/>
      <c r="J272" s="57"/>
      <c r="K272" s="57"/>
      <c r="L272" s="57"/>
      <c r="M272" s="57"/>
      <c r="N272" s="4"/>
      <c r="O272" s="4"/>
      <c r="P272" s="501"/>
      <c r="Q272" s="501"/>
      <c r="R272" s="57"/>
      <c r="S272" s="57"/>
      <c r="T272" s="501"/>
      <c r="U272" s="501"/>
      <c r="V272" s="501"/>
      <c r="W272" s="501"/>
      <c r="X272" s="501"/>
      <c r="Y272" s="57"/>
      <c r="Z272" s="57"/>
      <c r="AA272" s="57"/>
      <c r="AB272" s="501"/>
      <c r="AC272" s="501"/>
      <c r="AF272" s="543"/>
      <c r="AI272" s="543"/>
      <c r="AK272" s="543"/>
      <c r="AM272" s="560"/>
    </row>
    <row r="273" spans="1:39">
      <c r="A273" s="3"/>
      <c r="B273" s="3"/>
      <c r="C273" s="3"/>
      <c r="D273" s="3"/>
      <c r="E273" s="57"/>
      <c r="F273" s="3"/>
      <c r="G273" s="1152" t="str">
        <f>G8</f>
        <v>Current Approved Revenue</v>
      </c>
      <c r="H273" s="1152"/>
      <c r="I273" s="1152"/>
      <c r="J273" s="1152"/>
      <c r="K273" s="3"/>
      <c r="L273" s="1152" t="str">
        <f>L8</f>
        <v>Adjustments to 2023 Base Rates</v>
      </c>
      <c r="M273" s="1152"/>
      <c r="N273" s="1152"/>
      <c r="O273" s="1152"/>
      <c r="P273" s="1152"/>
      <c r="Q273" s="58"/>
      <c r="R273" s="3"/>
      <c r="S273" s="1152" t="str">
        <f>S8</f>
        <v>Adjustments to 2024 Base Rates</v>
      </c>
      <c r="T273" s="1152"/>
      <c r="U273" s="1152"/>
      <c r="V273" s="1152"/>
      <c r="W273" s="1152"/>
      <c r="X273" s="1152"/>
      <c r="Y273" s="3"/>
      <c r="Z273" s="1152" t="str">
        <f>Z8</f>
        <v>2024 Proposed Revenue</v>
      </c>
      <c r="AA273" s="1152"/>
      <c r="AB273" s="1152"/>
      <c r="AC273" s="1152"/>
      <c r="AD273" s="6"/>
      <c r="AF273" s="543"/>
      <c r="AI273" s="543"/>
      <c r="AK273" s="543"/>
      <c r="AM273" s="560"/>
    </row>
    <row r="274" spans="1:39" ht="37.5">
      <c r="A274" s="5" t="s">
        <v>56</v>
      </c>
      <c r="B274" s="5"/>
      <c r="C274" s="5"/>
      <c r="D274" s="5"/>
      <c r="E274" s="6" t="s">
        <v>233</v>
      </c>
      <c r="F274" s="5"/>
      <c r="G274" s="17" t="s">
        <v>234</v>
      </c>
      <c r="H274" s="5"/>
      <c r="I274" s="17" t="s">
        <v>235</v>
      </c>
      <c r="J274" s="17" t="s">
        <v>101</v>
      </c>
      <c r="K274" s="5"/>
      <c r="L274" s="17" t="s">
        <v>106</v>
      </c>
      <c r="M274" s="17" t="s">
        <v>236</v>
      </c>
      <c r="N274" s="5" t="s">
        <v>237</v>
      </c>
      <c r="O274" s="5" t="s">
        <v>109</v>
      </c>
      <c r="P274" s="5" t="s">
        <v>238</v>
      </c>
      <c r="Q274" s="5" t="s">
        <v>239</v>
      </c>
      <c r="R274" s="5"/>
      <c r="S274" s="5" t="s">
        <v>240</v>
      </c>
      <c r="T274" s="17" t="s">
        <v>106</v>
      </c>
      <c r="U274" s="17" t="s">
        <v>236</v>
      </c>
      <c r="V274" s="5" t="s">
        <v>237</v>
      </c>
      <c r="W274" s="5" t="s">
        <v>109</v>
      </c>
      <c r="X274" s="5" t="s">
        <v>238</v>
      </c>
      <c r="Y274" s="5"/>
      <c r="Z274" s="17" t="s">
        <v>241</v>
      </c>
      <c r="AA274" s="17" t="s">
        <v>242</v>
      </c>
      <c r="AB274" s="17" t="s">
        <v>243</v>
      </c>
      <c r="AC274" s="5" t="s">
        <v>244</v>
      </c>
      <c r="AD274" s="5"/>
      <c r="AF274" s="543"/>
      <c r="AI274" s="543"/>
      <c r="AK274" s="543"/>
      <c r="AM274" s="560"/>
    </row>
    <row r="275" spans="1:39" ht="14.45">
      <c r="A275" s="237" t="s">
        <v>57</v>
      </c>
      <c r="B275" s="58"/>
      <c r="C275" s="59" t="s">
        <v>194</v>
      </c>
      <c r="D275" s="58"/>
      <c r="E275" s="237" t="s">
        <v>245</v>
      </c>
      <c r="F275" s="58"/>
      <c r="G275" s="237" t="s">
        <v>246</v>
      </c>
      <c r="H275" s="58"/>
      <c r="I275" s="237" t="s">
        <v>247</v>
      </c>
      <c r="J275" s="237" t="s">
        <v>248</v>
      </c>
      <c r="K275" s="58"/>
      <c r="L275" s="237" t="s">
        <v>248</v>
      </c>
      <c r="M275" s="237" t="s">
        <v>248</v>
      </c>
      <c r="N275" s="237" t="s">
        <v>248</v>
      </c>
      <c r="O275" s="237" t="s">
        <v>248</v>
      </c>
      <c r="P275" s="237" t="s">
        <v>248</v>
      </c>
      <c r="Q275" s="237" t="s">
        <v>248</v>
      </c>
      <c r="R275" s="58"/>
      <c r="S275" s="237" t="s">
        <v>248</v>
      </c>
      <c r="T275" s="237" t="s">
        <v>248</v>
      </c>
      <c r="U275" s="237" t="s">
        <v>248</v>
      </c>
      <c r="V275" s="237" t="s">
        <v>248</v>
      </c>
      <c r="W275" s="237" t="s">
        <v>248</v>
      </c>
      <c r="X275" s="237" t="s">
        <v>248</v>
      </c>
      <c r="Y275" s="58"/>
      <c r="Z275" s="237" t="s">
        <v>248</v>
      </c>
      <c r="AA275" s="237" t="s">
        <v>247</v>
      </c>
      <c r="AB275" s="237" t="s">
        <v>248</v>
      </c>
      <c r="AC275" s="237" t="s">
        <v>249</v>
      </c>
      <c r="AD275" s="6"/>
      <c r="AF275" s="543"/>
      <c r="AI275" s="543"/>
      <c r="AK275" s="543"/>
      <c r="AM275" s="560"/>
    </row>
    <row r="276" spans="1:39">
      <c r="A276" s="6"/>
      <c r="B276" s="58"/>
      <c r="C276" s="58"/>
      <c r="D276" s="58"/>
      <c r="E276" s="6"/>
      <c r="F276" s="58"/>
      <c r="G276" s="6" t="s">
        <v>9</v>
      </c>
      <c r="H276" s="6"/>
      <c r="I276" s="6" t="s">
        <v>10</v>
      </c>
      <c r="J276" s="6" t="s">
        <v>58</v>
      </c>
      <c r="K276" s="6"/>
      <c r="L276" s="123" t="s">
        <v>12</v>
      </c>
      <c r="M276" s="123" t="s">
        <v>13</v>
      </c>
      <c r="N276" s="123" t="s">
        <v>115</v>
      </c>
      <c r="O276" s="123" t="s">
        <v>209</v>
      </c>
      <c r="P276" s="6" t="s">
        <v>210</v>
      </c>
      <c r="Q276" s="6" t="s">
        <v>250</v>
      </c>
      <c r="R276" s="6"/>
      <c r="S276" s="6" t="s">
        <v>251</v>
      </c>
      <c r="T276" s="6" t="s">
        <v>120</v>
      </c>
      <c r="U276" s="6" t="s">
        <v>121</v>
      </c>
      <c r="V276" s="6" t="s">
        <v>122</v>
      </c>
      <c r="W276" s="6" t="s">
        <v>252</v>
      </c>
      <c r="X276" s="6" t="s">
        <v>253</v>
      </c>
      <c r="Y276" s="6"/>
      <c r="Z276" s="6" t="s">
        <v>254</v>
      </c>
      <c r="AA276" s="6" t="s">
        <v>255</v>
      </c>
      <c r="AB276" s="6" t="s">
        <v>256</v>
      </c>
      <c r="AC276" s="6" t="s">
        <v>257</v>
      </c>
      <c r="AD276" s="6"/>
      <c r="AF276" s="543"/>
      <c r="AI276" s="543"/>
      <c r="AK276" s="543"/>
      <c r="AM276" s="560"/>
    </row>
    <row r="277" spans="1:39">
      <c r="A277" s="6"/>
      <c r="B277" s="58"/>
      <c r="C277" s="10"/>
      <c r="D277" s="58"/>
      <c r="E277" s="30"/>
      <c r="F277" s="58"/>
      <c r="G277" s="29"/>
      <c r="H277" s="58"/>
      <c r="I277" s="58"/>
      <c r="J277" s="58"/>
      <c r="K277" s="58"/>
      <c r="L277" s="501"/>
      <c r="M277" s="501"/>
      <c r="N277" s="501"/>
      <c r="O277" s="501"/>
      <c r="P277" s="501"/>
      <c r="Q277" s="501"/>
      <c r="R277" s="58"/>
      <c r="S277" s="58"/>
      <c r="T277" s="501"/>
      <c r="U277" s="501"/>
      <c r="V277" s="501"/>
      <c r="W277" s="501"/>
      <c r="X277" s="501"/>
      <c r="Y277" s="58"/>
      <c r="Z277" s="58"/>
      <c r="AA277" s="58"/>
      <c r="AB277" s="501"/>
      <c r="AC277" s="501"/>
    </row>
    <row r="278" spans="1:39">
      <c r="A278" s="6"/>
      <c r="B278" s="58"/>
      <c r="C278" s="652" t="s">
        <v>139</v>
      </c>
      <c r="D278" s="58"/>
      <c r="E278" s="30"/>
      <c r="F278" s="58"/>
      <c r="G278" s="29"/>
      <c r="H278" s="58"/>
      <c r="I278" s="58"/>
      <c r="J278" s="58"/>
      <c r="K278" s="58"/>
      <c r="L278" s="501"/>
      <c r="M278" s="501"/>
      <c r="N278" s="501"/>
      <c r="O278" s="501"/>
      <c r="P278" s="501"/>
      <c r="Q278" s="501"/>
      <c r="R278" s="58"/>
      <c r="S278" s="58"/>
      <c r="T278" s="501"/>
      <c r="U278" s="501"/>
      <c r="V278" s="501"/>
      <c r="W278" s="501"/>
      <c r="X278" s="501"/>
      <c r="Y278" s="58"/>
      <c r="Z278" s="58"/>
      <c r="AA278" s="58"/>
      <c r="AB278" s="501"/>
      <c r="AC278" s="501"/>
    </row>
    <row r="279" spans="1:39">
      <c r="A279" s="6"/>
      <c r="B279" s="58"/>
      <c r="C279" s="9" t="s">
        <v>140</v>
      </c>
      <c r="D279" s="58"/>
      <c r="E279" s="30"/>
      <c r="F279" s="58"/>
      <c r="G279" s="29"/>
      <c r="H279" s="58"/>
      <c r="I279" s="58"/>
      <c r="J279" s="58"/>
      <c r="K279" s="58"/>
      <c r="L279" s="501"/>
      <c r="M279" s="501"/>
      <c r="N279" s="501"/>
      <c r="O279" s="501"/>
      <c r="P279" s="501"/>
      <c r="Q279" s="501"/>
      <c r="R279" s="58"/>
      <c r="S279" s="58"/>
      <c r="T279" s="501"/>
      <c r="U279" s="501"/>
      <c r="V279" s="501"/>
      <c r="W279" s="501"/>
      <c r="X279" s="501"/>
      <c r="Y279" s="58"/>
      <c r="Z279" s="58"/>
      <c r="AA279" s="58"/>
      <c r="AB279" s="501"/>
      <c r="AC279" s="501"/>
    </row>
    <row r="280" spans="1:39">
      <c r="A280" s="6">
        <v>124</v>
      </c>
      <c r="B280" s="58"/>
      <c r="C280" s="10" t="s">
        <v>258</v>
      </c>
      <c r="D280" s="58"/>
      <c r="E280" s="30" t="s">
        <v>259</v>
      </c>
      <c r="F280" s="58"/>
      <c r="G280" s="29">
        <v>4435128.0000000037</v>
      </c>
      <c r="H280" s="58"/>
      <c r="I280" s="537">
        <v>22.98</v>
      </c>
      <c r="J280" s="539">
        <f>G280*I280/1000</f>
        <v>101919.24144000009</v>
      </c>
      <c r="K280" s="58"/>
      <c r="L280" s="643">
        <v>0</v>
      </c>
      <c r="M280" s="643">
        <v>0</v>
      </c>
      <c r="N280" s="643">
        <v>0</v>
      </c>
      <c r="O280" s="643">
        <v>0</v>
      </c>
      <c r="P280" s="643">
        <v>0</v>
      </c>
      <c r="Q280" s="534">
        <f>J280-L280-M280-N280-O280-P280</f>
        <v>101919.24144000009</v>
      </c>
      <c r="R280" s="58"/>
      <c r="S280" s="29">
        <v>2784.9724762386759</v>
      </c>
      <c r="T280" s="29">
        <v>9989.5303963250917</v>
      </c>
      <c r="U280" s="643">
        <v>0</v>
      </c>
      <c r="V280" s="643">
        <v>0</v>
      </c>
      <c r="W280" s="29">
        <v>0</v>
      </c>
      <c r="X280" s="29">
        <v>0</v>
      </c>
      <c r="Y280" s="58"/>
      <c r="Z280" s="539">
        <f>Q280+S280+T280+U280+V280+W280+X280</f>
        <v>114693.74431256385</v>
      </c>
      <c r="AA280" s="540">
        <f>Z280/G280*1000</f>
        <v>25.86030083293284</v>
      </c>
      <c r="AB280" s="534">
        <f>Z280-J280</f>
        <v>12774.502872563768</v>
      </c>
      <c r="AC280" s="541">
        <f>AA280/I280-1</f>
        <v>0.1253394618334569</v>
      </c>
      <c r="AD280" s="542"/>
      <c r="AF280" s="543"/>
      <c r="AI280" s="543"/>
      <c r="AK280" s="543"/>
      <c r="AM280" s="560"/>
    </row>
    <row r="281" spans="1:39">
      <c r="C281" s="521" t="s">
        <v>260</v>
      </c>
      <c r="E281" s="30"/>
      <c r="G281" s="29"/>
      <c r="J281" s="567"/>
      <c r="L281" s="643"/>
      <c r="M281" s="501"/>
      <c r="N281" s="501"/>
      <c r="O281" s="501"/>
      <c r="P281" s="501"/>
      <c r="Q281" s="534"/>
      <c r="S281" s="29"/>
      <c r="T281" s="29"/>
      <c r="U281" s="501"/>
      <c r="V281" s="501"/>
      <c r="W281" s="29"/>
      <c r="X281" s="29"/>
      <c r="Z281" s="539"/>
      <c r="AA281" s="632"/>
      <c r="AB281" s="534"/>
      <c r="AC281" s="541"/>
      <c r="AD281" s="542"/>
      <c r="AF281" s="543"/>
      <c r="AI281" s="543"/>
      <c r="AK281" s="543"/>
      <c r="AM281" s="560"/>
    </row>
    <row r="282" spans="1:39">
      <c r="A282" s="6">
        <f>MAX(A$279:A281)+1</f>
        <v>125</v>
      </c>
      <c r="B282" s="58"/>
      <c r="C282" s="526" t="s">
        <v>301</v>
      </c>
      <c r="D282" s="58"/>
      <c r="E282" s="522" t="s">
        <v>262</v>
      </c>
      <c r="F282" s="58"/>
      <c r="G282" s="29">
        <v>299290.46273039118</v>
      </c>
      <c r="H282" s="58"/>
      <c r="I282" s="547">
        <v>11.1409</v>
      </c>
      <c r="J282" s="539">
        <f>G282*I282/100</f>
        <v>33343.651162330156</v>
      </c>
      <c r="K282" s="58"/>
      <c r="L282" s="643">
        <v>1858.8930640184597</v>
      </c>
      <c r="M282" s="643">
        <v>858.13967814085549</v>
      </c>
      <c r="N282" s="643">
        <v>194.2395103120239</v>
      </c>
      <c r="O282" s="643">
        <v>0</v>
      </c>
      <c r="P282" s="643">
        <v>0</v>
      </c>
      <c r="Q282" s="534">
        <f>J282-L282-M282-N282-O282-P282</f>
        <v>30432.378909858817</v>
      </c>
      <c r="R282" s="58"/>
      <c r="S282" s="29">
        <v>831.57347379118437</v>
      </c>
      <c r="T282" s="29">
        <v>625.58933759444324</v>
      </c>
      <c r="U282" s="29">
        <v>834.35089028881271</v>
      </c>
      <c r="V282" s="29">
        <v>182.07498238504988</v>
      </c>
      <c r="W282" s="29">
        <v>0</v>
      </c>
      <c r="X282" s="29">
        <v>0</v>
      </c>
      <c r="Y282" s="58"/>
      <c r="Z282" s="539">
        <f>Q282+S282+T282+U282+V282+W282+X282</f>
        <v>32905.967593918307</v>
      </c>
      <c r="AA282" s="548">
        <f t="shared" ref="AA282:AA287" si="91">Z282/G282*100</f>
        <v>10.994659600483454</v>
      </c>
      <c r="AB282" s="549">
        <f>Z282-J282</f>
        <v>-437.68356841184868</v>
      </c>
      <c r="AC282" s="541"/>
      <c r="AD282" s="542"/>
      <c r="AF282" s="543"/>
      <c r="AI282" s="543"/>
      <c r="AK282" s="543"/>
      <c r="AM282" s="560"/>
    </row>
    <row r="283" spans="1:39">
      <c r="A283" s="6">
        <f>MAX(A$279:A282)+1</f>
        <v>126</v>
      </c>
      <c r="B283" s="58"/>
      <c r="C283" s="526" t="s">
        <v>302</v>
      </c>
      <c r="D283" s="58"/>
      <c r="E283" s="522" t="s">
        <v>262</v>
      </c>
      <c r="F283" s="58"/>
      <c r="G283" s="29">
        <v>342667.32910551433</v>
      </c>
      <c r="H283" s="58"/>
      <c r="I283" s="547">
        <v>10.862900000000002</v>
      </c>
      <c r="J283" s="539">
        <f t="shared" ref="J283:J286" si="92">G283*I283/100</f>
        <v>37223.609293402922</v>
      </c>
      <c r="K283" s="58"/>
      <c r="L283" s="643">
        <v>2075.1933450629949</v>
      </c>
      <c r="M283" s="643">
        <v>982.51186765308512</v>
      </c>
      <c r="N283" s="643">
        <v>222.39109658947879</v>
      </c>
      <c r="O283" s="643">
        <v>0</v>
      </c>
      <c r="P283" s="643">
        <v>0</v>
      </c>
      <c r="Q283" s="534">
        <f>J283-L283-M283-N283-O283-P283</f>
        <v>33943.512984097368</v>
      </c>
      <c r="R283" s="58"/>
      <c r="S283" s="29">
        <v>927.51621844842884</v>
      </c>
      <c r="T283" s="29">
        <v>716.25746264920281</v>
      </c>
      <c r="U283" s="29">
        <v>955.27531516975239</v>
      </c>
      <c r="V283" s="29">
        <v>208.46353519464537</v>
      </c>
      <c r="W283" s="29">
        <v>0</v>
      </c>
      <c r="X283" s="29">
        <v>0</v>
      </c>
      <c r="Y283" s="58"/>
      <c r="Z283" s="539">
        <f>Q283+S283+T283+U283+V283+W283+X283</f>
        <v>36751.025515559406</v>
      </c>
      <c r="AA283" s="548">
        <f t="shared" si="91"/>
        <v>10.724986712766833</v>
      </c>
      <c r="AB283" s="549">
        <f>Z283-J283</f>
        <v>-472.58377784351615</v>
      </c>
      <c r="AC283" s="541"/>
      <c r="AD283" s="542"/>
      <c r="AF283" s="543"/>
      <c r="AI283" s="543"/>
      <c r="AK283" s="543"/>
      <c r="AM283" s="560"/>
    </row>
    <row r="284" spans="1:39">
      <c r="A284" s="6">
        <f>MAX(A$279:A283)+1</f>
        <v>127</v>
      </c>
      <c r="B284" s="58"/>
      <c r="C284" s="526" t="s">
        <v>303</v>
      </c>
      <c r="D284" s="58"/>
      <c r="E284" s="522" t="s">
        <v>262</v>
      </c>
      <c r="F284" s="58"/>
      <c r="G284" s="29">
        <v>128559.93934024102</v>
      </c>
      <c r="H284" s="58"/>
      <c r="I284" s="547">
        <v>10.4222</v>
      </c>
      <c r="J284" s="539">
        <f t="shared" si="92"/>
        <v>13398.773997918601</v>
      </c>
      <c r="K284" s="58"/>
      <c r="L284" s="643">
        <v>746.93324756680022</v>
      </c>
      <c r="M284" s="643">
        <v>368.61309899682192</v>
      </c>
      <c r="N284" s="643">
        <v>83.435400631816435</v>
      </c>
      <c r="O284" s="643">
        <v>0</v>
      </c>
      <c r="P284" s="643">
        <v>0</v>
      </c>
      <c r="Q284" s="534">
        <f>J284-L284-M284-N284-O284-P284</f>
        <v>12199.792250723161</v>
      </c>
      <c r="R284" s="58"/>
      <c r="S284" s="29">
        <v>333.36281897364461</v>
      </c>
      <c r="T284" s="29">
        <v>268.72131694183923</v>
      </c>
      <c r="U284" s="29">
        <v>358.39464734508499</v>
      </c>
      <c r="V284" s="29">
        <v>78.210138997591812</v>
      </c>
      <c r="W284" s="29">
        <v>0</v>
      </c>
      <c r="X284" s="29">
        <v>0</v>
      </c>
      <c r="Y284" s="58"/>
      <c r="Z284" s="539">
        <f>Q284+S284+T284+U284+V284+W284+X284</f>
        <v>13238.481172981323</v>
      </c>
      <c r="AA284" s="548">
        <f t="shared" si="91"/>
        <v>10.297516661037735</v>
      </c>
      <c r="AB284" s="549">
        <f>Z284-J284</f>
        <v>-160.29282493727806</v>
      </c>
      <c r="AC284" s="541"/>
      <c r="AD284" s="542"/>
      <c r="AF284" s="543"/>
      <c r="AI284" s="543"/>
      <c r="AK284" s="543"/>
      <c r="AM284" s="560"/>
    </row>
    <row r="285" spans="1:39">
      <c r="A285" s="6">
        <f>MAX(A$279:A284)+1</f>
        <v>128</v>
      </c>
      <c r="B285" s="58"/>
      <c r="C285" s="526" t="s">
        <v>304</v>
      </c>
      <c r="D285" s="58"/>
      <c r="E285" s="522" t="s">
        <v>262</v>
      </c>
      <c r="F285" s="58"/>
      <c r="G285" s="29">
        <v>86233.647863598511</v>
      </c>
      <c r="H285" s="58"/>
      <c r="I285" s="547">
        <v>10.017900000000001</v>
      </c>
      <c r="J285" s="539">
        <f t="shared" si="92"/>
        <v>8638.8006093274362</v>
      </c>
      <c r="K285" s="58"/>
      <c r="L285" s="643">
        <v>481.61492331819767</v>
      </c>
      <c r="M285" s="643">
        <v>247.25316719912297</v>
      </c>
      <c r="N285" s="643">
        <v>55.965637463475431</v>
      </c>
      <c r="O285" s="643">
        <v>0</v>
      </c>
      <c r="P285" s="643">
        <v>0</v>
      </c>
      <c r="Q285" s="534">
        <f>J285-L285-M285-N285-O285-P285</f>
        <v>7853.9668813466405</v>
      </c>
      <c r="R285" s="58"/>
      <c r="S285" s="29">
        <v>214.61189550470863</v>
      </c>
      <c r="T285" s="29">
        <v>180.24914711010294</v>
      </c>
      <c r="U285" s="29">
        <v>240.39897633710794</v>
      </c>
      <c r="V285" s="29">
        <v>52.460709146977266</v>
      </c>
      <c r="W285" s="29">
        <v>0</v>
      </c>
      <c r="X285" s="29">
        <v>0</v>
      </c>
      <c r="Y285" s="58"/>
      <c r="Z285" s="539">
        <f>Q285+S285+T285+U285+V285+W285+X285</f>
        <v>8541.6876094455365</v>
      </c>
      <c r="AA285" s="548">
        <f t="shared" si="91"/>
        <v>9.9052838666369443</v>
      </c>
      <c r="AB285" s="549">
        <f>Z285-J285</f>
        <v>-97.112999881899668</v>
      </c>
      <c r="AC285" s="541"/>
      <c r="AD285" s="542"/>
      <c r="AF285" s="543"/>
      <c r="AI285" s="543"/>
      <c r="AK285" s="543"/>
      <c r="AM285" s="560"/>
    </row>
    <row r="286" spans="1:39">
      <c r="A286" s="6">
        <f>MAX(A$279:A285)+1</f>
        <v>129</v>
      </c>
      <c r="B286" s="58"/>
      <c r="C286" s="526" t="s">
        <v>305</v>
      </c>
      <c r="D286" s="58"/>
      <c r="E286" s="574"/>
      <c r="F286" s="58"/>
      <c r="G286" s="29">
        <v>120128.48102739092</v>
      </c>
      <c r="H286" s="58"/>
      <c r="I286" s="547">
        <v>9.6836000000000002</v>
      </c>
      <c r="J286" s="539">
        <f t="shared" si="92"/>
        <v>11632.761588768428</v>
      </c>
      <c r="K286" s="58"/>
      <c r="L286" s="643">
        <v>648.45354058585622</v>
      </c>
      <c r="M286" s="643">
        <v>344.43802553527627</v>
      </c>
      <c r="N286" s="643">
        <v>77.963384186776707</v>
      </c>
      <c r="O286" s="643">
        <v>0</v>
      </c>
      <c r="P286" s="643">
        <v>0</v>
      </c>
      <c r="Q286" s="534">
        <f>J286-L286-M286-N286-O286-P286</f>
        <v>10561.906638460518</v>
      </c>
      <c r="R286" s="58"/>
      <c r="S286" s="29">
        <v>288.60712529960801</v>
      </c>
      <c r="T286" s="29">
        <v>251.09753310064622</v>
      </c>
      <c r="U286" s="29">
        <v>334.8897394854028</v>
      </c>
      <c r="V286" s="29">
        <v>73.0808154308219</v>
      </c>
      <c r="W286" s="29">
        <v>0</v>
      </c>
      <c r="X286" s="29">
        <v>0</v>
      </c>
      <c r="Y286" s="58"/>
      <c r="Z286" s="539">
        <f>Q286+S286+T286+U286+V286+W286+X286</f>
        <v>11509.581851776997</v>
      </c>
      <c r="AA286" s="548">
        <f t="shared" si="91"/>
        <v>9.5810600062050693</v>
      </c>
      <c r="AB286" s="549">
        <f>Z286-J286</f>
        <v>-123.17973699143113</v>
      </c>
      <c r="AC286" s="541"/>
      <c r="AD286" s="542"/>
      <c r="AF286" s="543"/>
      <c r="AI286" s="543"/>
      <c r="AK286" s="543"/>
      <c r="AM286" s="560"/>
    </row>
    <row r="287" spans="1:39">
      <c r="A287" s="6">
        <f>MAX(A$279:A286)+1</f>
        <v>130</v>
      </c>
      <c r="B287" s="58"/>
      <c r="C287" s="521" t="s">
        <v>260</v>
      </c>
      <c r="D287" s="58"/>
      <c r="E287" s="30"/>
      <c r="F287" s="58"/>
      <c r="G287" s="131">
        <f>SUM(G282:G286)</f>
        <v>976879.860067136</v>
      </c>
      <c r="H287" s="58"/>
      <c r="I287" s="556">
        <f>J287/G287*100</f>
        <v>10.670462245437614</v>
      </c>
      <c r="J287" s="554">
        <f>SUM(J282:J286)</f>
        <v>104237.59665174753</v>
      </c>
      <c r="K287" s="58"/>
      <c r="L287" s="650">
        <f>SUM(L282:L286)</f>
        <v>5811.0881205523092</v>
      </c>
      <c r="M287" s="650">
        <f t="shared" ref="M287:P287" si="93">SUM(M282:M286)</f>
        <v>2800.9558375251618</v>
      </c>
      <c r="N287" s="650">
        <f t="shared" si="93"/>
        <v>633.99502918357121</v>
      </c>
      <c r="O287" s="650">
        <f t="shared" si="93"/>
        <v>0</v>
      </c>
      <c r="P287" s="650">
        <f t="shared" si="93"/>
        <v>0</v>
      </c>
      <c r="Q287" s="554">
        <f>SUM(Q282:Q286)</f>
        <v>94991.557664486492</v>
      </c>
      <c r="R287" s="58"/>
      <c r="S287" s="619">
        <f>SUM(S282:S286)</f>
        <v>2595.6715320175745</v>
      </c>
      <c r="T287" s="619">
        <f t="shared" ref="T287:V287" si="94">SUM(T282:T286)</f>
        <v>2041.9147973962345</v>
      </c>
      <c r="U287" s="619">
        <f t="shared" si="94"/>
        <v>2723.3095686261609</v>
      </c>
      <c r="V287" s="619">
        <f t="shared" si="94"/>
        <v>594.2901811550862</v>
      </c>
      <c r="W287" s="555">
        <f>SUM(W282:W286)</f>
        <v>0</v>
      </c>
      <c r="X287" s="555">
        <f>SUM(X282:X286)</f>
        <v>0</v>
      </c>
      <c r="Y287" s="132"/>
      <c r="Z287" s="554">
        <f>SUM(Z282:Z286)</f>
        <v>102946.74374368157</v>
      </c>
      <c r="AA287" s="635">
        <f t="shared" si="91"/>
        <v>10.538321850202394</v>
      </c>
      <c r="AB287" s="131">
        <f t="shared" ref="AB287" si="95">SUM(AB282:AB286)</f>
        <v>-1290.8529080659737</v>
      </c>
      <c r="AC287" s="558">
        <f>AA287/I287-1</f>
        <v>-1.2383755473360125E-2</v>
      </c>
      <c r="AD287" s="653"/>
      <c r="AF287" s="543"/>
      <c r="AI287" s="543"/>
      <c r="AK287" s="543"/>
      <c r="AM287" s="560"/>
    </row>
    <row r="288" spans="1:39">
      <c r="A288" s="6"/>
      <c r="C288" s="10"/>
      <c r="G288" s="129"/>
      <c r="L288" s="501"/>
      <c r="M288" s="501"/>
      <c r="N288" s="501"/>
      <c r="O288" s="501"/>
      <c r="P288" s="501"/>
      <c r="Q288" s="501"/>
      <c r="T288" s="501"/>
      <c r="U288" s="501"/>
      <c r="V288" s="501"/>
      <c r="W288" s="538"/>
      <c r="X288" s="538"/>
      <c r="AA288" s="632"/>
      <c r="AB288" s="501"/>
      <c r="AC288" s="541"/>
      <c r="AD288" s="542"/>
      <c r="AF288" s="543"/>
      <c r="AI288" s="543"/>
      <c r="AK288" s="543"/>
      <c r="AM288" s="560"/>
    </row>
    <row r="289" spans="1:39">
      <c r="A289" s="6">
        <f>MAX(A$279:A288)+1</f>
        <v>131</v>
      </c>
      <c r="B289" s="58"/>
      <c r="C289" s="10" t="s">
        <v>266</v>
      </c>
      <c r="D289" s="58"/>
      <c r="E289" s="30"/>
      <c r="F289" s="58"/>
      <c r="G289" s="411">
        <f>G287</f>
        <v>976879.860067136</v>
      </c>
      <c r="H289" s="58"/>
      <c r="I289" s="556">
        <f>J289/G289*100</f>
        <v>21.10360204146081</v>
      </c>
      <c r="J289" s="554">
        <f>J280+J287</f>
        <v>206156.8380917476</v>
      </c>
      <c r="K289" s="539"/>
      <c r="L289" s="654">
        <f t="shared" ref="L289:X289" si="96">L280+L287</f>
        <v>5811.0881205523092</v>
      </c>
      <c r="M289" s="654">
        <f t="shared" si="96"/>
        <v>2800.9558375251618</v>
      </c>
      <c r="N289" s="654">
        <f t="shared" si="96"/>
        <v>633.99502918357121</v>
      </c>
      <c r="O289" s="645">
        <f t="shared" si="96"/>
        <v>0</v>
      </c>
      <c r="P289" s="645">
        <f t="shared" si="96"/>
        <v>0</v>
      </c>
      <c r="Q289" s="554">
        <f>Q280+Q287</f>
        <v>196910.79910448659</v>
      </c>
      <c r="R289" s="539"/>
      <c r="S289" s="654">
        <f t="shared" si="96"/>
        <v>5380.6440082562503</v>
      </c>
      <c r="T289" s="654">
        <f t="shared" si="96"/>
        <v>12031.445193721327</v>
      </c>
      <c r="U289" s="654">
        <f t="shared" si="96"/>
        <v>2723.3095686261609</v>
      </c>
      <c r="V289" s="654">
        <f t="shared" si="96"/>
        <v>594.2901811550862</v>
      </c>
      <c r="W289" s="619">
        <f t="shared" si="96"/>
        <v>0</v>
      </c>
      <c r="X289" s="619">
        <f t="shared" si="96"/>
        <v>0</v>
      </c>
      <c r="Y289" s="655"/>
      <c r="Z289" s="554">
        <f>Z280+Z287</f>
        <v>217640.48805624543</v>
      </c>
      <c r="AA289" s="556">
        <f>Z289/G289*100</f>
        <v>22.279145773492363</v>
      </c>
      <c r="AB289" s="654">
        <f t="shared" ref="AB289" si="97">AB280+AB287</f>
        <v>11483.649964497794</v>
      </c>
      <c r="AC289" s="656">
        <f>AA289/I289-1</f>
        <v>5.5703463784146479E-2</v>
      </c>
      <c r="AD289" s="630"/>
      <c r="AF289" s="543"/>
      <c r="AI289" s="543"/>
      <c r="AK289" s="543"/>
      <c r="AM289" s="560"/>
    </row>
    <row r="290" spans="1:39">
      <c r="A290" s="6"/>
      <c r="B290" s="58"/>
      <c r="C290" s="10"/>
      <c r="D290" s="58"/>
      <c r="E290" s="30"/>
      <c r="F290" s="58"/>
      <c r="G290" s="29"/>
      <c r="H290" s="58"/>
      <c r="I290" s="58"/>
      <c r="J290" s="58"/>
      <c r="K290" s="58"/>
      <c r="L290" s="501"/>
      <c r="M290" s="501"/>
      <c r="N290" s="501"/>
      <c r="O290" s="501"/>
      <c r="P290" s="501"/>
      <c r="Q290" s="501"/>
      <c r="R290" s="58"/>
      <c r="S290" s="58"/>
      <c r="T290" s="501"/>
      <c r="U290" s="501"/>
      <c r="V290" s="501"/>
      <c r="W290" s="501"/>
      <c r="X290" s="501"/>
      <c r="Y290" s="58"/>
      <c r="Z290" s="58"/>
      <c r="AA290" s="58"/>
      <c r="AB290" s="501"/>
      <c r="AC290" s="501"/>
      <c r="AF290" s="543"/>
      <c r="AI290" s="543"/>
      <c r="AK290" s="543"/>
      <c r="AM290" s="560"/>
    </row>
    <row r="291" spans="1:39">
      <c r="A291" s="6"/>
      <c r="B291" s="581"/>
      <c r="C291" s="10" t="s">
        <v>268</v>
      </c>
      <c r="D291" s="581"/>
      <c r="E291" s="581"/>
      <c r="F291" s="581"/>
      <c r="G291" s="581"/>
      <c r="H291" s="581"/>
      <c r="I291" s="581"/>
      <c r="J291" s="581"/>
      <c r="K291" s="581"/>
      <c r="L291" s="501"/>
      <c r="M291" s="501"/>
      <c r="N291" s="501"/>
      <c r="O291" s="501"/>
      <c r="P291" s="501"/>
      <c r="Q291" s="501"/>
      <c r="R291" s="581"/>
      <c r="S291" s="581"/>
      <c r="T291" s="501"/>
      <c r="U291" s="501"/>
      <c r="V291" s="501"/>
      <c r="W291" s="501"/>
      <c r="X291" s="501"/>
      <c r="Y291" s="581"/>
      <c r="Z291" s="581"/>
      <c r="AA291" s="657"/>
      <c r="AB291" s="501"/>
      <c r="AC291" s="541"/>
      <c r="AD291" s="542"/>
      <c r="AF291" s="543"/>
      <c r="AI291" s="543"/>
      <c r="AK291" s="543"/>
      <c r="AM291" s="560"/>
    </row>
    <row r="292" spans="1:39">
      <c r="A292" s="6">
        <f>MAX(A$279:A291)+1</f>
        <v>132</v>
      </c>
      <c r="B292" s="57"/>
      <c r="C292" s="12" t="s">
        <v>306</v>
      </c>
      <c r="D292" s="57"/>
      <c r="E292" s="522" t="s">
        <v>262</v>
      </c>
      <c r="F292" s="57"/>
      <c r="G292" s="29">
        <v>274790.8752561867</v>
      </c>
      <c r="H292" s="614"/>
      <c r="I292" s="547">
        <v>4.4904000000000011</v>
      </c>
      <c r="J292" s="624">
        <f>G292*I292/100</f>
        <v>12339.20946250381</v>
      </c>
      <c r="K292" s="614"/>
      <c r="L292" s="643">
        <v>0</v>
      </c>
      <c r="M292" s="643">
        <v>0</v>
      </c>
      <c r="N292" s="643">
        <v>0</v>
      </c>
      <c r="O292" s="29">
        <v>39.985002056233732</v>
      </c>
      <c r="P292" s="643">
        <v>0</v>
      </c>
      <c r="Q292" s="534">
        <f>J292-L292-M292-N292-O292-P292</f>
        <v>12299.224460447576</v>
      </c>
      <c r="R292" s="614"/>
      <c r="S292" s="29">
        <v>-31.525565767915168</v>
      </c>
      <c r="T292" s="643">
        <v>0</v>
      </c>
      <c r="U292" s="643">
        <v>0</v>
      </c>
      <c r="V292" s="643">
        <v>0</v>
      </c>
      <c r="W292" s="29">
        <v>49.117732712342395</v>
      </c>
      <c r="X292" s="29">
        <v>0</v>
      </c>
      <c r="Y292" s="614"/>
      <c r="Z292" s="624">
        <f>Q292+S292+T292+U292+V292+W292+X292</f>
        <v>12316.816627392003</v>
      </c>
      <c r="AA292" s="597">
        <f>Z292/G292*100</f>
        <v>4.4822509538968758</v>
      </c>
      <c r="AB292" s="658">
        <f>Z292-J292</f>
        <v>-22.392835111806562</v>
      </c>
      <c r="AC292" s="599"/>
      <c r="AD292" s="600"/>
      <c r="AF292" s="543"/>
      <c r="AI292" s="543"/>
      <c r="AK292" s="543"/>
      <c r="AM292" s="560"/>
    </row>
    <row r="293" spans="1:39">
      <c r="A293" s="6">
        <f>MAX(A$279:A292)+1</f>
        <v>133</v>
      </c>
      <c r="B293" s="3"/>
      <c r="C293" s="12" t="s">
        <v>307</v>
      </c>
      <c r="D293" s="3"/>
      <c r="E293" s="522" t="s">
        <v>262</v>
      </c>
      <c r="F293" s="3"/>
      <c r="G293" s="29">
        <v>702088.9848109493</v>
      </c>
      <c r="H293" s="616"/>
      <c r="I293" s="547">
        <v>2.2974999999999999</v>
      </c>
      <c r="J293" s="624">
        <f>G293*I293/100</f>
        <v>16130.494426031561</v>
      </c>
      <c r="K293" s="616"/>
      <c r="L293" s="643">
        <v>0</v>
      </c>
      <c r="M293" s="643">
        <v>0</v>
      </c>
      <c r="N293" s="643">
        <v>0</v>
      </c>
      <c r="O293" s="29">
        <v>145.9449038169349</v>
      </c>
      <c r="P293" s="29">
        <v>108.01479003855833</v>
      </c>
      <c r="Q293" s="534">
        <f>J293-L293-M293-N293-O293-P293</f>
        <v>15876.534732176067</v>
      </c>
      <c r="R293" s="616"/>
      <c r="S293" s="29">
        <v>-31.150827840763895</v>
      </c>
      <c r="T293" s="643">
        <v>0</v>
      </c>
      <c r="U293" s="643">
        <v>0</v>
      </c>
      <c r="V293" s="643">
        <v>0</v>
      </c>
      <c r="W293" s="29">
        <v>179.27928992793807</v>
      </c>
      <c r="X293" s="29">
        <v>108.1365316886159</v>
      </c>
      <c r="Y293" s="616"/>
      <c r="Z293" s="624">
        <f>Q293+S293+T293+U293+V293+W293+X293</f>
        <v>16132.799725951858</v>
      </c>
      <c r="AA293" s="597">
        <f>Z293/G293*100</f>
        <v>2.2978283486808895</v>
      </c>
      <c r="AB293" s="658">
        <f>Z293-J293</f>
        <v>2.3052999202973297</v>
      </c>
      <c r="AC293" s="599"/>
      <c r="AD293" s="600"/>
      <c r="AF293" s="543"/>
      <c r="AI293" s="543"/>
      <c r="AK293" s="543"/>
      <c r="AM293" s="560"/>
    </row>
    <row r="294" spans="1:39">
      <c r="A294" s="6">
        <f>MAX(A$279:A293)+1</f>
        <v>134</v>
      </c>
      <c r="B294" s="5"/>
      <c r="C294" s="10" t="s">
        <v>268</v>
      </c>
      <c r="D294" s="5"/>
      <c r="E294" s="6"/>
      <c r="F294" s="5"/>
      <c r="G294" s="411">
        <f>SUM(G292:G293)</f>
        <v>976879.860067136</v>
      </c>
      <c r="H294" s="659"/>
      <c r="I294" s="660">
        <f>J294/G294*100</f>
        <v>2.914350582125707</v>
      </c>
      <c r="J294" s="661">
        <f>SUM(J292:J293)</f>
        <v>28469.703888535369</v>
      </c>
      <c r="K294" s="659"/>
      <c r="L294" s="662">
        <f t="shared" ref="L294:Q294" si="98">SUM(L292:L293)</f>
        <v>0</v>
      </c>
      <c r="M294" s="662">
        <f t="shared" si="98"/>
        <v>0</v>
      </c>
      <c r="N294" s="662">
        <f t="shared" si="98"/>
        <v>0</v>
      </c>
      <c r="O294" s="411">
        <f t="shared" si="98"/>
        <v>185.92990587316862</v>
      </c>
      <c r="P294" s="411">
        <f t="shared" si="98"/>
        <v>108.01479003855833</v>
      </c>
      <c r="Q294" s="552">
        <f t="shared" si="98"/>
        <v>28175.759192623642</v>
      </c>
      <c r="R294" s="659"/>
      <c r="S294" s="636">
        <f>SUM(S292:S293)</f>
        <v>-62.676393608679064</v>
      </c>
      <c r="T294" s="663">
        <f t="shared" ref="T294:X294" si="99">SUM(T292:T293)</f>
        <v>0</v>
      </c>
      <c r="U294" s="663">
        <f t="shared" si="99"/>
        <v>0</v>
      </c>
      <c r="V294" s="663">
        <f t="shared" si="99"/>
        <v>0</v>
      </c>
      <c r="W294" s="636">
        <f t="shared" si="99"/>
        <v>228.39702264028045</v>
      </c>
      <c r="X294" s="636">
        <f t="shared" si="99"/>
        <v>108.1365316886159</v>
      </c>
      <c r="Y294" s="642"/>
      <c r="Z294" s="661">
        <f>SUM(Z292:Z293)</f>
        <v>28449.616353343859</v>
      </c>
      <c r="AA294" s="608">
        <f>Z294/G294*100</f>
        <v>2.9122942867701931</v>
      </c>
      <c r="AB294" s="636">
        <f t="shared" ref="AB294" si="100">SUM(AB292:AB293)</f>
        <v>-20.087535191509232</v>
      </c>
      <c r="AC294" s="664">
        <f>AA294/I294-1</f>
        <v>-7.0557583844765848E-4</v>
      </c>
      <c r="AD294" s="653"/>
      <c r="AF294" s="543"/>
      <c r="AI294" s="543"/>
      <c r="AK294" s="543"/>
      <c r="AM294" s="560"/>
    </row>
    <row r="295" spans="1:39">
      <c r="A295" s="6"/>
      <c r="B295" s="58"/>
      <c r="C295" s="58"/>
      <c r="D295" s="58"/>
      <c r="E295" s="6"/>
      <c r="F295" s="58"/>
      <c r="G295" s="665"/>
      <c r="H295" s="539"/>
      <c r="I295" s="539"/>
      <c r="J295" s="539"/>
      <c r="K295" s="539"/>
      <c r="L295" s="534"/>
      <c r="M295" s="534"/>
      <c r="N295" s="534"/>
      <c r="O295" s="534"/>
      <c r="P295" s="534"/>
      <c r="Q295" s="534"/>
      <c r="R295" s="539"/>
      <c r="S295" s="539"/>
      <c r="T295" s="534"/>
      <c r="U295" s="534"/>
      <c r="V295" s="534"/>
      <c r="W295" s="534"/>
      <c r="X295" s="534"/>
      <c r="Y295" s="58"/>
      <c r="Z295" s="58"/>
      <c r="AA295" s="548"/>
      <c r="AB295" s="501"/>
      <c r="AC295" s="541"/>
      <c r="AD295" s="542"/>
      <c r="AF295" s="543"/>
      <c r="AI295" s="543"/>
      <c r="AK295" s="543"/>
      <c r="AM295" s="560"/>
    </row>
    <row r="296" spans="1:39">
      <c r="A296" s="6"/>
      <c r="B296" s="58"/>
      <c r="C296" s="10" t="s">
        <v>308</v>
      </c>
      <c r="D296" s="58"/>
      <c r="E296" s="30"/>
      <c r="F296" s="58"/>
      <c r="G296" s="132"/>
      <c r="H296" s="58"/>
      <c r="I296" s="58"/>
      <c r="J296" s="58"/>
      <c r="K296" s="58"/>
      <c r="L296" s="501"/>
      <c r="M296" s="501"/>
      <c r="N296" s="501"/>
      <c r="O296" s="501"/>
      <c r="P296" s="501"/>
      <c r="Q296" s="501"/>
      <c r="R296" s="58"/>
      <c r="S296" s="58"/>
      <c r="T296" s="501"/>
      <c r="U296" s="501"/>
      <c r="V296" s="501"/>
      <c r="W296" s="501"/>
      <c r="X296" s="501"/>
      <c r="Y296" s="58"/>
      <c r="Z296" s="58"/>
      <c r="AA296" s="58"/>
      <c r="AB296" s="501"/>
      <c r="AC296" s="501"/>
      <c r="AF296" s="543"/>
      <c r="AI296" s="543"/>
      <c r="AK296" s="543"/>
      <c r="AM296" s="560"/>
    </row>
    <row r="297" spans="1:39">
      <c r="A297" s="6">
        <f>MAX(A$279:A296)+1</f>
        <v>135</v>
      </c>
      <c r="B297" s="58"/>
      <c r="C297" s="12" t="s">
        <v>306</v>
      </c>
      <c r="D297" s="58"/>
      <c r="E297" s="522" t="s">
        <v>262</v>
      </c>
      <c r="F297" s="58"/>
      <c r="G297" s="29">
        <v>274790.8752561867</v>
      </c>
      <c r="H297" s="58"/>
      <c r="I297" s="547">
        <v>2.2812000000000001</v>
      </c>
      <c r="J297" s="539">
        <f>G297*I297/100</f>
        <v>6268.5294463441314</v>
      </c>
      <c r="K297" s="58"/>
      <c r="L297" s="643">
        <v>0</v>
      </c>
      <c r="M297" s="643">
        <v>0</v>
      </c>
      <c r="N297" s="643">
        <v>0</v>
      </c>
      <c r="O297" s="29">
        <v>63.68335431669415</v>
      </c>
      <c r="P297" s="29">
        <v>423.30398225785399</v>
      </c>
      <c r="Q297" s="534">
        <f>J297-L297-M297-N297-O297-P297</f>
        <v>5781.5421097695835</v>
      </c>
      <c r="R297" s="58"/>
      <c r="S297" s="29">
        <v>127.93982843107369</v>
      </c>
      <c r="T297" s="643">
        <v>0</v>
      </c>
      <c r="U297" s="643">
        <v>0</v>
      </c>
      <c r="V297" s="643">
        <v>0</v>
      </c>
      <c r="W297" s="29">
        <v>78.228881197847059</v>
      </c>
      <c r="X297" s="29">
        <v>423.78108104458141</v>
      </c>
      <c r="Y297" s="539"/>
      <c r="Z297" s="539">
        <f>Q297+S297+T297+U297+V297+W297+X297</f>
        <v>6411.4919004430858</v>
      </c>
      <c r="AA297" s="548">
        <f>Z297/G297*100</f>
        <v>2.3332259102365285</v>
      </c>
      <c r="AB297" s="534">
        <f>Z297-J297</f>
        <v>142.96245409895437</v>
      </c>
      <c r="AC297" s="541"/>
      <c r="AD297" s="542"/>
      <c r="AF297" s="543"/>
      <c r="AI297" s="543"/>
      <c r="AK297" s="543"/>
      <c r="AM297" s="560"/>
    </row>
    <row r="298" spans="1:39">
      <c r="A298" s="6">
        <f>MAX(A$279:A297)+1</f>
        <v>136</v>
      </c>
      <c r="B298" s="58"/>
      <c r="C298" s="12" t="s">
        <v>307</v>
      </c>
      <c r="D298" s="58"/>
      <c r="E298" s="522" t="s">
        <v>262</v>
      </c>
      <c r="F298" s="58"/>
      <c r="G298" s="29">
        <v>702088.9848109493</v>
      </c>
      <c r="H298" s="58"/>
      <c r="I298" s="547">
        <v>6.2597999999999994</v>
      </c>
      <c r="J298" s="539">
        <f t="shared" ref="J298" si="101">G298*I298/100</f>
        <v>43949.366271195802</v>
      </c>
      <c r="K298" s="58"/>
      <c r="L298" s="643">
        <v>0</v>
      </c>
      <c r="M298" s="643">
        <v>0</v>
      </c>
      <c r="N298" s="643">
        <v>0</v>
      </c>
      <c r="O298" s="29">
        <v>170.3272640472313</v>
      </c>
      <c r="P298" s="29">
        <v>1323.8383073799539</v>
      </c>
      <c r="Q298" s="534">
        <f>J298-L298-M298-N298-O298-P298</f>
        <v>42455.200699768619</v>
      </c>
      <c r="R298" s="58"/>
      <c r="S298" s="29">
        <v>413.12182554415085</v>
      </c>
      <c r="T298" s="643">
        <v>0</v>
      </c>
      <c r="U298" s="643">
        <v>0</v>
      </c>
      <c r="V298" s="643">
        <v>0</v>
      </c>
      <c r="W298" s="29">
        <v>209.23067647541072</v>
      </c>
      <c r="X298" s="29">
        <v>1325.3303832326435</v>
      </c>
      <c r="Y298" s="539"/>
      <c r="Z298" s="539">
        <f>Q298+S298+T298+U298+V298+W298+X298</f>
        <v>44402.88358502082</v>
      </c>
      <c r="AA298" s="548">
        <f>Z298/G298*100</f>
        <v>6.3243954179080495</v>
      </c>
      <c r="AB298" s="534">
        <f>Z298-J298</f>
        <v>453.51731382501748</v>
      </c>
      <c r="AC298" s="541"/>
      <c r="AD298" s="542"/>
      <c r="AF298" s="543"/>
      <c r="AI298" s="543"/>
      <c r="AK298" s="543"/>
      <c r="AM298" s="560"/>
    </row>
    <row r="299" spans="1:39">
      <c r="A299" s="6">
        <f>MAX(A$279:A298)+1</f>
        <v>137</v>
      </c>
      <c r="B299" s="58"/>
      <c r="C299" s="10" t="s">
        <v>309</v>
      </c>
      <c r="D299" s="58"/>
      <c r="E299" s="591"/>
      <c r="F299" s="58"/>
      <c r="G299" s="663">
        <f>SUM(G297:G298)</f>
        <v>976879.860067136</v>
      </c>
      <c r="H299" s="58"/>
      <c r="I299" s="666">
        <f>J299/G299*100</f>
        <v>5.1406419325799906</v>
      </c>
      <c r="J299" s="554">
        <f>SUM(J297:J298)</f>
        <v>50217.895717539934</v>
      </c>
      <c r="K299" s="539"/>
      <c r="L299" s="645">
        <f t="shared" ref="L299:P299" si="102">SUM(L297:L298)</f>
        <v>0</v>
      </c>
      <c r="M299" s="645">
        <f t="shared" si="102"/>
        <v>0</v>
      </c>
      <c r="N299" s="645">
        <f t="shared" si="102"/>
        <v>0</v>
      </c>
      <c r="O299" s="645">
        <f t="shared" si="102"/>
        <v>234.01061836392546</v>
      </c>
      <c r="P299" s="645">
        <f t="shared" si="102"/>
        <v>1747.1422896378078</v>
      </c>
      <c r="Q299" s="554">
        <f>SUM(Q297:Q298)</f>
        <v>48236.742809538206</v>
      </c>
      <c r="R299" s="640"/>
      <c r="S299" s="645">
        <f t="shared" ref="S299:X299" si="103">SUM(S297:S298)</f>
        <v>541.06165397522454</v>
      </c>
      <c r="T299" s="645">
        <f t="shared" si="103"/>
        <v>0</v>
      </c>
      <c r="U299" s="645">
        <f t="shared" si="103"/>
        <v>0</v>
      </c>
      <c r="V299" s="645">
        <f t="shared" si="103"/>
        <v>0</v>
      </c>
      <c r="W299" s="645">
        <f t="shared" si="103"/>
        <v>287.45955767325779</v>
      </c>
      <c r="X299" s="645">
        <f t="shared" si="103"/>
        <v>1749.111464277225</v>
      </c>
      <c r="Y299" s="539"/>
      <c r="Z299" s="554">
        <f>SUM(Z297:Z298)</f>
        <v>50814.375485463905</v>
      </c>
      <c r="AA299" s="556">
        <f>Z299/G299*100</f>
        <v>5.201701617839853</v>
      </c>
      <c r="AB299" s="552">
        <f>SUM(AB297:AB298)</f>
        <v>596.47976792397185</v>
      </c>
      <c r="AC299" s="562">
        <f>AA299/I299-1</f>
        <v>1.187783278054888E-2</v>
      </c>
      <c r="AD299" s="542"/>
      <c r="AF299" s="543"/>
      <c r="AI299" s="543"/>
      <c r="AK299" s="543"/>
      <c r="AM299" s="560"/>
    </row>
    <row r="300" spans="1:39">
      <c r="A300" s="6"/>
      <c r="L300" s="501"/>
      <c r="M300" s="501"/>
      <c r="N300" s="501"/>
      <c r="O300" s="501"/>
      <c r="P300" s="501"/>
      <c r="Q300" s="501"/>
      <c r="T300" s="501"/>
      <c r="U300" s="501"/>
      <c r="V300" s="501"/>
      <c r="W300" s="501"/>
      <c r="X300" s="501"/>
      <c r="AA300" s="632"/>
      <c r="AB300" s="501"/>
      <c r="AC300" s="541"/>
      <c r="AD300" s="542"/>
      <c r="AF300" s="543"/>
      <c r="AI300" s="543"/>
      <c r="AK300" s="543"/>
      <c r="AM300" s="560"/>
    </row>
    <row r="301" spans="1:39">
      <c r="A301" s="6"/>
      <c r="B301" s="58"/>
      <c r="C301" s="10" t="s">
        <v>270</v>
      </c>
      <c r="D301" s="58"/>
      <c r="E301" s="6"/>
      <c r="F301" s="58"/>
      <c r="G301" s="665"/>
      <c r="H301" s="539"/>
      <c r="I301" s="539"/>
      <c r="J301" s="539"/>
      <c r="K301" s="539"/>
      <c r="L301" s="534"/>
      <c r="M301" s="534"/>
      <c r="N301" s="534"/>
      <c r="O301" s="534"/>
      <c r="P301" s="534"/>
      <c r="Q301" s="534"/>
      <c r="R301" s="539"/>
      <c r="S301" s="539"/>
      <c r="T301" s="534"/>
      <c r="U301" s="534"/>
      <c r="V301" s="534"/>
      <c r="W301" s="534"/>
      <c r="X301" s="534"/>
      <c r="Y301" s="58"/>
      <c r="Z301" s="58"/>
      <c r="AA301" s="548"/>
      <c r="AB301" s="501"/>
      <c r="AC301" s="541"/>
      <c r="AD301" s="542"/>
      <c r="AF301" s="543"/>
      <c r="AI301" s="543"/>
      <c r="AK301" s="543"/>
      <c r="AM301" s="560"/>
    </row>
    <row r="302" spans="1:39">
      <c r="A302" s="6">
        <f>MAX(A$279:A301)+1</f>
        <v>138</v>
      </c>
      <c r="B302" s="58"/>
      <c r="C302" s="12" t="s">
        <v>306</v>
      </c>
      <c r="D302" s="58"/>
      <c r="E302" s="522" t="s">
        <v>262</v>
      </c>
      <c r="F302" s="58"/>
      <c r="G302" s="29">
        <v>261993.35937156968</v>
      </c>
      <c r="H302" s="624"/>
      <c r="I302" s="547">
        <v>18.274100000000001</v>
      </c>
      <c r="J302" s="624">
        <f>G302*I302/100</f>
        <v>47876.928484920012</v>
      </c>
      <c r="K302" s="539"/>
      <c r="L302" s="643">
        <v>0</v>
      </c>
      <c r="M302" s="643">
        <v>0</v>
      </c>
      <c r="N302" s="643">
        <v>0</v>
      </c>
      <c r="O302" s="643">
        <v>0</v>
      </c>
      <c r="P302" s="643">
        <v>0</v>
      </c>
      <c r="Q302" s="534">
        <f>J302-L302-M302-N302-O302-P302</f>
        <v>47876.928484920012</v>
      </c>
      <c r="R302" s="539"/>
      <c r="S302" s="29">
        <v>14.926605939943784</v>
      </c>
      <c r="T302" s="643">
        <v>0</v>
      </c>
      <c r="U302" s="643">
        <v>0</v>
      </c>
      <c r="V302" s="643">
        <v>0</v>
      </c>
      <c r="W302" s="643">
        <v>0</v>
      </c>
      <c r="X302" s="643">
        <v>0</v>
      </c>
      <c r="Y302" s="58"/>
      <c r="Z302" s="539">
        <f>Q302+S302+T302+U302+V302+W302+X302</f>
        <v>47891.855090859957</v>
      </c>
      <c r="AA302" s="548">
        <f>Z302/G302*100</f>
        <v>18.279797322243489</v>
      </c>
      <c r="AB302" s="534">
        <f>Z302-J302</f>
        <v>14.926605939945148</v>
      </c>
      <c r="AC302" s="541"/>
      <c r="AD302" s="667"/>
      <c r="AF302" s="543"/>
      <c r="AI302" s="543"/>
      <c r="AK302" s="543"/>
      <c r="AM302" s="560"/>
    </row>
    <row r="303" spans="1:39">
      <c r="A303" s="6">
        <f>MAX(A$279:A302)+1</f>
        <v>139</v>
      </c>
      <c r="B303" s="58"/>
      <c r="C303" s="12" t="s">
        <v>307</v>
      </c>
      <c r="D303" s="58"/>
      <c r="E303" s="522" t="s">
        <v>262</v>
      </c>
      <c r="F303" s="58"/>
      <c r="G303" s="29">
        <v>657094.96247954725</v>
      </c>
      <c r="H303" s="624"/>
      <c r="I303" s="547">
        <v>20.820800000000002</v>
      </c>
      <c r="J303" s="624">
        <f>G303*I303/100</f>
        <v>136812.42794794159</v>
      </c>
      <c r="K303" s="539"/>
      <c r="L303" s="643">
        <v>0</v>
      </c>
      <c r="M303" s="643">
        <v>0</v>
      </c>
      <c r="N303" s="643">
        <v>0</v>
      </c>
      <c r="O303" s="643">
        <v>0</v>
      </c>
      <c r="P303" s="643">
        <v>0</v>
      </c>
      <c r="Q303" s="534">
        <f>J303-L303-M303-N303-O303-P303</f>
        <v>136812.42794794159</v>
      </c>
      <c r="R303" s="539"/>
      <c r="S303" s="29">
        <v>37.436817458200949</v>
      </c>
      <c r="T303" s="643">
        <v>0</v>
      </c>
      <c r="U303" s="643">
        <v>0</v>
      </c>
      <c r="V303" s="643">
        <v>0</v>
      </c>
      <c r="W303" s="643">
        <v>0</v>
      </c>
      <c r="X303" s="643">
        <v>0</v>
      </c>
      <c r="Y303" s="58"/>
      <c r="Z303" s="539">
        <f>Q303+S303+T303+U303+V303+W303+X303</f>
        <v>136849.86476539978</v>
      </c>
      <c r="AA303" s="548">
        <f>Z303/G303*100</f>
        <v>20.82649732224349</v>
      </c>
      <c r="AB303" s="534">
        <f>Z303-J303</f>
        <v>37.43681745819049</v>
      </c>
      <c r="AC303" s="541"/>
      <c r="AD303" s="667"/>
      <c r="AF303" s="543"/>
      <c r="AI303" s="543"/>
      <c r="AK303" s="543"/>
      <c r="AM303" s="560"/>
    </row>
    <row r="304" spans="1:39">
      <c r="A304" s="6">
        <f>MAX(A$279:A303)+1</f>
        <v>140</v>
      </c>
      <c r="B304" s="58"/>
      <c r="C304" s="10" t="s">
        <v>270</v>
      </c>
      <c r="D304" s="58"/>
      <c r="E304" s="30"/>
      <c r="F304" s="58"/>
      <c r="G304" s="411">
        <f>SUM(G302:G303)</f>
        <v>919088.32185111695</v>
      </c>
      <c r="H304" s="411"/>
      <c r="I304" s="668">
        <f>J304/G304*100</f>
        <v>20.094843122463196</v>
      </c>
      <c r="J304" s="552">
        <f t="shared" ref="J304:Q304" si="104">SUM(J302:J303)</f>
        <v>184689.35643286159</v>
      </c>
      <c r="K304" s="539"/>
      <c r="L304" s="662">
        <f t="shared" si="104"/>
        <v>0</v>
      </c>
      <c r="M304" s="662">
        <f t="shared" si="104"/>
        <v>0</v>
      </c>
      <c r="N304" s="662">
        <f t="shared" si="104"/>
        <v>0</v>
      </c>
      <c r="O304" s="662">
        <f t="shared" si="104"/>
        <v>0</v>
      </c>
      <c r="P304" s="662">
        <f t="shared" si="104"/>
        <v>0</v>
      </c>
      <c r="Q304" s="552">
        <f t="shared" si="104"/>
        <v>184689.35643286159</v>
      </c>
      <c r="R304" s="539"/>
      <c r="S304" s="411">
        <f>SUM(S302:S303)</f>
        <v>52.363423398144732</v>
      </c>
      <c r="T304" s="662">
        <f t="shared" ref="T304:X304" si="105">SUM(T302:T303)</f>
        <v>0</v>
      </c>
      <c r="U304" s="662">
        <f t="shared" si="105"/>
        <v>0</v>
      </c>
      <c r="V304" s="662">
        <f t="shared" si="105"/>
        <v>0</v>
      </c>
      <c r="W304" s="662">
        <f t="shared" si="105"/>
        <v>0</v>
      </c>
      <c r="X304" s="662">
        <f t="shared" si="105"/>
        <v>0</v>
      </c>
      <c r="Y304" s="58"/>
      <c r="Z304" s="554">
        <f>SUM(Z302:Z303)</f>
        <v>184741.71985625973</v>
      </c>
      <c r="AA304" s="556">
        <f>Z304/G304*100</f>
        <v>20.100540444706688</v>
      </c>
      <c r="AB304" s="552">
        <f>SUM(AB302:AB303)</f>
        <v>52.363423398135637</v>
      </c>
      <c r="AC304" s="562">
        <f>AA304/I304-1</f>
        <v>2.8352160844313801E-4</v>
      </c>
      <c r="AD304" s="542"/>
      <c r="AF304" s="543"/>
      <c r="AI304" s="543"/>
      <c r="AK304" s="543"/>
      <c r="AM304" s="560"/>
    </row>
    <row r="305" spans="1:39">
      <c r="A305" s="6"/>
      <c r="B305" s="58"/>
      <c r="C305" s="10"/>
      <c r="D305" s="58"/>
      <c r="E305" s="30"/>
      <c r="F305" s="58"/>
      <c r="G305" s="536"/>
      <c r="H305" s="624"/>
      <c r="I305" s="624"/>
      <c r="J305" s="624"/>
      <c r="K305" s="539"/>
      <c r="L305" s="534"/>
      <c r="M305" s="534"/>
      <c r="N305" s="534"/>
      <c r="O305" s="534"/>
      <c r="P305" s="534"/>
      <c r="Q305" s="534"/>
      <c r="R305" s="539"/>
      <c r="S305" s="539"/>
      <c r="T305" s="534"/>
      <c r="U305" s="534"/>
      <c r="V305" s="534"/>
      <c r="W305" s="534"/>
      <c r="X305" s="534"/>
      <c r="Y305" s="58"/>
      <c r="Z305" s="58"/>
      <c r="AA305" s="548"/>
      <c r="AB305" s="501"/>
      <c r="AC305" s="541"/>
      <c r="AD305" s="542"/>
      <c r="AF305" s="543"/>
      <c r="AI305" s="543"/>
      <c r="AK305" s="543"/>
      <c r="AM305" s="560"/>
    </row>
    <row r="306" spans="1:39">
      <c r="A306" s="6">
        <f>MAX(A$279:A305)+1</f>
        <v>141</v>
      </c>
      <c r="B306" s="58"/>
      <c r="C306" s="10" t="s">
        <v>310</v>
      </c>
      <c r="D306" s="58"/>
      <c r="E306" s="30"/>
      <c r="F306" s="58"/>
      <c r="G306" s="29"/>
      <c r="H306" s="603"/>
      <c r="I306" s="603"/>
      <c r="J306" s="603"/>
      <c r="K306" s="58"/>
      <c r="L306" s="501"/>
      <c r="M306" s="501"/>
      <c r="N306" s="501"/>
      <c r="O306" s="501"/>
      <c r="P306" s="501"/>
      <c r="Q306" s="501"/>
      <c r="R306" s="58"/>
      <c r="S306" s="58"/>
      <c r="T306" s="501"/>
      <c r="U306" s="501"/>
      <c r="V306" s="501"/>
      <c r="W306" s="501"/>
      <c r="X306" s="501"/>
      <c r="Y306" s="58"/>
      <c r="Z306" s="58"/>
      <c r="AA306" s="548"/>
      <c r="AB306" s="501"/>
      <c r="AC306" s="541"/>
      <c r="AD306" s="542"/>
      <c r="AF306" s="543"/>
      <c r="AI306" s="543"/>
      <c r="AK306" s="543"/>
      <c r="AM306" s="560"/>
    </row>
    <row r="307" spans="1:39" ht="12.95" thickBot="1">
      <c r="A307" s="6"/>
      <c r="B307" s="58"/>
      <c r="C307" s="12"/>
      <c r="D307" s="58"/>
      <c r="E307" s="30"/>
      <c r="F307" s="58"/>
      <c r="G307" s="589">
        <f>G289</f>
        <v>976879.860067136</v>
      </c>
      <c r="H307" s="58"/>
      <c r="I307" s="651">
        <f>J307/G307*100</f>
        <v>48.06464063026295</v>
      </c>
      <c r="J307" s="627">
        <f>J289+J299+J294+J304</f>
        <v>469533.79413068452</v>
      </c>
      <c r="K307" s="539"/>
      <c r="L307" s="589">
        <f>L289+L294+L299+L304</f>
        <v>5811.0881205523092</v>
      </c>
      <c r="M307" s="589">
        <f t="shared" ref="M307:X307" si="106">M289+M294+M299+M304</f>
        <v>2800.9558375251618</v>
      </c>
      <c r="N307" s="589">
        <f t="shared" si="106"/>
        <v>633.99502918357121</v>
      </c>
      <c r="O307" s="589">
        <f t="shared" si="106"/>
        <v>419.94052423709411</v>
      </c>
      <c r="P307" s="589">
        <f t="shared" si="106"/>
        <v>1855.1570796763663</v>
      </c>
      <c r="Q307" s="589">
        <f t="shared" si="106"/>
        <v>458012.65753950999</v>
      </c>
      <c r="R307" s="539"/>
      <c r="S307" s="589">
        <f t="shared" si="106"/>
        <v>5911.3926920209406</v>
      </c>
      <c r="T307" s="589">
        <f t="shared" si="106"/>
        <v>12031.445193721327</v>
      </c>
      <c r="U307" s="589">
        <f t="shared" si="106"/>
        <v>2723.3095686261609</v>
      </c>
      <c r="V307" s="589">
        <f t="shared" si="106"/>
        <v>594.2901811550862</v>
      </c>
      <c r="W307" s="589">
        <f t="shared" si="106"/>
        <v>515.85658031353819</v>
      </c>
      <c r="X307" s="589">
        <f t="shared" si="106"/>
        <v>1857.2479959658408</v>
      </c>
      <c r="Y307" s="539"/>
      <c r="Z307" s="627">
        <f>Z289+Z299+Z294+Z304</f>
        <v>481646.19975131296</v>
      </c>
      <c r="AA307" s="651">
        <f>Z307/G307*100</f>
        <v>49.304548024791082</v>
      </c>
      <c r="AB307" s="627">
        <f>AB289+AB299+AB294+AB304</f>
        <v>12112.405620628393</v>
      </c>
      <c r="AC307" s="629">
        <f>AA307/I307-1</f>
        <v>2.5796664206149345E-2</v>
      </c>
      <c r="AD307" s="630"/>
      <c r="AF307" s="543"/>
      <c r="AI307" s="543"/>
      <c r="AK307" s="543"/>
      <c r="AM307" s="560"/>
    </row>
    <row r="308" spans="1:39" ht="12.95" thickTop="1">
      <c r="A308" s="6"/>
      <c r="B308" s="58"/>
      <c r="C308" s="12"/>
      <c r="D308" s="58"/>
      <c r="E308" s="30"/>
      <c r="F308" s="58"/>
      <c r="G308" s="29"/>
      <c r="H308" s="58"/>
      <c r="I308" s="58"/>
      <c r="J308" s="58"/>
      <c r="K308" s="58"/>
      <c r="L308" s="501"/>
      <c r="M308" s="501"/>
      <c r="N308" s="501"/>
      <c r="O308" s="501"/>
      <c r="P308" s="501"/>
      <c r="Q308" s="501"/>
      <c r="R308" s="58"/>
      <c r="S308" s="58"/>
      <c r="T308" s="501"/>
      <c r="U308" s="501"/>
      <c r="V308" s="501"/>
      <c r="W308" s="501"/>
      <c r="X308" s="501"/>
      <c r="Y308" s="58"/>
      <c r="Z308" s="58"/>
      <c r="AA308" s="58"/>
      <c r="AB308" s="534"/>
      <c r="AC308" s="501"/>
    </row>
    <row r="309" spans="1:39">
      <c r="A309" s="6"/>
      <c r="B309" s="58"/>
      <c r="C309" s="9" t="s">
        <v>141</v>
      </c>
      <c r="D309" s="58"/>
      <c r="E309" s="30"/>
      <c r="F309" s="58"/>
      <c r="G309" s="29"/>
      <c r="H309" s="58"/>
      <c r="I309" s="58"/>
      <c r="J309" s="58"/>
      <c r="K309" s="58"/>
      <c r="L309" s="501"/>
      <c r="M309" s="501"/>
      <c r="N309" s="501"/>
      <c r="O309" s="501"/>
      <c r="P309" s="501"/>
      <c r="Q309" s="501"/>
      <c r="R309" s="58"/>
      <c r="S309" s="58"/>
      <c r="T309" s="501"/>
      <c r="U309" s="501"/>
      <c r="V309" s="501"/>
      <c r="W309" s="501"/>
      <c r="X309" s="501"/>
      <c r="Y309" s="58"/>
      <c r="Z309" s="58"/>
      <c r="AA309" s="58"/>
      <c r="AB309" s="501"/>
      <c r="AC309" s="501"/>
    </row>
    <row r="310" spans="1:39">
      <c r="A310" s="6">
        <f>MAX(A$279:A309)+1</f>
        <v>142</v>
      </c>
      <c r="B310" s="58"/>
      <c r="C310" s="10" t="s">
        <v>258</v>
      </c>
      <c r="D310" s="58"/>
      <c r="E310" s="30" t="s">
        <v>259</v>
      </c>
      <c r="F310" s="58"/>
      <c r="G310" s="29">
        <v>26448.999999999989</v>
      </c>
      <c r="H310" s="58"/>
      <c r="I310" s="537">
        <v>76.58</v>
      </c>
      <c r="J310" s="539">
        <f>G310*I310/1000</f>
        <v>2025.4644199999993</v>
      </c>
      <c r="K310" s="58"/>
      <c r="L310" s="643">
        <v>0</v>
      </c>
      <c r="M310" s="643">
        <v>0</v>
      </c>
      <c r="N310" s="643">
        <v>0</v>
      </c>
      <c r="O310" s="643">
        <v>0</v>
      </c>
      <c r="P310" s="643">
        <v>0</v>
      </c>
      <c r="Q310" s="534">
        <f>J310-L310-M310-N310-O310-P310</f>
        <v>2025.4644199999993</v>
      </c>
      <c r="R310" s="58"/>
      <c r="S310" s="29">
        <v>55.346395652105457</v>
      </c>
      <c r="T310" s="643">
        <v>0</v>
      </c>
      <c r="U310" s="643">
        <v>0</v>
      </c>
      <c r="V310" s="643">
        <v>0</v>
      </c>
      <c r="W310" s="643">
        <v>0</v>
      </c>
      <c r="X310" s="643">
        <v>0</v>
      </c>
      <c r="Y310" s="58"/>
      <c r="Z310" s="539">
        <f>Q310+S310+T310+U310+V310+W310+X310</f>
        <v>2080.8108156521048</v>
      </c>
      <c r="AA310" s="540">
        <f>Z310/G310*1000</f>
        <v>78.672570443196562</v>
      </c>
      <c r="AB310" s="534">
        <f>Z310-J310</f>
        <v>55.346395652105457</v>
      </c>
      <c r="AC310" s="541">
        <f>AA310/I310-1</f>
        <v>2.7325286539521709E-2</v>
      </c>
      <c r="AD310" s="542"/>
      <c r="AF310" s="543"/>
      <c r="AI310" s="543"/>
      <c r="AK310" s="543"/>
      <c r="AM310" s="560"/>
    </row>
    <row r="311" spans="1:39">
      <c r="A311" s="6"/>
      <c r="B311" s="58"/>
      <c r="C311" s="521" t="s">
        <v>260</v>
      </c>
      <c r="E311" s="30"/>
      <c r="G311" s="29"/>
      <c r="I311" s="537"/>
      <c r="J311" s="539"/>
      <c r="L311" s="643"/>
      <c r="M311" s="501"/>
      <c r="N311" s="501"/>
      <c r="O311" s="501"/>
      <c r="P311" s="501"/>
      <c r="Q311" s="534"/>
      <c r="S311" s="29"/>
      <c r="T311" s="29"/>
      <c r="U311" s="501"/>
      <c r="V311" s="501"/>
      <c r="W311" s="643"/>
      <c r="X311" s="643"/>
      <c r="Z311" s="539"/>
      <c r="AA311" s="632"/>
      <c r="AB311" s="534"/>
      <c r="AC311" s="541"/>
      <c r="AD311" s="542"/>
      <c r="AF311" s="543"/>
      <c r="AI311" s="543"/>
      <c r="AK311" s="543"/>
      <c r="AM311" s="560"/>
    </row>
    <row r="312" spans="1:39">
      <c r="A312" s="6">
        <f>MAX(A$279:A311)+1</f>
        <v>143</v>
      </c>
      <c r="B312" s="58"/>
      <c r="C312" s="526" t="s">
        <v>311</v>
      </c>
      <c r="D312" s="58"/>
      <c r="E312" s="522" t="s">
        <v>262</v>
      </c>
      <c r="F312" s="58"/>
      <c r="G312" s="29">
        <v>21878.718395321583</v>
      </c>
      <c r="H312" s="58"/>
      <c r="I312" s="547">
        <v>10.1913</v>
      </c>
      <c r="J312" s="539">
        <f>G312*I312/100</f>
        <v>2229.7258278224085</v>
      </c>
      <c r="K312" s="58"/>
      <c r="L312" s="643">
        <v>279.10681056911744</v>
      </c>
      <c r="M312" s="643">
        <v>47.030201551170357</v>
      </c>
      <c r="N312" s="643">
        <v>3.5005949432514534</v>
      </c>
      <c r="O312" s="643">
        <v>0</v>
      </c>
      <c r="P312" s="643">
        <v>0</v>
      </c>
      <c r="Q312" s="534">
        <f>J312-L312-M312-N312-O312-P312</f>
        <v>1900.0882207588693</v>
      </c>
      <c r="R312" s="58"/>
      <c r="S312" s="29">
        <v>51.920455082605713</v>
      </c>
      <c r="T312" s="29">
        <v>148.39462954453123</v>
      </c>
      <c r="U312" s="29">
        <v>45.726461011211455</v>
      </c>
      <c r="V312" s="29">
        <v>3.2813651640999226</v>
      </c>
      <c r="W312" s="643">
        <v>0</v>
      </c>
      <c r="X312" s="643">
        <v>0</v>
      </c>
      <c r="Y312" s="58"/>
      <c r="Z312" s="539">
        <f>Q312+S312+T312+U312+V312+W312+X312</f>
        <v>2149.4111315613177</v>
      </c>
      <c r="AA312" s="548">
        <f t="shared" ref="AA312:AA317" si="107">Z312/G312*100</f>
        <v>9.8242095022391034</v>
      </c>
      <c r="AB312" s="549">
        <f>Z312-J312</f>
        <v>-80.31469626109083</v>
      </c>
      <c r="AC312" s="541"/>
      <c r="AD312" s="542"/>
      <c r="AF312" s="543"/>
      <c r="AI312" s="543"/>
      <c r="AK312" s="543"/>
      <c r="AM312" s="560"/>
    </row>
    <row r="313" spans="1:39">
      <c r="A313" s="6">
        <f>MAX(A$279:A312)+1</f>
        <v>144</v>
      </c>
      <c r="B313" s="58"/>
      <c r="C313" s="526" t="s">
        <v>312</v>
      </c>
      <c r="D313" s="58"/>
      <c r="E313" s="522" t="s">
        <v>262</v>
      </c>
      <c r="F313" s="58"/>
      <c r="G313" s="29">
        <v>127369.83644505285</v>
      </c>
      <c r="H313" s="58"/>
      <c r="I313" s="547">
        <v>8.3182000000000009</v>
      </c>
      <c r="J313" s="539">
        <f t="shared" ref="J313:J316" si="108">G313*I313/100</f>
        <v>10594.877735172387</v>
      </c>
      <c r="K313" s="58"/>
      <c r="L313" s="643">
        <v>1326.302106902335</v>
      </c>
      <c r="M313" s="643">
        <v>273.79250335025813</v>
      </c>
      <c r="N313" s="643">
        <v>20.379173831208458</v>
      </c>
      <c r="O313" s="643">
        <v>0</v>
      </c>
      <c r="P313" s="643">
        <v>0</v>
      </c>
      <c r="Q313" s="534">
        <f>J313-L313-M313-N313-O313-P313</f>
        <v>8974.4039510885868</v>
      </c>
      <c r="R313" s="58"/>
      <c r="S313" s="29">
        <v>245.22815948491007</v>
      </c>
      <c r="T313" s="29">
        <v>704.86973800039618</v>
      </c>
      <c r="U313" s="29">
        <v>266.20260633979802</v>
      </c>
      <c r="V313" s="29">
        <v>19.102898840604507</v>
      </c>
      <c r="W313" s="643">
        <v>0</v>
      </c>
      <c r="X313" s="643">
        <v>0</v>
      </c>
      <c r="Y313" s="58"/>
      <c r="Z313" s="539">
        <f>Q313+S313+T313+U313+V313+W313+X313</f>
        <v>10209.807353754297</v>
      </c>
      <c r="AA313" s="548">
        <f t="shared" si="107"/>
        <v>8.0158753741972433</v>
      </c>
      <c r="AB313" s="549">
        <f>Z313-J313</f>
        <v>-385.07038141809062</v>
      </c>
      <c r="AC313" s="541"/>
      <c r="AD313" s="542"/>
      <c r="AF313" s="543"/>
      <c r="AI313" s="543"/>
      <c r="AK313" s="543"/>
      <c r="AM313" s="560"/>
    </row>
    <row r="314" spans="1:39">
      <c r="A314" s="6">
        <f>MAX(A$279:A313)+1</f>
        <v>145</v>
      </c>
      <c r="C314" s="526" t="s">
        <v>313</v>
      </c>
      <c r="D314" s="58"/>
      <c r="E314" s="522" t="s">
        <v>262</v>
      </c>
      <c r="F314" s="58"/>
      <c r="G314" s="29">
        <v>86147.272263560444</v>
      </c>
      <c r="H314" s="58"/>
      <c r="I314" s="547">
        <v>7.2328000000000001</v>
      </c>
      <c r="J314" s="539">
        <f t="shared" si="108"/>
        <v>6230.8599082787996</v>
      </c>
      <c r="K314" s="58"/>
      <c r="L314" s="643">
        <v>781.61420124728397</v>
      </c>
      <c r="M314" s="643">
        <v>185.18102863397834</v>
      </c>
      <c r="N314" s="643">
        <v>13.783563562169672</v>
      </c>
      <c r="O314" s="643">
        <v>0</v>
      </c>
      <c r="P314" s="643">
        <v>0</v>
      </c>
      <c r="Q314" s="534">
        <f>J314-L314-M314-N314-O314-P314</f>
        <v>5250.2811148353676</v>
      </c>
      <c r="R314" s="58"/>
      <c r="S314" s="29">
        <v>143.46543587591441</v>
      </c>
      <c r="T314" s="29">
        <v>414.41482532795089</v>
      </c>
      <c r="U314" s="29">
        <v>180.04756106848802</v>
      </c>
      <c r="V314" s="29">
        <v>12.920348124610694</v>
      </c>
      <c r="W314" s="643">
        <v>0</v>
      </c>
      <c r="X314" s="643">
        <v>0</v>
      </c>
      <c r="Y314" s="58"/>
      <c r="Z314" s="539">
        <f>Q314+S314+T314+U314+V314+W314+X314</f>
        <v>6001.1292852323313</v>
      </c>
      <c r="AA314" s="548">
        <f t="shared" si="107"/>
        <v>6.9661280358040507</v>
      </c>
      <c r="AB314" s="549">
        <f>Z314-J314</f>
        <v>-229.73062304646828</v>
      </c>
      <c r="AC314" s="541"/>
      <c r="AD314" s="542"/>
      <c r="AF314" s="543"/>
      <c r="AI314" s="543"/>
      <c r="AK314" s="543"/>
      <c r="AM314" s="560"/>
    </row>
    <row r="315" spans="1:39">
      <c r="A315" s="6">
        <f>MAX(A$279:A314)+1</f>
        <v>146</v>
      </c>
      <c r="B315" s="58"/>
      <c r="C315" s="526" t="s">
        <v>314</v>
      </c>
      <c r="D315" s="58"/>
      <c r="E315" s="522" t="s">
        <v>262</v>
      </c>
      <c r="F315" s="58"/>
      <c r="G315" s="29">
        <v>61526.068987249084</v>
      </c>
      <c r="H315" s="58"/>
      <c r="I315" s="547">
        <v>6.5511999999999997</v>
      </c>
      <c r="J315" s="539">
        <f t="shared" si="108"/>
        <v>4030.6958314926619</v>
      </c>
      <c r="K315" s="58"/>
      <c r="L315" s="643">
        <v>505.62123493721293</v>
      </c>
      <c r="M315" s="643">
        <v>132.25561812342184</v>
      </c>
      <c r="N315" s="643">
        <v>9.8441710379598533</v>
      </c>
      <c r="O315" s="643">
        <v>0</v>
      </c>
      <c r="P315" s="643">
        <v>0</v>
      </c>
      <c r="Q315" s="534">
        <f>J315-L315-M315-N315-O315-P315</f>
        <v>3382.9748073940673</v>
      </c>
      <c r="R315" s="58"/>
      <c r="S315" s="29">
        <v>92.440755968025314</v>
      </c>
      <c r="T315" s="29">
        <v>268.01995763699853</v>
      </c>
      <c r="U315" s="29">
        <v>128.58931423150204</v>
      </c>
      <c r="V315" s="29">
        <v>9.2276657074181561</v>
      </c>
      <c r="W315" s="643">
        <v>0</v>
      </c>
      <c r="X315" s="643">
        <v>0</v>
      </c>
      <c r="Y315" s="58"/>
      <c r="Z315" s="539">
        <f>Q315+S315+T315+U315+V315+W315+X315</f>
        <v>3881.2525009380115</v>
      </c>
      <c r="AA315" s="548">
        <f t="shared" si="107"/>
        <v>6.3083056740426215</v>
      </c>
      <c r="AB315" s="549">
        <f>Z315-J315</f>
        <v>-149.4433305546504</v>
      </c>
      <c r="AC315" s="541"/>
      <c r="AD315" s="542"/>
      <c r="AF315" s="543"/>
      <c r="AI315" s="543"/>
      <c r="AK315" s="543"/>
      <c r="AM315" s="560"/>
    </row>
    <row r="316" spans="1:39">
      <c r="A316" s="6">
        <f>MAX(A$279:A315)+1</f>
        <v>147</v>
      </c>
      <c r="B316" s="58"/>
      <c r="C316" s="526" t="s">
        <v>315</v>
      </c>
      <c r="D316" s="58"/>
      <c r="E316" s="574"/>
      <c r="F316" s="58"/>
      <c r="G316" s="29">
        <v>44741.947796564804</v>
      </c>
      <c r="H316" s="58"/>
      <c r="I316" s="547">
        <v>3.9687000000000001</v>
      </c>
      <c r="J316" s="539">
        <f t="shared" si="108"/>
        <v>1775.6736822022676</v>
      </c>
      <c r="K316" s="58"/>
      <c r="L316" s="643">
        <v>222.7254161312996</v>
      </c>
      <c r="M316" s="643">
        <v>96.176694843073619</v>
      </c>
      <c r="N316" s="643">
        <v>7.1587116474503683</v>
      </c>
      <c r="O316" s="643">
        <v>0</v>
      </c>
      <c r="P316" s="643">
        <v>0</v>
      </c>
      <c r="Q316" s="534">
        <f>J316-L316-M316-N316-O316-P316</f>
        <v>1449.6128595804439</v>
      </c>
      <c r="R316" s="58"/>
      <c r="S316" s="29">
        <v>39.611086759410682</v>
      </c>
      <c r="T316" s="29">
        <v>117.88480339881458</v>
      </c>
      <c r="U316" s="29">
        <v>93.510547305310183</v>
      </c>
      <c r="V316" s="29">
        <v>6.7103870629377917</v>
      </c>
      <c r="W316" s="643">
        <v>0</v>
      </c>
      <c r="X316" s="643">
        <v>0</v>
      </c>
      <c r="Y316" s="58"/>
      <c r="Z316" s="539">
        <f>Q316+S316+T316+U316+V316+W316+X316</f>
        <v>1707.3296841069171</v>
      </c>
      <c r="AA316" s="548">
        <f t="shared" si="107"/>
        <v>3.8159484961850549</v>
      </c>
      <c r="AB316" s="549">
        <f>Z316-J316</f>
        <v>-68.343998095350571</v>
      </c>
      <c r="AC316" s="541"/>
      <c r="AD316" s="542"/>
      <c r="AF316" s="543"/>
      <c r="AI316" s="543"/>
      <c r="AK316" s="543"/>
      <c r="AM316" s="560"/>
    </row>
    <row r="317" spans="1:39">
      <c r="A317" s="6">
        <f>MAX(A$279:A316)+1</f>
        <v>148</v>
      </c>
      <c r="B317" s="58"/>
      <c r="C317" s="521" t="s">
        <v>260</v>
      </c>
      <c r="D317" s="58"/>
      <c r="E317" s="30"/>
      <c r="F317" s="58"/>
      <c r="G317" s="131">
        <f>SUM(G312:G316)</f>
        <v>341663.84388774872</v>
      </c>
      <c r="H317" s="58"/>
      <c r="I317" s="556">
        <f>J317/G317*100</f>
        <v>7.2766941629143265</v>
      </c>
      <c r="J317" s="554">
        <f>SUM(J312:J316)</f>
        <v>24861.832984968529</v>
      </c>
      <c r="K317" s="58"/>
      <c r="L317" s="650">
        <f>SUM(L312:L316)</f>
        <v>3115.369769787249</v>
      </c>
      <c r="M317" s="650">
        <f t="shared" ref="M317:P317" si="109">SUM(M312:M316)</f>
        <v>734.4360465019023</v>
      </c>
      <c r="N317" s="650">
        <f t="shared" si="109"/>
        <v>54.6662150220398</v>
      </c>
      <c r="O317" s="650">
        <f t="shared" si="109"/>
        <v>0</v>
      </c>
      <c r="P317" s="650">
        <f t="shared" si="109"/>
        <v>0</v>
      </c>
      <c r="Q317" s="552">
        <f>SUM(Q312:Q316)</f>
        <v>20957.360953657335</v>
      </c>
      <c r="R317" s="58"/>
      <c r="S317" s="619">
        <f>SUM(S312:S316)</f>
        <v>572.66589317086618</v>
      </c>
      <c r="T317" s="619">
        <f t="shared" ref="T317:V317" si="110">SUM(T312:T316)</f>
        <v>1653.5839539086912</v>
      </c>
      <c r="U317" s="619">
        <f t="shared" si="110"/>
        <v>714.07648995630973</v>
      </c>
      <c r="V317" s="619">
        <f t="shared" si="110"/>
        <v>51.24266489967107</v>
      </c>
      <c r="W317" s="650">
        <f>SUM(W312:W316)</f>
        <v>0</v>
      </c>
      <c r="X317" s="650">
        <f>SUM(X312:X316)</f>
        <v>0</v>
      </c>
      <c r="Y317" s="132"/>
      <c r="Z317" s="554">
        <f>SUM(Z312:Z316)</f>
        <v>23948.929955592874</v>
      </c>
      <c r="AA317" s="635">
        <f t="shared" si="107"/>
        <v>7.0095008248695843</v>
      </c>
      <c r="AB317" s="131">
        <f t="shared" ref="AB317" si="111">SUM(AB312:AB316)</f>
        <v>-912.9030293756507</v>
      </c>
      <c r="AC317" s="558">
        <f>AA317/I317-1</f>
        <v>-3.6719055667681189E-2</v>
      </c>
      <c r="AD317" s="559"/>
      <c r="AF317" s="543"/>
      <c r="AI317" s="543"/>
      <c r="AK317" s="543"/>
      <c r="AM317" s="560"/>
    </row>
    <row r="318" spans="1:39">
      <c r="A318" s="6"/>
      <c r="B318" s="58"/>
      <c r="C318" s="10"/>
      <c r="G318" s="129"/>
      <c r="L318" s="622"/>
      <c r="M318" s="622"/>
      <c r="N318" s="622"/>
      <c r="O318" s="501"/>
      <c r="P318" s="501"/>
      <c r="Q318" s="501"/>
      <c r="S318" s="564"/>
      <c r="T318" s="564"/>
      <c r="U318" s="564"/>
      <c r="V318" s="564"/>
      <c r="W318" s="501"/>
      <c r="X318" s="501"/>
      <c r="Z318" s="539"/>
      <c r="AA318" s="632"/>
      <c r="AB318" s="501"/>
      <c r="AC318" s="541"/>
      <c r="AD318" s="542"/>
      <c r="AF318" s="543"/>
      <c r="AI318" s="543"/>
      <c r="AK318" s="543"/>
      <c r="AM318" s="560"/>
    </row>
    <row r="319" spans="1:39">
      <c r="A319" s="6">
        <f>MAX(A$279:A318)+1</f>
        <v>149</v>
      </c>
      <c r="B319" s="58"/>
      <c r="C319" s="10" t="s">
        <v>266</v>
      </c>
      <c r="D319" s="58"/>
      <c r="E319" s="30"/>
      <c r="F319" s="58"/>
      <c r="G319" s="411">
        <f>G317</f>
        <v>341663.84388774872</v>
      </c>
      <c r="H319" s="58"/>
      <c r="I319" s="556">
        <f>J319/G319*100</f>
        <v>7.8695179153349812</v>
      </c>
      <c r="J319" s="554">
        <f>J310+J317</f>
        <v>26887.297404968529</v>
      </c>
      <c r="K319" s="539"/>
      <c r="L319" s="645">
        <f t="shared" ref="L319:Q319" si="112">L310+L317</f>
        <v>3115.369769787249</v>
      </c>
      <c r="M319" s="645">
        <f t="shared" si="112"/>
        <v>734.4360465019023</v>
      </c>
      <c r="N319" s="645">
        <f t="shared" si="112"/>
        <v>54.6662150220398</v>
      </c>
      <c r="O319" s="645">
        <f t="shared" si="112"/>
        <v>0</v>
      </c>
      <c r="P319" s="645">
        <f t="shared" si="112"/>
        <v>0</v>
      </c>
      <c r="Q319" s="554">
        <f t="shared" si="112"/>
        <v>22982.825373657335</v>
      </c>
      <c r="R319" s="539"/>
      <c r="S319" s="654">
        <f t="shared" ref="S319:X319" si="113">S310+S317</f>
        <v>628.01228882297164</v>
      </c>
      <c r="T319" s="654">
        <f t="shared" si="113"/>
        <v>1653.5839539086912</v>
      </c>
      <c r="U319" s="654">
        <f t="shared" si="113"/>
        <v>714.07648995630973</v>
      </c>
      <c r="V319" s="654">
        <f>V310+V317</f>
        <v>51.24266489967107</v>
      </c>
      <c r="W319" s="654">
        <f t="shared" si="113"/>
        <v>0</v>
      </c>
      <c r="X319" s="654">
        <f t="shared" si="113"/>
        <v>0</v>
      </c>
      <c r="Y319" s="655"/>
      <c r="Z319" s="554">
        <f>Z310+Z317</f>
        <v>26029.740771244979</v>
      </c>
      <c r="AA319" s="556">
        <f>Z319/G319*100</f>
        <v>7.6185236561925676</v>
      </c>
      <c r="AB319" s="654">
        <f t="shared" ref="AB319" si="114">AB310+AB317</f>
        <v>-857.55663372354525</v>
      </c>
      <c r="AC319" s="558">
        <f>AA319/I319-1</f>
        <v>-3.1894489833146245E-2</v>
      </c>
      <c r="AD319" s="630"/>
      <c r="AF319" s="543"/>
      <c r="AI319" s="543"/>
      <c r="AK319" s="543"/>
      <c r="AM319" s="560"/>
    </row>
    <row r="320" spans="1:39">
      <c r="A320" s="6"/>
      <c r="B320" s="58"/>
      <c r="C320" s="10"/>
      <c r="D320" s="58"/>
      <c r="E320" s="30"/>
      <c r="F320" s="58"/>
      <c r="G320" s="29"/>
      <c r="H320" s="58"/>
      <c r="I320" s="548"/>
      <c r="J320" s="539"/>
      <c r="K320" s="539"/>
      <c r="L320" s="539"/>
      <c r="M320" s="539"/>
      <c r="N320" s="640"/>
      <c r="O320" s="640"/>
      <c r="P320" s="640"/>
      <c r="Q320" s="539"/>
      <c r="R320" s="539"/>
      <c r="S320" s="539"/>
      <c r="T320" s="539"/>
      <c r="U320" s="539"/>
      <c r="V320" s="539"/>
      <c r="W320" s="655"/>
      <c r="X320" s="655"/>
      <c r="Y320" s="655"/>
      <c r="Z320" s="655"/>
      <c r="AA320" s="548"/>
      <c r="AB320" s="655"/>
      <c r="AC320" s="630"/>
      <c r="AD320" s="630"/>
      <c r="AF320" s="543"/>
      <c r="AI320" s="543"/>
      <c r="AK320" s="543"/>
      <c r="AM320" s="560"/>
    </row>
    <row r="321" spans="1:39">
      <c r="A321" s="6"/>
      <c r="B321" s="58"/>
      <c r="C321" s="10" t="s">
        <v>268</v>
      </c>
      <c r="D321" s="581"/>
      <c r="E321" s="581"/>
      <c r="F321" s="581"/>
      <c r="G321" s="581"/>
      <c r="H321" s="581"/>
      <c r="I321" s="581"/>
      <c r="J321" s="581"/>
      <c r="K321" s="581"/>
      <c r="L321" s="501"/>
      <c r="M321" s="501"/>
      <c r="N321" s="501"/>
      <c r="O321" s="501"/>
      <c r="P321" s="501"/>
      <c r="Q321" s="501"/>
      <c r="R321" s="581"/>
      <c r="S321" s="581"/>
      <c r="T321" s="501"/>
      <c r="U321" s="501"/>
      <c r="V321" s="501"/>
      <c r="W321" s="501"/>
      <c r="X321" s="501"/>
      <c r="Y321" s="581"/>
      <c r="Z321" s="581"/>
      <c r="AA321" s="657"/>
      <c r="AB321" s="501"/>
      <c r="AC321" s="541"/>
      <c r="AF321" s="543"/>
      <c r="AI321" s="543"/>
      <c r="AK321" s="543"/>
      <c r="AM321" s="560"/>
    </row>
    <row r="322" spans="1:39">
      <c r="A322" s="6">
        <f>MAX(A$279:A321)+1</f>
        <v>150</v>
      </c>
      <c r="B322" s="58"/>
      <c r="C322" s="12" t="s">
        <v>306</v>
      </c>
      <c r="D322" s="57"/>
      <c r="E322" s="522" t="s">
        <v>262</v>
      </c>
      <c r="F322" s="57"/>
      <c r="G322" s="29">
        <v>76356.43767764869</v>
      </c>
      <c r="H322" s="614"/>
      <c r="I322" s="547">
        <v>3.9398999999999997</v>
      </c>
      <c r="J322" s="624">
        <f>G322*I322/100</f>
        <v>3008.3672880616809</v>
      </c>
      <c r="K322" s="614"/>
      <c r="L322" s="643">
        <v>0</v>
      </c>
      <c r="M322" s="643">
        <v>0</v>
      </c>
      <c r="N322" s="643">
        <v>0</v>
      </c>
      <c r="O322" s="29">
        <v>1.7103842039793304</v>
      </c>
      <c r="P322" s="643">
        <v>0</v>
      </c>
      <c r="Q322" s="534">
        <f>J322-L322-M322-N322-O322-P322</f>
        <v>3006.6569038577018</v>
      </c>
      <c r="R322" s="614"/>
      <c r="S322" s="29">
        <v>-8.1293245592682979</v>
      </c>
      <c r="T322" s="643">
        <v>0</v>
      </c>
      <c r="U322" s="643">
        <v>0</v>
      </c>
      <c r="V322" s="643">
        <v>0</v>
      </c>
      <c r="W322" s="29">
        <v>2.1010426371447921</v>
      </c>
      <c r="X322" s="29">
        <v>0</v>
      </c>
      <c r="Y322" s="614"/>
      <c r="Z322" s="624">
        <f>Q322+S322+T322+U322+V322+W322+X322</f>
        <v>3000.6286219355784</v>
      </c>
      <c r="AA322" s="597">
        <f>Z322/G322*100</f>
        <v>3.9297650770498587</v>
      </c>
      <c r="AB322" s="658">
        <f>Z322-J322</f>
        <v>-7.7386661261025438</v>
      </c>
      <c r="AC322" s="559"/>
      <c r="AF322" s="543"/>
      <c r="AI322" s="543"/>
      <c r="AK322" s="543"/>
      <c r="AM322" s="560"/>
    </row>
    <row r="323" spans="1:39">
      <c r="A323" s="6">
        <f>MAX(A$279:A322)+1</f>
        <v>151</v>
      </c>
      <c r="B323" s="58"/>
      <c r="C323" s="12" t="s">
        <v>307</v>
      </c>
      <c r="D323" s="3"/>
      <c r="E323" s="522" t="s">
        <v>262</v>
      </c>
      <c r="F323" s="3"/>
      <c r="G323" s="29">
        <v>261426.39684107454</v>
      </c>
      <c r="H323" s="616"/>
      <c r="I323" s="547">
        <v>2.1114999999999999</v>
      </c>
      <c r="J323" s="624">
        <f>G323*I323/100</f>
        <v>5520.0183692992887</v>
      </c>
      <c r="K323" s="616"/>
      <c r="L323" s="643">
        <v>0</v>
      </c>
      <c r="M323" s="643">
        <v>0</v>
      </c>
      <c r="N323" s="643">
        <v>0</v>
      </c>
      <c r="O323" s="29">
        <v>53.413384148142541</v>
      </c>
      <c r="P323" s="29">
        <v>33.666044476119048</v>
      </c>
      <c r="Q323" s="534">
        <f>J323-L323-M323-N323-O323-P323</f>
        <v>5432.938940675027</v>
      </c>
      <c r="R323" s="616"/>
      <c r="S323" s="29">
        <v>-11.436246397461957</v>
      </c>
      <c r="T323" s="643">
        <v>0</v>
      </c>
      <c r="U323" s="643">
        <v>0</v>
      </c>
      <c r="V323" s="643">
        <v>0</v>
      </c>
      <c r="W323" s="29">
        <v>65.613209726998534</v>
      </c>
      <c r="X323" s="29">
        <v>33.703988907654505</v>
      </c>
      <c r="Y323" s="616"/>
      <c r="Z323" s="624">
        <f>Q323+S323+T323+U323+V323+W323+X323</f>
        <v>5520.8198929122173</v>
      </c>
      <c r="AA323" s="597">
        <f>Z323/G323*100</f>
        <v>2.1118065962820181</v>
      </c>
      <c r="AB323" s="658">
        <f>Z323-J323</f>
        <v>0.80152361292857677</v>
      </c>
      <c r="AC323" s="599"/>
      <c r="AF323" s="543"/>
      <c r="AI323" s="543"/>
      <c r="AK323" s="543"/>
      <c r="AM323" s="560"/>
    </row>
    <row r="324" spans="1:39">
      <c r="A324" s="6">
        <f>MAX(A$279:A323)+1</f>
        <v>152</v>
      </c>
      <c r="B324" s="58"/>
      <c r="C324" s="10" t="s">
        <v>268</v>
      </c>
      <c r="D324" s="5"/>
      <c r="E324" s="6"/>
      <c r="F324" s="5"/>
      <c r="G324" s="411">
        <f>SUM(G322:G323)</f>
        <v>337782.83451872325</v>
      </c>
      <c r="H324" s="659"/>
      <c r="I324" s="660">
        <f>J324/G324*100</f>
        <v>2.5248132189761239</v>
      </c>
      <c r="J324" s="661">
        <f>SUM(J322:J323)</f>
        <v>8528.3856573609701</v>
      </c>
      <c r="K324" s="659"/>
      <c r="L324" s="662">
        <f t="shared" ref="L324:Q324" si="115">SUM(L322:L323)</f>
        <v>0</v>
      </c>
      <c r="M324" s="662">
        <f t="shared" si="115"/>
        <v>0</v>
      </c>
      <c r="N324" s="662">
        <f t="shared" si="115"/>
        <v>0</v>
      </c>
      <c r="O324" s="411">
        <f t="shared" si="115"/>
        <v>55.123768352121871</v>
      </c>
      <c r="P324" s="411">
        <f t="shared" si="115"/>
        <v>33.666044476119048</v>
      </c>
      <c r="Q324" s="552">
        <f t="shared" si="115"/>
        <v>8439.5958445327287</v>
      </c>
      <c r="R324" s="659"/>
      <c r="S324" s="636">
        <f>SUM(S322:S323)</f>
        <v>-19.565570956730255</v>
      </c>
      <c r="T324" s="663">
        <f t="shared" ref="T324:X324" si="116">SUM(T322:T323)</f>
        <v>0</v>
      </c>
      <c r="U324" s="663">
        <f t="shared" si="116"/>
        <v>0</v>
      </c>
      <c r="V324" s="663">
        <f t="shared" si="116"/>
        <v>0</v>
      </c>
      <c r="W324" s="636">
        <f t="shared" si="116"/>
        <v>67.71425236414332</v>
      </c>
      <c r="X324" s="636">
        <f t="shared" si="116"/>
        <v>33.703988907654505</v>
      </c>
      <c r="Y324" s="642"/>
      <c r="Z324" s="550">
        <f>SUM(Z322:Z323)</f>
        <v>8521.4485148477961</v>
      </c>
      <c r="AA324" s="635">
        <f>Z324/G324*100</f>
        <v>2.5227594904250394</v>
      </c>
      <c r="AB324" s="636">
        <f t="shared" ref="AB324" si="117">SUM(AB322:AB323)</f>
        <v>-6.937142513173967</v>
      </c>
      <c r="AC324" s="664">
        <f>AA324/I324-1</f>
        <v>-8.1341801272616365E-4</v>
      </c>
      <c r="AF324" s="543"/>
      <c r="AI324" s="543"/>
      <c r="AK324" s="543"/>
      <c r="AM324" s="560"/>
    </row>
    <row r="325" spans="1:39">
      <c r="A325" s="6"/>
      <c r="B325" s="58"/>
      <c r="C325" s="10"/>
      <c r="D325" s="58"/>
      <c r="E325" s="30"/>
      <c r="F325" s="58"/>
      <c r="G325" s="29"/>
      <c r="H325" s="58"/>
      <c r="I325" s="58"/>
      <c r="J325" s="58"/>
      <c r="K325" s="58"/>
      <c r="L325" s="501"/>
      <c r="M325" s="501"/>
      <c r="N325" s="501"/>
      <c r="O325" s="501"/>
      <c r="P325" s="501"/>
      <c r="Q325" s="501"/>
      <c r="R325" s="58"/>
      <c r="S325" s="58"/>
      <c r="T325" s="501"/>
      <c r="U325" s="501"/>
      <c r="V325" s="501"/>
      <c r="W325" s="501"/>
      <c r="X325" s="501"/>
      <c r="Y325" s="58"/>
      <c r="Z325" s="58"/>
      <c r="AA325" s="58"/>
      <c r="AB325" s="501"/>
      <c r="AC325" s="501"/>
      <c r="AF325" s="543"/>
      <c r="AI325" s="543"/>
      <c r="AK325" s="543"/>
      <c r="AM325" s="560"/>
    </row>
    <row r="326" spans="1:39">
      <c r="A326" s="6"/>
      <c r="C326" s="10" t="s">
        <v>308</v>
      </c>
      <c r="D326" s="58"/>
      <c r="E326" s="30"/>
      <c r="F326" s="58"/>
      <c r="G326" s="132"/>
      <c r="H326" s="58"/>
      <c r="I326" s="58"/>
      <c r="J326" s="58"/>
      <c r="K326" s="58"/>
      <c r="L326" s="501"/>
      <c r="M326" s="501"/>
      <c r="N326" s="501"/>
      <c r="O326" s="501"/>
      <c r="P326" s="501"/>
      <c r="Q326" s="501"/>
      <c r="R326" s="58"/>
      <c r="S326" s="58"/>
      <c r="T326" s="501"/>
      <c r="U326" s="501"/>
      <c r="V326" s="501"/>
      <c r="W326" s="501"/>
      <c r="X326" s="501"/>
      <c r="Y326" s="58"/>
      <c r="Z326" s="58"/>
      <c r="AA326" s="58"/>
      <c r="AB326" s="501"/>
      <c r="AC326" s="501"/>
      <c r="AF326" s="543"/>
      <c r="AI326" s="543"/>
      <c r="AK326" s="543"/>
      <c r="AM326" s="560"/>
    </row>
    <row r="327" spans="1:39">
      <c r="A327" s="6">
        <f>MAX(A$279:A326)+1</f>
        <v>153</v>
      </c>
      <c r="B327" s="58"/>
      <c r="C327" s="12" t="s">
        <v>306</v>
      </c>
      <c r="D327" s="58"/>
      <c r="E327" s="522" t="s">
        <v>262</v>
      </c>
      <c r="F327" s="58"/>
      <c r="G327" s="29">
        <v>76356.43767764869</v>
      </c>
      <c r="H327" s="58"/>
      <c r="I327" s="547">
        <v>1.8104</v>
      </c>
      <c r="J327" s="539">
        <f>G327*I327/100</f>
        <v>1382.3569477161518</v>
      </c>
      <c r="K327" s="58"/>
      <c r="L327" s="643">
        <v>0</v>
      </c>
      <c r="M327" s="643">
        <v>0</v>
      </c>
      <c r="N327" s="643">
        <v>0</v>
      </c>
      <c r="O327" s="29">
        <v>5.1595748636691825</v>
      </c>
      <c r="P327" s="29">
        <v>38.372022902411423</v>
      </c>
      <c r="Q327" s="539">
        <f>J327-L327-M327-N327-O327-P327</f>
        <v>1338.8253499500713</v>
      </c>
      <c r="R327" s="58"/>
      <c r="S327" s="29">
        <v>29.521114005332947</v>
      </c>
      <c r="T327" s="643">
        <v>0</v>
      </c>
      <c r="U327" s="643">
        <v>0</v>
      </c>
      <c r="V327" s="643">
        <v>0</v>
      </c>
      <c r="W327" s="29">
        <v>6.338041916481874</v>
      </c>
      <c r="X327" s="29">
        <v>38.415271362946505</v>
      </c>
      <c r="Y327" s="539"/>
      <c r="Z327" s="539">
        <f>Q327+S327+T327+U327+V327+W327+X327</f>
        <v>1413.0997772348326</v>
      </c>
      <c r="AA327" s="548">
        <f>Z327/G327*100</f>
        <v>1.8506622626902354</v>
      </c>
      <c r="AB327" s="534">
        <f>Z327-J327</f>
        <v>30.742829518680765</v>
      </c>
      <c r="AC327" s="541"/>
      <c r="AD327" s="542"/>
      <c r="AF327" s="543"/>
      <c r="AI327" s="543"/>
      <c r="AK327" s="543"/>
      <c r="AM327" s="560"/>
    </row>
    <row r="328" spans="1:39">
      <c r="A328" s="6">
        <f>MAX(A$279:A327)+1</f>
        <v>154</v>
      </c>
      <c r="B328" s="58"/>
      <c r="C328" s="12" t="s">
        <v>307</v>
      </c>
      <c r="D328" s="58"/>
      <c r="E328" s="522" t="s">
        <v>262</v>
      </c>
      <c r="F328" s="58"/>
      <c r="G328" s="29">
        <v>261426.39684107454</v>
      </c>
      <c r="H328" s="58"/>
      <c r="I328" s="547">
        <v>4.6779999999999999</v>
      </c>
      <c r="J328" s="539">
        <f t="shared" ref="J328" si="118">G328*I328/100</f>
        <v>12229.526844225467</v>
      </c>
      <c r="K328" s="58"/>
      <c r="L328" s="643">
        <v>0</v>
      </c>
      <c r="M328" s="643">
        <v>0</v>
      </c>
      <c r="N328" s="643">
        <v>0</v>
      </c>
      <c r="O328" s="29">
        <v>68.108873998540517</v>
      </c>
      <c r="P328" s="29">
        <v>506.52918931985471</v>
      </c>
      <c r="Q328" s="539">
        <f>J328-L328-M328-N328-O328-P328</f>
        <v>11654.888780907071</v>
      </c>
      <c r="R328" s="58"/>
      <c r="S328" s="29">
        <v>113.29609788125072</v>
      </c>
      <c r="T328" s="643">
        <v>0</v>
      </c>
      <c r="U328" s="643">
        <v>0</v>
      </c>
      <c r="V328" s="643">
        <v>0</v>
      </c>
      <c r="W328" s="29">
        <v>83.665206861665595</v>
      </c>
      <c r="X328" s="29">
        <v>507.10008983531299</v>
      </c>
      <c r="Y328" s="539"/>
      <c r="Z328" s="539">
        <f>Q328+S328+T328+U328+V328+W328+X328</f>
        <v>12358.950175485299</v>
      </c>
      <c r="AA328" s="548">
        <f>Z328/G328*100</f>
        <v>4.7275066040857805</v>
      </c>
      <c r="AB328" s="534">
        <f>Z328-J328</f>
        <v>129.42333125983168</v>
      </c>
      <c r="AC328" s="541"/>
      <c r="AD328" s="542"/>
      <c r="AF328" s="543"/>
      <c r="AI328" s="543"/>
      <c r="AK328" s="543"/>
      <c r="AM328" s="560"/>
    </row>
    <row r="329" spans="1:39">
      <c r="A329" s="6">
        <f>MAX(A$279:A328)+1</f>
        <v>155</v>
      </c>
      <c r="B329" s="58"/>
      <c r="C329" s="10" t="s">
        <v>309</v>
      </c>
      <c r="D329" s="58"/>
      <c r="E329" s="591"/>
      <c r="F329" s="58"/>
      <c r="G329" s="663">
        <f>SUM(G327:G328)</f>
        <v>337782.83451872325</v>
      </c>
      <c r="H329" s="58"/>
      <c r="I329" s="666">
        <f>J329/G329*100</f>
        <v>4.0297736891621447</v>
      </c>
      <c r="J329" s="554">
        <f>SUM(J327:J328)</f>
        <v>13611.883791941618</v>
      </c>
      <c r="K329" s="539"/>
      <c r="L329" s="645">
        <f t="shared" ref="L329:P329" si="119">SUM(L327:L328)</f>
        <v>0</v>
      </c>
      <c r="M329" s="645">
        <f t="shared" si="119"/>
        <v>0</v>
      </c>
      <c r="N329" s="645">
        <f t="shared" si="119"/>
        <v>0</v>
      </c>
      <c r="O329" s="645">
        <f t="shared" si="119"/>
        <v>73.268448862209695</v>
      </c>
      <c r="P329" s="645">
        <f t="shared" si="119"/>
        <v>544.90121222226617</v>
      </c>
      <c r="Q329" s="554">
        <f>SUM(Q327:Q328)</f>
        <v>12993.714130857143</v>
      </c>
      <c r="R329" s="640"/>
      <c r="S329" s="645">
        <f t="shared" ref="S329:X329" si="120">SUM(S327:S328)</f>
        <v>142.81721188658366</v>
      </c>
      <c r="T329" s="645">
        <f t="shared" si="120"/>
        <v>0</v>
      </c>
      <c r="U329" s="645">
        <f t="shared" si="120"/>
        <v>0</v>
      </c>
      <c r="V329" s="645">
        <f t="shared" si="120"/>
        <v>0</v>
      </c>
      <c r="W329" s="645">
        <f t="shared" si="120"/>
        <v>90.003248778147466</v>
      </c>
      <c r="X329" s="645">
        <f t="shared" si="120"/>
        <v>545.51536119825948</v>
      </c>
      <c r="Y329" s="539"/>
      <c r="Z329" s="554">
        <f>SUM(Z327:Z328)</f>
        <v>13772.049952720132</v>
      </c>
      <c r="AA329" s="556">
        <f>Z329/G329*100</f>
        <v>4.0771905926903305</v>
      </c>
      <c r="AB329" s="552">
        <f>SUM(AB327:AB328)</f>
        <v>160.16616077851245</v>
      </c>
      <c r="AC329" s="562">
        <f>AA329/I329-1</f>
        <v>1.1766641798200972E-2</v>
      </c>
      <c r="AD329" s="542"/>
      <c r="AF329" s="543"/>
      <c r="AI329" s="543"/>
      <c r="AK329" s="543"/>
      <c r="AM329" s="560"/>
    </row>
    <row r="330" spans="1:39">
      <c r="A330" s="6"/>
      <c r="B330" s="58"/>
      <c r="C330" s="58"/>
      <c r="L330" s="501"/>
      <c r="M330" s="501"/>
      <c r="N330" s="501"/>
      <c r="O330" s="501"/>
      <c r="P330" s="501"/>
      <c r="Q330" s="501"/>
      <c r="T330" s="501"/>
      <c r="U330" s="501"/>
      <c r="V330" s="501"/>
      <c r="W330" s="501"/>
      <c r="X330" s="501"/>
      <c r="AA330" s="632"/>
      <c r="AB330" s="501"/>
      <c r="AC330" s="541"/>
      <c r="AD330" s="542"/>
      <c r="AF330" s="543"/>
      <c r="AI330" s="543"/>
      <c r="AK330" s="543"/>
      <c r="AM330" s="560"/>
    </row>
    <row r="331" spans="1:39">
      <c r="A331" s="6"/>
      <c r="B331" s="58"/>
      <c r="C331" s="10" t="s">
        <v>270</v>
      </c>
      <c r="D331" s="58"/>
      <c r="E331" s="6"/>
      <c r="F331" s="58"/>
      <c r="G331" s="665"/>
      <c r="H331" s="539"/>
      <c r="I331" s="539"/>
      <c r="J331" s="539"/>
      <c r="K331" s="539"/>
      <c r="L331" s="534"/>
      <c r="M331" s="534"/>
      <c r="N331" s="534"/>
      <c r="O331" s="534"/>
      <c r="P331" s="534"/>
      <c r="Q331" s="534"/>
      <c r="R331" s="539"/>
      <c r="S331" s="539"/>
      <c r="T331" s="534"/>
      <c r="U331" s="534"/>
      <c r="V331" s="534"/>
      <c r="W331" s="534"/>
      <c r="X331" s="534"/>
      <c r="Y331" s="58"/>
      <c r="Z331" s="58"/>
      <c r="AA331" s="548"/>
      <c r="AB331" s="501"/>
      <c r="AC331" s="541"/>
      <c r="AD331" s="542"/>
      <c r="AF331" s="543"/>
      <c r="AI331" s="543"/>
      <c r="AK331" s="543"/>
      <c r="AM331" s="560"/>
    </row>
    <row r="332" spans="1:39">
      <c r="A332" s="6">
        <f>MAX(A$279:A331)+1</f>
        <v>156</v>
      </c>
      <c r="B332" s="58"/>
      <c r="C332" s="12" t="s">
        <v>306</v>
      </c>
      <c r="D332" s="58"/>
      <c r="E332" s="522" t="s">
        <v>262</v>
      </c>
      <c r="F332" s="58"/>
      <c r="G332" s="29">
        <v>41057.419387362017</v>
      </c>
      <c r="H332" s="624"/>
      <c r="I332" s="547">
        <v>18.274100000000001</v>
      </c>
      <c r="J332" s="624">
        <f>G332*I332/100</f>
        <v>7502.8738762659232</v>
      </c>
      <c r="K332" s="539"/>
      <c r="L332" s="643">
        <v>0</v>
      </c>
      <c r="M332" s="643">
        <v>0</v>
      </c>
      <c r="N332" s="643">
        <v>0</v>
      </c>
      <c r="O332" s="643">
        <v>0</v>
      </c>
      <c r="P332" s="643">
        <v>0</v>
      </c>
      <c r="Q332" s="534">
        <f>J332-L332-M332-N332-O332-P332</f>
        <v>7502.8738762659232</v>
      </c>
      <c r="R332" s="539"/>
      <c r="S332" s="29">
        <v>2.3391734873592469</v>
      </c>
      <c r="T332" s="643">
        <v>0</v>
      </c>
      <c r="U332" s="643">
        <v>0</v>
      </c>
      <c r="V332" s="643">
        <v>0</v>
      </c>
      <c r="W332" s="643">
        <v>0</v>
      </c>
      <c r="X332" s="643">
        <v>0</v>
      </c>
      <c r="Y332" s="58"/>
      <c r="Z332" s="539">
        <f>Q332+S332+T332+U332+V332+W332+X332</f>
        <v>7505.2130497532826</v>
      </c>
      <c r="AA332" s="548">
        <f>Z332/G332*100</f>
        <v>18.279797322243493</v>
      </c>
      <c r="AB332" s="534">
        <f>Z332-J332</f>
        <v>2.3391734873594032</v>
      </c>
      <c r="AC332" s="541"/>
      <c r="AD332" s="667"/>
      <c r="AF332" s="543"/>
      <c r="AI332" s="543"/>
      <c r="AK332" s="543"/>
      <c r="AM332" s="560"/>
    </row>
    <row r="333" spans="1:39">
      <c r="A333" s="6">
        <f>MAX(A$279:A332)+1</f>
        <v>157</v>
      </c>
      <c r="C333" s="12" t="s">
        <v>307</v>
      </c>
      <c r="D333" s="58"/>
      <c r="E333" s="522" t="s">
        <v>262</v>
      </c>
      <c r="F333" s="58"/>
      <c r="G333" s="29">
        <v>137222.46215211437</v>
      </c>
      <c r="H333" s="624"/>
      <c r="I333" s="547">
        <v>20.820800000000002</v>
      </c>
      <c r="J333" s="624">
        <f>G333*I333/100</f>
        <v>28570.814399767431</v>
      </c>
      <c r="K333" s="539"/>
      <c r="L333" s="643">
        <v>0</v>
      </c>
      <c r="M333" s="643">
        <v>0</v>
      </c>
      <c r="N333" s="643">
        <v>0</v>
      </c>
      <c r="O333" s="643">
        <v>0</v>
      </c>
      <c r="P333" s="643">
        <v>0</v>
      </c>
      <c r="Q333" s="534">
        <f>J333-L333-M333-N333-O333-P333</f>
        <v>28570.814399767431</v>
      </c>
      <c r="R333" s="539"/>
      <c r="S333" s="29">
        <v>7.8180058592573687</v>
      </c>
      <c r="T333" s="643">
        <v>0</v>
      </c>
      <c r="U333" s="643">
        <v>0</v>
      </c>
      <c r="V333" s="643">
        <v>0</v>
      </c>
      <c r="W333" s="643">
        <v>0</v>
      </c>
      <c r="X333" s="643">
        <v>0</v>
      </c>
      <c r="Y333" s="58"/>
      <c r="Z333" s="539">
        <f>Q333+S333+T333+U333+V333+W333+X333</f>
        <v>28578.632405626689</v>
      </c>
      <c r="AA333" s="548">
        <f>Z333/G333*100</f>
        <v>20.826497322243494</v>
      </c>
      <c r="AB333" s="534">
        <f>Z333-J333</f>
        <v>7.8180058592588466</v>
      </c>
      <c r="AC333" s="541"/>
      <c r="AD333" s="667"/>
      <c r="AF333" s="543"/>
      <c r="AI333" s="543"/>
      <c r="AK333" s="543"/>
      <c r="AM333" s="560"/>
    </row>
    <row r="334" spans="1:39">
      <c r="A334" s="6">
        <f>MAX(A$279:A333)+1</f>
        <v>158</v>
      </c>
      <c r="B334" s="58"/>
      <c r="C334" s="10" t="s">
        <v>270</v>
      </c>
      <c r="D334" s="58"/>
      <c r="E334" s="30"/>
      <c r="F334" s="58"/>
      <c r="G334" s="411">
        <f>SUM(G332:G333)</f>
        <v>178279.8815394764</v>
      </c>
      <c r="H334" s="411"/>
      <c r="I334" s="668">
        <f>J334/G334*100</f>
        <v>20.234301237206946</v>
      </c>
      <c r="J334" s="411">
        <f>SUM(J332:J333)</f>
        <v>36073.688276033354</v>
      </c>
      <c r="K334" s="539"/>
      <c r="L334" s="662">
        <f t="shared" ref="L334:Q334" si="121">SUM(L332:L333)</f>
        <v>0</v>
      </c>
      <c r="M334" s="662">
        <f t="shared" si="121"/>
        <v>0</v>
      </c>
      <c r="N334" s="662">
        <f t="shared" si="121"/>
        <v>0</v>
      </c>
      <c r="O334" s="662">
        <f t="shared" si="121"/>
        <v>0</v>
      </c>
      <c r="P334" s="662">
        <f t="shared" si="121"/>
        <v>0</v>
      </c>
      <c r="Q334" s="552">
        <f t="shared" si="121"/>
        <v>36073.688276033354</v>
      </c>
      <c r="R334" s="539"/>
      <c r="S334" s="411">
        <f>SUM(S332:S333)</f>
        <v>10.157179346616616</v>
      </c>
      <c r="T334" s="662">
        <f t="shared" ref="T334:X334" si="122">SUM(T332:T333)</f>
        <v>0</v>
      </c>
      <c r="U334" s="662">
        <f t="shared" si="122"/>
        <v>0</v>
      </c>
      <c r="V334" s="662">
        <f t="shared" si="122"/>
        <v>0</v>
      </c>
      <c r="W334" s="662">
        <f t="shared" si="122"/>
        <v>0</v>
      </c>
      <c r="X334" s="662">
        <f t="shared" si="122"/>
        <v>0</v>
      </c>
      <c r="Y334" s="58"/>
      <c r="Z334" s="554">
        <f>SUM(Z332:Z333)</f>
        <v>36083.845455379975</v>
      </c>
      <c r="AA334" s="556">
        <f>Z334/G334*100</f>
        <v>20.239998559450438</v>
      </c>
      <c r="AB334" s="552">
        <f>SUM(AB332:AB333)</f>
        <v>10.15717934661825</v>
      </c>
      <c r="AC334" s="562">
        <f>AA334/I334-1</f>
        <v>2.8156753112962285E-4</v>
      </c>
      <c r="AD334" s="542"/>
      <c r="AE334" s="669"/>
      <c r="AF334" s="543"/>
      <c r="AI334" s="543"/>
      <c r="AK334" s="543"/>
      <c r="AM334" s="560"/>
    </row>
    <row r="335" spans="1:39">
      <c r="A335" s="6"/>
      <c r="B335" s="58"/>
      <c r="C335" s="10"/>
      <c r="D335" s="58"/>
      <c r="E335" s="30"/>
      <c r="F335" s="58"/>
      <c r="G335" s="536"/>
      <c r="H335" s="624"/>
      <c r="I335" s="624"/>
      <c r="J335" s="624"/>
      <c r="K335" s="539"/>
      <c r="L335" s="534"/>
      <c r="M335" s="534"/>
      <c r="N335" s="534"/>
      <c r="O335" s="534"/>
      <c r="P335" s="534"/>
      <c r="Q335" s="534"/>
      <c r="R335" s="539"/>
      <c r="S335" s="539"/>
      <c r="T335" s="534"/>
      <c r="U335" s="534"/>
      <c r="V335" s="534"/>
      <c r="W335" s="534"/>
      <c r="X335" s="534"/>
      <c r="Y335" s="58"/>
      <c r="Z335" s="58"/>
      <c r="AA335" s="548"/>
      <c r="AB335" s="501"/>
      <c r="AC335" s="541"/>
      <c r="AD335" s="542"/>
      <c r="AF335" s="543"/>
      <c r="AI335" s="543"/>
      <c r="AK335" s="543"/>
      <c r="AM335" s="560"/>
    </row>
    <row r="336" spans="1:39" ht="12.95" thickBot="1">
      <c r="A336" s="6">
        <f>MAX(A$279:A335)+1</f>
        <v>159</v>
      </c>
      <c r="B336" s="58"/>
      <c r="C336" s="10" t="s">
        <v>316</v>
      </c>
      <c r="D336" s="58"/>
      <c r="E336" s="30"/>
      <c r="F336" s="58"/>
      <c r="G336" s="589">
        <f>G319</f>
        <v>341663.84388774872</v>
      </c>
      <c r="H336" s="58"/>
      <c r="I336" s="651">
        <f>J336/G336*100</f>
        <v>24.907890212188768</v>
      </c>
      <c r="J336" s="627">
        <f>J319+J329+J324+J334</f>
        <v>85101.255130304475</v>
      </c>
      <c r="K336" s="539"/>
      <c r="L336" s="589">
        <f>L319+L324+L329+L334</f>
        <v>3115.369769787249</v>
      </c>
      <c r="M336" s="589">
        <f t="shared" ref="M336:P336" si="123">M319+M324+M329+M334</f>
        <v>734.4360465019023</v>
      </c>
      <c r="N336" s="589">
        <f t="shared" si="123"/>
        <v>54.6662150220398</v>
      </c>
      <c r="O336" s="589">
        <f t="shared" si="123"/>
        <v>128.39221721433157</v>
      </c>
      <c r="P336" s="589">
        <f t="shared" si="123"/>
        <v>578.56725669838522</v>
      </c>
      <c r="Q336" s="627">
        <f>Q319+Q329+Q324+Q334</f>
        <v>80489.823625080549</v>
      </c>
      <c r="R336" s="539"/>
      <c r="S336" s="627">
        <f t="shared" ref="S336:X336" si="124">S319+S329+S324+S334</f>
        <v>761.42110909944176</v>
      </c>
      <c r="T336" s="627">
        <f t="shared" si="124"/>
        <v>1653.5839539086912</v>
      </c>
      <c r="U336" s="627">
        <f t="shared" si="124"/>
        <v>714.07648995630973</v>
      </c>
      <c r="V336" s="627">
        <f t="shared" si="124"/>
        <v>51.24266489967107</v>
      </c>
      <c r="W336" s="627">
        <f t="shared" si="124"/>
        <v>157.71750114229079</v>
      </c>
      <c r="X336" s="627">
        <f t="shared" si="124"/>
        <v>579.21935010591403</v>
      </c>
      <c r="Y336" s="539"/>
      <c r="Z336" s="627">
        <f>Z319+Z329+Z324+Z334</f>
        <v>84407.08469419289</v>
      </c>
      <c r="AA336" s="651">
        <f>Z336/G336*100</f>
        <v>24.704716698651978</v>
      </c>
      <c r="AB336" s="638">
        <f>AB319+AB324+AB329+AB334</f>
        <v>-694.17043611158851</v>
      </c>
      <c r="AC336" s="602">
        <f>AA336/I336-1</f>
        <v>-8.156994101305548E-3</v>
      </c>
      <c r="AD336" s="630"/>
      <c r="AF336" s="543"/>
      <c r="AI336" s="543"/>
      <c r="AK336" s="543"/>
      <c r="AM336" s="560"/>
    </row>
    <row r="337" spans="1:39" ht="12.95" thickTop="1">
      <c r="L337" s="2"/>
      <c r="M337" s="2"/>
      <c r="N337" s="2"/>
      <c r="O337" s="2"/>
      <c r="P337" s="501"/>
      <c r="Q337" s="501"/>
      <c r="T337" s="501"/>
      <c r="U337" s="501"/>
      <c r="V337" s="501"/>
      <c r="W337" s="501"/>
      <c r="X337" s="501"/>
      <c r="Z337" s="567"/>
      <c r="AB337" s="534"/>
      <c r="AC337" s="501"/>
      <c r="AF337" s="543"/>
      <c r="AI337" s="543"/>
      <c r="AK337" s="543"/>
      <c r="AM337" s="560"/>
    </row>
    <row r="338" spans="1:39">
      <c r="L338" s="2"/>
      <c r="M338" s="2"/>
      <c r="N338" s="2"/>
      <c r="O338" s="2"/>
      <c r="P338" s="501"/>
      <c r="Q338" s="501"/>
      <c r="T338" s="501"/>
      <c r="U338" s="501"/>
      <c r="V338" s="501"/>
      <c r="W338" s="501"/>
      <c r="X338" s="501"/>
      <c r="AB338" s="501"/>
      <c r="AC338" s="501"/>
      <c r="AF338" s="543"/>
      <c r="AI338" s="543"/>
      <c r="AK338" s="543"/>
      <c r="AM338" s="560"/>
    </row>
    <row r="339" spans="1:39">
      <c r="L339" s="2"/>
      <c r="M339" s="2"/>
      <c r="N339" s="2"/>
      <c r="O339" s="2"/>
      <c r="P339" s="501"/>
      <c r="Q339" s="501"/>
      <c r="T339" s="501"/>
      <c r="U339" s="501"/>
      <c r="V339" s="501"/>
      <c r="W339" s="501"/>
      <c r="X339" s="501"/>
      <c r="AB339" s="501"/>
      <c r="AC339" s="501"/>
      <c r="AF339" s="543"/>
      <c r="AI339" s="543"/>
      <c r="AK339" s="543"/>
      <c r="AM339" s="560"/>
    </row>
    <row r="340" spans="1:39">
      <c r="L340" s="2"/>
      <c r="M340" s="2"/>
      <c r="N340" s="2"/>
      <c r="O340" s="2"/>
      <c r="P340" s="501"/>
      <c r="Q340" s="501"/>
      <c r="T340" s="501"/>
      <c r="U340" s="501"/>
      <c r="V340" s="501"/>
      <c r="W340" s="501"/>
      <c r="X340" s="501"/>
      <c r="AB340" s="501"/>
      <c r="AC340" s="501"/>
      <c r="AF340" s="543"/>
      <c r="AI340" s="543"/>
      <c r="AK340" s="543"/>
      <c r="AM340" s="560"/>
    </row>
    <row r="341" spans="1:39">
      <c r="L341" s="2"/>
      <c r="M341" s="2"/>
      <c r="N341" s="2"/>
      <c r="O341" s="2"/>
      <c r="P341" s="501"/>
      <c r="Q341" s="501"/>
      <c r="T341" s="501"/>
      <c r="U341" s="501"/>
      <c r="V341" s="501"/>
      <c r="W341" s="501"/>
      <c r="X341" s="501"/>
      <c r="AB341" s="501"/>
      <c r="AC341" s="501"/>
      <c r="AF341" s="543"/>
      <c r="AI341" s="543"/>
      <c r="AK341" s="543"/>
      <c r="AM341" s="560"/>
    </row>
    <row r="342" spans="1:39">
      <c r="L342" s="2"/>
      <c r="M342" s="2"/>
      <c r="N342" s="2"/>
      <c r="O342" s="2"/>
      <c r="P342" s="501"/>
      <c r="Q342" s="501"/>
      <c r="T342" s="501"/>
      <c r="U342" s="501"/>
      <c r="V342" s="501"/>
      <c r="W342" s="501"/>
      <c r="X342" s="501"/>
      <c r="AB342" s="501"/>
      <c r="AC342" s="501"/>
      <c r="AF342" s="543"/>
      <c r="AI342" s="543"/>
      <c r="AK342" s="543"/>
      <c r="AM342" s="560"/>
    </row>
    <row r="343" spans="1:39">
      <c r="A343" s="1156" t="s">
        <v>279</v>
      </c>
      <c r="B343" s="1156"/>
      <c r="C343" s="1156"/>
      <c r="D343" s="1156"/>
      <c r="E343" s="1156"/>
      <c r="F343" s="1156"/>
      <c r="G343" s="1156"/>
      <c r="H343" s="1156"/>
      <c r="I343" s="1156"/>
      <c r="J343" s="1156"/>
      <c r="K343" s="1156"/>
      <c r="L343" s="1156"/>
      <c r="M343" s="1156"/>
      <c r="N343" s="1156"/>
      <c r="O343" s="1156"/>
      <c r="P343" s="1156"/>
      <c r="Q343" s="1156"/>
      <c r="R343" s="1156"/>
      <c r="S343" s="1156"/>
      <c r="T343" s="1156"/>
      <c r="U343" s="1156"/>
      <c r="V343" s="1156"/>
      <c r="W343" s="1156"/>
      <c r="X343" s="1156"/>
      <c r="Y343" s="1156"/>
      <c r="Z343" s="1156"/>
      <c r="AA343" s="1156"/>
      <c r="AB343" s="1156"/>
      <c r="AC343" s="1156"/>
      <c r="AD343" s="531"/>
      <c r="AF343" s="543"/>
      <c r="AI343" s="543"/>
      <c r="AK343" s="543"/>
      <c r="AM343" s="560"/>
    </row>
    <row r="344" spans="1:39">
      <c r="A344" s="6"/>
      <c r="B344" s="6"/>
      <c r="C344" s="6"/>
      <c r="D344" s="6"/>
      <c r="E344" s="3"/>
      <c r="F344" s="6"/>
      <c r="G344" s="3"/>
      <c r="H344" s="6"/>
      <c r="I344" s="6"/>
      <c r="J344" s="6"/>
      <c r="K344" s="6"/>
      <c r="L344" s="6"/>
      <c r="M344" s="6"/>
      <c r="N344" s="1"/>
      <c r="O344" s="1"/>
      <c r="P344" s="501"/>
      <c r="Q344" s="501"/>
      <c r="R344" s="6"/>
      <c r="S344" s="6"/>
      <c r="T344" s="501"/>
      <c r="U344" s="501"/>
      <c r="V344" s="501"/>
      <c r="W344" s="501"/>
      <c r="X344" s="501"/>
      <c r="Y344" s="6"/>
      <c r="Z344" s="6"/>
      <c r="AA344" s="6"/>
      <c r="AB344" s="501"/>
      <c r="AC344" s="501"/>
      <c r="AF344" s="543"/>
      <c r="AI344" s="543"/>
      <c r="AK344" s="543"/>
      <c r="AM344" s="560"/>
    </row>
    <row r="345" spans="1:39">
      <c r="A345" s="3"/>
      <c r="B345" s="3"/>
      <c r="C345" s="3"/>
      <c r="D345" s="3"/>
      <c r="E345" s="57"/>
      <c r="F345" s="3"/>
      <c r="G345" s="1152" t="str">
        <f>G8</f>
        <v>Current Approved Revenue</v>
      </c>
      <c r="H345" s="1152"/>
      <c r="I345" s="1152"/>
      <c r="J345" s="1152"/>
      <c r="K345" s="3"/>
      <c r="L345" s="1152" t="str">
        <f>L8</f>
        <v>Adjustments to 2023 Base Rates</v>
      </c>
      <c r="M345" s="1152"/>
      <c r="N345" s="1152"/>
      <c r="O345" s="1152"/>
      <c r="P345" s="1152"/>
      <c r="Q345" s="58"/>
      <c r="R345" s="3"/>
      <c r="S345" s="1152" t="str">
        <f>S8</f>
        <v>Adjustments to 2024 Base Rates</v>
      </c>
      <c r="T345" s="1152"/>
      <c r="U345" s="1152"/>
      <c r="V345" s="1152"/>
      <c r="W345" s="1152"/>
      <c r="X345" s="1152"/>
      <c r="Y345" s="3"/>
      <c r="Z345" s="1152" t="str">
        <f>Z8</f>
        <v>2024 Proposed Revenue</v>
      </c>
      <c r="AA345" s="1152"/>
      <c r="AB345" s="1152"/>
      <c r="AC345" s="1152"/>
      <c r="AD345" s="6"/>
      <c r="AF345" s="543"/>
      <c r="AI345" s="543"/>
      <c r="AK345" s="543"/>
      <c r="AM345" s="560"/>
    </row>
    <row r="346" spans="1:39" ht="37.5">
      <c r="A346" s="5" t="s">
        <v>56</v>
      </c>
      <c r="B346" s="5"/>
      <c r="C346" s="5"/>
      <c r="D346" s="5"/>
      <c r="E346" s="6" t="s">
        <v>233</v>
      </c>
      <c r="F346" s="5"/>
      <c r="G346" s="17" t="s">
        <v>234</v>
      </c>
      <c r="H346" s="5"/>
      <c r="I346" s="17" t="s">
        <v>235</v>
      </c>
      <c r="J346" s="17" t="s">
        <v>101</v>
      </c>
      <c r="K346" s="5"/>
      <c r="L346" s="17" t="s">
        <v>106</v>
      </c>
      <c r="M346" s="17" t="s">
        <v>236</v>
      </c>
      <c r="N346" s="5" t="s">
        <v>237</v>
      </c>
      <c r="O346" s="5" t="s">
        <v>109</v>
      </c>
      <c r="P346" s="5" t="s">
        <v>238</v>
      </c>
      <c r="Q346" s="5" t="s">
        <v>239</v>
      </c>
      <c r="R346" s="5"/>
      <c r="S346" s="5" t="s">
        <v>240</v>
      </c>
      <c r="T346" s="17" t="s">
        <v>106</v>
      </c>
      <c r="U346" s="17" t="s">
        <v>236</v>
      </c>
      <c r="V346" s="5" t="s">
        <v>237</v>
      </c>
      <c r="W346" s="5" t="s">
        <v>109</v>
      </c>
      <c r="X346" s="5" t="s">
        <v>238</v>
      </c>
      <c r="Y346" s="5"/>
      <c r="Z346" s="17" t="s">
        <v>241</v>
      </c>
      <c r="AA346" s="17" t="s">
        <v>242</v>
      </c>
      <c r="AB346" s="17" t="s">
        <v>243</v>
      </c>
      <c r="AC346" s="5" t="s">
        <v>244</v>
      </c>
      <c r="AD346" s="5"/>
      <c r="AF346" s="543"/>
      <c r="AI346" s="543"/>
      <c r="AK346" s="543"/>
      <c r="AM346" s="560"/>
    </row>
    <row r="347" spans="1:39" ht="14.45">
      <c r="A347" s="237" t="s">
        <v>57</v>
      </c>
      <c r="B347" s="58"/>
      <c r="C347" s="59" t="s">
        <v>194</v>
      </c>
      <c r="D347" s="58"/>
      <c r="E347" s="237" t="s">
        <v>245</v>
      </c>
      <c r="F347" s="58"/>
      <c r="G347" s="237" t="s">
        <v>246</v>
      </c>
      <c r="H347" s="58"/>
      <c r="I347" s="237" t="s">
        <v>247</v>
      </c>
      <c r="J347" s="237" t="s">
        <v>248</v>
      </c>
      <c r="K347" s="58"/>
      <c r="L347" s="237" t="s">
        <v>248</v>
      </c>
      <c r="M347" s="237" t="s">
        <v>248</v>
      </c>
      <c r="N347" s="237" t="s">
        <v>248</v>
      </c>
      <c r="O347" s="237" t="s">
        <v>248</v>
      </c>
      <c r="P347" s="237" t="s">
        <v>248</v>
      </c>
      <c r="Q347" s="237" t="s">
        <v>248</v>
      </c>
      <c r="R347" s="58"/>
      <c r="S347" s="237" t="s">
        <v>248</v>
      </c>
      <c r="T347" s="237" t="s">
        <v>248</v>
      </c>
      <c r="U347" s="237" t="s">
        <v>248</v>
      </c>
      <c r="V347" s="237" t="s">
        <v>248</v>
      </c>
      <c r="W347" s="237" t="s">
        <v>248</v>
      </c>
      <c r="X347" s="237" t="s">
        <v>248</v>
      </c>
      <c r="Y347" s="58"/>
      <c r="Z347" s="237" t="s">
        <v>248</v>
      </c>
      <c r="AA347" s="237" t="s">
        <v>247</v>
      </c>
      <c r="AB347" s="237" t="s">
        <v>248</v>
      </c>
      <c r="AC347" s="237" t="s">
        <v>249</v>
      </c>
      <c r="AD347" s="6"/>
      <c r="AF347" s="543"/>
      <c r="AI347" s="543"/>
      <c r="AK347" s="543"/>
      <c r="AM347" s="560"/>
    </row>
    <row r="348" spans="1:39">
      <c r="A348" s="6"/>
      <c r="B348" s="58"/>
      <c r="C348" s="58"/>
      <c r="D348" s="58"/>
      <c r="E348" s="6"/>
      <c r="F348" s="58"/>
      <c r="G348" s="6" t="s">
        <v>9</v>
      </c>
      <c r="H348" s="6"/>
      <c r="I348" s="6" t="s">
        <v>10</v>
      </c>
      <c r="J348" s="6" t="s">
        <v>58</v>
      </c>
      <c r="K348" s="6"/>
      <c r="L348" s="123" t="s">
        <v>12</v>
      </c>
      <c r="M348" s="123" t="s">
        <v>13</v>
      </c>
      <c r="N348" s="123" t="s">
        <v>115</v>
      </c>
      <c r="O348" s="123" t="s">
        <v>209</v>
      </c>
      <c r="P348" s="6" t="s">
        <v>210</v>
      </c>
      <c r="Q348" s="6" t="s">
        <v>250</v>
      </c>
      <c r="R348" s="6"/>
      <c r="S348" s="6" t="s">
        <v>251</v>
      </c>
      <c r="T348" s="6" t="s">
        <v>120</v>
      </c>
      <c r="U348" s="6" t="s">
        <v>121</v>
      </c>
      <c r="V348" s="6" t="s">
        <v>122</v>
      </c>
      <c r="W348" s="6" t="s">
        <v>252</v>
      </c>
      <c r="X348" s="6" t="s">
        <v>253</v>
      </c>
      <c r="Y348" s="6"/>
      <c r="Z348" s="6" t="s">
        <v>254</v>
      </c>
      <c r="AA348" s="6" t="s">
        <v>255</v>
      </c>
      <c r="AB348" s="6" t="s">
        <v>256</v>
      </c>
      <c r="AC348" s="6" t="s">
        <v>257</v>
      </c>
      <c r="AD348" s="6"/>
      <c r="AF348" s="543"/>
      <c r="AI348" s="543"/>
      <c r="AK348" s="543"/>
      <c r="AM348" s="560"/>
    </row>
    <row r="349" spans="1:39">
      <c r="A349" s="6"/>
      <c r="B349" s="58"/>
      <c r="C349" s="12"/>
      <c r="D349" s="58"/>
      <c r="E349" s="574"/>
      <c r="F349" s="58"/>
      <c r="G349" s="29"/>
      <c r="H349" s="58"/>
      <c r="I349" s="58"/>
      <c r="J349" s="58"/>
      <c r="K349" s="58"/>
      <c r="L349" s="501"/>
      <c r="M349" s="501"/>
      <c r="N349" s="501"/>
      <c r="O349" s="501"/>
      <c r="P349" s="501"/>
      <c r="Q349" s="501"/>
      <c r="R349" s="58"/>
      <c r="S349" s="58"/>
      <c r="T349" s="501"/>
      <c r="U349" s="501"/>
      <c r="V349" s="501"/>
      <c r="W349" s="501"/>
      <c r="X349" s="501"/>
      <c r="Y349" s="58"/>
      <c r="Z349" s="58"/>
      <c r="AA349" s="58"/>
      <c r="AB349" s="501"/>
      <c r="AC349" s="501"/>
      <c r="AI349" s="543"/>
    </row>
    <row r="350" spans="1:39">
      <c r="A350" s="6"/>
      <c r="B350" s="58"/>
      <c r="C350" s="9" t="s">
        <v>142</v>
      </c>
      <c r="D350" s="58"/>
      <c r="E350" s="574"/>
      <c r="F350" s="58"/>
      <c r="G350" s="29"/>
      <c r="H350" s="58"/>
      <c r="I350" s="58"/>
      <c r="J350" s="58"/>
      <c r="K350" s="58"/>
      <c r="L350" s="501"/>
      <c r="M350" s="501"/>
      <c r="N350" s="501"/>
      <c r="O350" s="501"/>
      <c r="P350" s="501"/>
      <c r="Q350" s="501"/>
      <c r="R350" s="58"/>
      <c r="S350" s="58"/>
      <c r="T350" s="501"/>
      <c r="U350" s="501"/>
      <c r="V350" s="501"/>
      <c r="W350" s="501"/>
      <c r="X350" s="501"/>
      <c r="Y350" s="58"/>
      <c r="Z350" s="58"/>
      <c r="AA350" s="58"/>
      <c r="AB350" s="501"/>
      <c r="AC350" s="501"/>
    </row>
    <row r="351" spans="1:39">
      <c r="A351" s="6">
        <v>160</v>
      </c>
      <c r="B351" s="58"/>
      <c r="C351" s="10" t="s">
        <v>258</v>
      </c>
      <c r="D351" s="58"/>
      <c r="E351" s="30" t="s">
        <v>259</v>
      </c>
      <c r="F351" s="58"/>
      <c r="G351" s="29">
        <v>756.00000000000398</v>
      </c>
      <c r="H351" s="58"/>
      <c r="I351" s="537">
        <v>1090.76</v>
      </c>
      <c r="J351" s="539">
        <f>G351*I351/1000</f>
        <v>824.61456000000442</v>
      </c>
      <c r="K351" s="58"/>
      <c r="L351" s="29">
        <v>0</v>
      </c>
      <c r="M351" s="29">
        <v>0</v>
      </c>
      <c r="N351" s="29">
        <v>0</v>
      </c>
      <c r="O351" s="29">
        <v>0</v>
      </c>
      <c r="P351" s="29">
        <v>0</v>
      </c>
      <c r="Q351" s="534">
        <f>J351-L351-M351-N351-O351-P351</f>
        <v>824.61456000000442</v>
      </c>
      <c r="R351" s="58"/>
      <c r="S351" s="29">
        <v>22.532829136661576</v>
      </c>
      <c r="T351" s="29">
        <v>0</v>
      </c>
      <c r="U351" s="29">
        <v>0</v>
      </c>
      <c r="V351" s="29">
        <v>0</v>
      </c>
      <c r="W351" s="29">
        <v>0</v>
      </c>
      <c r="X351" s="29">
        <v>0</v>
      </c>
      <c r="Y351" s="539"/>
      <c r="Z351" s="539">
        <f>Q351+S351+T351+U351+V351+W351+X351</f>
        <v>847.14738913666599</v>
      </c>
      <c r="AA351" s="540">
        <f>Z351/G351*1000</f>
        <v>1120.5653295458487</v>
      </c>
      <c r="AB351" s="534">
        <f>Z351-J351</f>
        <v>22.532829136661576</v>
      </c>
      <c r="AC351" s="541">
        <f>AA351/I351-1</f>
        <v>2.7325286539521709E-2</v>
      </c>
      <c r="AD351" s="542"/>
      <c r="AF351" s="543"/>
      <c r="AI351" s="543"/>
      <c r="AK351" s="543"/>
      <c r="AM351" s="560"/>
    </row>
    <row r="352" spans="1:39">
      <c r="C352" s="521" t="s">
        <v>280</v>
      </c>
      <c r="E352" s="30"/>
      <c r="G352" s="29"/>
      <c r="J352" s="567"/>
      <c r="L352" s="538"/>
      <c r="M352" s="538"/>
      <c r="N352" s="538"/>
      <c r="O352" s="538"/>
      <c r="P352" s="538"/>
      <c r="Q352" s="534"/>
      <c r="S352" s="29"/>
      <c r="T352" s="534"/>
      <c r="U352" s="534"/>
      <c r="V352" s="534"/>
      <c r="W352" s="534"/>
      <c r="X352" s="534"/>
      <c r="Y352" s="567"/>
      <c r="Z352" s="539"/>
      <c r="AA352" s="670"/>
      <c r="AB352" s="534"/>
      <c r="AC352" s="541"/>
      <c r="AD352" s="542"/>
      <c r="AF352" s="543"/>
      <c r="AI352" s="543"/>
      <c r="AK352" s="543"/>
      <c r="AM352" s="560"/>
    </row>
    <row r="353" spans="1:39">
      <c r="A353" s="6">
        <f>MAX(A$350:A352)+1</f>
        <v>161</v>
      </c>
      <c r="B353" s="58"/>
      <c r="C353" s="526" t="s">
        <v>317</v>
      </c>
      <c r="D353" s="58"/>
      <c r="E353" s="522" t="s">
        <v>281</v>
      </c>
      <c r="F353" s="58"/>
      <c r="G353" s="29">
        <v>25506.168000000001</v>
      </c>
      <c r="H353" s="58"/>
      <c r="I353" s="547">
        <v>34.796800000000005</v>
      </c>
      <c r="J353" s="539">
        <f>G353*I353/100</f>
        <v>8875.3302666240015</v>
      </c>
      <c r="K353" s="58"/>
      <c r="L353" s="29">
        <v>476.40420590399998</v>
      </c>
      <c r="M353" s="29">
        <v>0</v>
      </c>
      <c r="N353" s="29">
        <v>0</v>
      </c>
      <c r="O353" s="29">
        <v>0</v>
      </c>
      <c r="P353" s="29">
        <v>0</v>
      </c>
      <c r="Q353" s="534">
        <f>J353-L353-M353-N353-O353-P353</f>
        <v>8398.9260607200013</v>
      </c>
      <c r="R353" s="58"/>
      <c r="S353" s="29">
        <v>229.50306123342853</v>
      </c>
      <c r="T353" s="29">
        <v>338.12516062253968</v>
      </c>
      <c r="U353" s="29">
        <v>0</v>
      </c>
      <c r="V353" s="29">
        <v>0</v>
      </c>
      <c r="W353" s="29">
        <v>0</v>
      </c>
      <c r="X353" s="29">
        <v>0</v>
      </c>
      <c r="Y353" s="539"/>
      <c r="Z353" s="539">
        <f>Q353+S353+T353+U353+V353+W353+X353</f>
        <v>8966.5542825759694</v>
      </c>
      <c r="AA353" s="548">
        <f>Z353/G353*100</f>
        <v>35.154454728660021</v>
      </c>
      <c r="AB353" s="534">
        <f>Z353-J353</f>
        <v>91.224015951967885</v>
      </c>
      <c r="AC353" s="541"/>
      <c r="AD353" s="542"/>
      <c r="AF353" s="543"/>
      <c r="AI353" s="543"/>
      <c r="AK353" s="543"/>
      <c r="AM353" s="560"/>
    </row>
    <row r="354" spans="1:39">
      <c r="A354" s="6">
        <f>MAX(A$350:A353)+1</f>
        <v>162</v>
      </c>
      <c r="B354" s="58"/>
      <c r="C354" s="526" t="s">
        <v>318</v>
      </c>
      <c r="D354" s="58"/>
      <c r="E354" s="522" t="s">
        <v>281</v>
      </c>
      <c r="F354" s="58"/>
      <c r="G354" s="29">
        <v>66225.600000000006</v>
      </c>
      <c r="H354" s="58"/>
      <c r="I354" s="547">
        <v>20.462300000000003</v>
      </c>
      <c r="J354" s="539">
        <f>G354*I354/100</f>
        <v>13551.280948800002</v>
      </c>
      <c r="K354" s="58"/>
      <c r="L354" s="29">
        <v>727.42199040000003</v>
      </c>
      <c r="M354" s="29">
        <v>0</v>
      </c>
      <c r="N354" s="29">
        <v>0</v>
      </c>
      <c r="O354" s="29">
        <v>0</v>
      </c>
      <c r="P354" s="29">
        <v>0</v>
      </c>
      <c r="Q354" s="534">
        <f>J354-L354-M354-N354-O354-P354</f>
        <v>12823.858958400002</v>
      </c>
      <c r="R354" s="58"/>
      <c r="S354" s="29">
        <v>350.4156205806903</v>
      </c>
      <c r="T354" s="29">
        <v>516.26575122337101</v>
      </c>
      <c r="U354" s="29">
        <v>0</v>
      </c>
      <c r="V354" s="29">
        <v>0</v>
      </c>
      <c r="W354" s="29">
        <v>0</v>
      </c>
      <c r="X354" s="29">
        <v>0</v>
      </c>
      <c r="Y354" s="539"/>
      <c r="Z354" s="539">
        <f>Q354+S354+T354+U354+V354+W354+X354</f>
        <v>13690.540330204063</v>
      </c>
      <c r="AA354" s="548">
        <f>Z354/G354*100</f>
        <v>20.672580286481455</v>
      </c>
      <c r="AB354" s="534">
        <f>Z354-J354</f>
        <v>139.25938140406106</v>
      </c>
      <c r="AC354" s="541"/>
      <c r="AD354" s="542"/>
      <c r="AF354" s="543"/>
      <c r="AI354" s="543"/>
      <c r="AK354" s="543"/>
      <c r="AM354" s="560"/>
    </row>
    <row r="355" spans="1:39">
      <c r="A355" s="6">
        <f>MAX(A$350:A354)+1</f>
        <v>163</v>
      </c>
      <c r="B355" s="58"/>
      <c r="C355" s="521" t="s">
        <v>280</v>
      </c>
      <c r="D355" s="58"/>
      <c r="E355" s="30"/>
      <c r="F355" s="58"/>
      <c r="G355" s="131">
        <f>SUM(G353:G354)</f>
        <v>91731.768000000011</v>
      </c>
      <c r="H355" s="58"/>
      <c r="I355" s="556">
        <f>J355/G355*100</f>
        <v>24.44803115036876</v>
      </c>
      <c r="J355" s="554">
        <f>SUM(J353:J354)</f>
        <v>22426.611215424004</v>
      </c>
      <c r="K355" s="58"/>
      <c r="L355" s="619">
        <f>SUM(L353:L354)</f>
        <v>1203.826196304</v>
      </c>
      <c r="M355" s="619">
        <f>SUM(M353:M354)</f>
        <v>0</v>
      </c>
      <c r="N355" s="619">
        <f>SUM(N353:N354)</f>
        <v>0</v>
      </c>
      <c r="O355" s="619">
        <f>SUM(O353:O354)</f>
        <v>0</v>
      </c>
      <c r="P355" s="619">
        <f>SUM(P353:P354)</f>
        <v>0</v>
      </c>
      <c r="Q355" s="554">
        <f t="shared" ref="Q355" si="125">SUM(Q353:Q354)</f>
        <v>21222.785019120005</v>
      </c>
      <c r="R355" s="640"/>
      <c r="S355" s="411">
        <f>SUM(S353:S354)</f>
        <v>579.91868181411883</v>
      </c>
      <c r="T355" s="411">
        <f>SUM(T353:T354)</f>
        <v>854.39091184591075</v>
      </c>
      <c r="U355" s="619">
        <f t="shared" ref="U355:X355" si="126">SUM(U353:U354)</f>
        <v>0</v>
      </c>
      <c r="V355" s="619">
        <f t="shared" si="126"/>
        <v>0</v>
      </c>
      <c r="W355" s="619">
        <f t="shared" si="126"/>
        <v>0</v>
      </c>
      <c r="X355" s="619">
        <f t="shared" si="126"/>
        <v>0</v>
      </c>
      <c r="Y355" s="539"/>
      <c r="Z355" s="554">
        <f>SUM(Z353:Z354)</f>
        <v>22657.094612780034</v>
      </c>
      <c r="AA355" s="556">
        <f>Z355/G355*100</f>
        <v>24.699289141336543</v>
      </c>
      <c r="AB355" s="552">
        <f>SUM(AB353:AB354)</f>
        <v>230.48339735602895</v>
      </c>
      <c r="AC355" s="562">
        <f>AA355/I355-1</f>
        <v>1.0277228027991692E-2</v>
      </c>
      <c r="AD355" s="542"/>
      <c r="AF355" s="543"/>
      <c r="AI355" s="543"/>
      <c r="AK355" s="543"/>
      <c r="AM355" s="560"/>
    </row>
    <row r="356" spans="1:39">
      <c r="A356" s="6"/>
      <c r="C356" s="10"/>
      <c r="G356" s="129"/>
      <c r="J356" s="567"/>
      <c r="L356" s="538"/>
      <c r="M356" s="538"/>
      <c r="N356" s="538"/>
      <c r="O356" s="538"/>
      <c r="P356" s="538"/>
      <c r="Q356" s="501"/>
      <c r="T356" s="501"/>
      <c r="U356" s="501"/>
      <c r="V356" s="501"/>
      <c r="W356" s="501"/>
      <c r="X356" s="501"/>
      <c r="AA356" s="632"/>
      <c r="AB356" s="501"/>
      <c r="AC356" s="501"/>
      <c r="AF356" s="543"/>
      <c r="AI356" s="543"/>
      <c r="AK356" s="543"/>
      <c r="AM356" s="560"/>
    </row>
    <row r="357" spans="1:39" ht="12.95">
      <c r="A357" s="6"/>
      <c r="B357" s="58"/>
      <c r="C357" s="521" t="s">
        <v>260</v>
      </c>
      <c r="D357" s="58"/>
      <c r="E357" s="128"/>
      <c r="F357" s="58"/>
      <c r="G357" s="575"/>
      <c r="H357" s="58"/>
      <c r="I357" s="58"/>
      <c r="J357" s="539"/>
      <c r="K357" s="58"/>
      <c r="L357" s="538"/>
      <c r="M357" s="538"/>
      <c r="N357" s="538"/>
      <c r="O357" s="538"/>
      <c r="P357" s="538"/>
      <c r="Q357" s="501"/>
      <c r="R357" s="58"/>
      <c r="S357" s="58"/>
      <c r="T357" s="501"/>
      <c r="U357" s="501"/>
      <c r="V357" s="501"/>
      <c r="W357" s="501"/>
      <c r="X357" s="501"/>
      <c r="Y357" s="58"/>
      <c r="Z357" s="58"/>
      <c r="AA357" s="548"/>
      <c r="AB357" s="671"/>
      <c r="AC357" s="501"/>
      <c r="AF357" s="543"/>
      <c r="AI357" s="543"/>
      <c r="AK357" s="543"/>
      <c r="AM357" s="560"/>
    </row>
    <row r="358" spans="1:39">
      <c r="A358" s="6">
        <f>MAX(A$350:A357)+1</f>
        <v>164</v>
      </c>
      <c r="B358" s="58"/>
      <c r="C358" s="526" t="s">
        <v>319</v>
      </c>
      <c r="D358" s="58"/>
      <c r="E358" s="30" t="s">
        <v>262</v>
      </c>
      <c r="F358" s="58"/>
      <c r="G358" s="29">
        <v>338478.94474000001</v>
      </c>
      <c r="H358" s="58"/>
      <c r="I358" s="547">
        <v>0.77600000000000002</v>
      </c>
      <c r="J358" s="539">
        <f>G358*I358/100</f>
        <v>2626.5966111824005</v>
      </c>
      <c r="K358" s="58"/>
      <c r="L358" s="29">
        <v>310.72367127132003</v>
      </c>
      <c r="M358" s="29">
        <v>71.733497582074222</v>
      </c>
      <c r="N358" s="29">
        <v>24.032005076540003</v>
      </c>
      <c r="O358" s="29">
        <v>0</v>
      </c>
      <c r="P358" s="29">
        <v>0</v>
      </c>
      <c r="Q358" s="534">
        <f>J358-L358-M358-N358-O358-P358</f>
        <v>2220.1074372524663</v>
      </c>
      <c r="R358" s="58"/>
      <c r="S358" s="29">
        <v>60.665071871446344</v>
      </c>
      <c r="T358" s="29">
        <v>196.90814472516561</v>
      </c>
      <c r="U358" s="29">
        <v>69.744948399076549</v>
      </c>
      <c r="V358" s="29">
        <v>22.526966290017398</v>
      </c>
      <c r="W358" s="29">
        <v>0</v>
      </c>
      <c r="X358" s="29">
        <v>0</v>
      </c>
      <c r="Y358" s="539"/>
      <c r="Z358" s="539">
        <f>Q358+S358+T358+U358+V358+W358+X358</f>
        <v>2569.9525685381723</v>
      </c>
      <c r="AA358" s="548">
        <f>Z358/G358*100</f>
        <v>0.75926512076320185</v>
      </c>
      <c r="AB358" s="672">
        <f>Z358-J358</f>
        <v>-56.644042644228193</v>
      </c>
      <c r="AC358" s="541"/>
      <c r="AD358" s="542"/>
      <c r="AF358" s="543"/>
      <c r="AI358" s="543"/>
      <c r="AK358" s="543"/>
      <c r="AM358" s="560"/>
    </row>
    <row r="359" spans="1:39">
      <c r="A359" s="6">
        <f>MAX(A$350:A358)+1</f>
        <v>165</v>
      </c>
      <c r="B359" s="58"/>
      <c r="C359" s="526" t="s">
        <v>320</v>
      </c>
      <c r="D359" s="58"/>
      <c r="E359" s="30" t="s">
        <v>262</v>
      </c>
      <c r="F359" s="58"/>
      <c r="G359" s="29">
        <v>590622.16051000007</v>
      </c>
      <c r="H359" s="58"/>
      <c r="I359" s="547">
        <v>0.5645</v>
      </c>
      <c r="J359" s="539">
        <f>G359*I359/100</f>
        <v>3334.0620960789506</v>
      </c>
      <c r="K359" s="58"/>
      <c r="L359" s="29">
        <v>394.53560322068006</v>
      </c>
      <c r="M359" s="29">
        <v>125.16995216765321</v>
      </c>
      <c r="N359" s="29">
        <v>41.934173396210007</v>
      </c>
      <c r="O359" s="29">
        <v>0</v>
      </c>
      <c r="P359" s="29">
        <v>0</v>
      </c>
      <c r="Q359" s="534">
        <f>J359-L359-M359-N359-O359-P359</f>
        <v>2772.4223672944072</v>
      </c>
      <c r="R359" s="58"/>
      <c r="S359" s="29">
        <v>75.757235594898248</v>
      </c>
      <c r="T359" s="29">
        <v>252.60993253334425</v>
      </c>
      <c r="U359" s="29">
        <v>121.70007248091335</v>
      </c>
      <c r="V359" s="29">
        <v>39.307985641960954</v>
      </c>
      <c r="W359" s="29">
        <v>0</v>
      </c>
      <c r="X359" s="29">
        <v>0</v>
      </c>
      <c r="Y359" s="539"/>
      <c r="Z359" s="539">
        <f>Q359+S359+T359+U359+V359+W359+X359</f>
        <v>3261.7975935455238</v>
      </c>
      <c r="AA359" s="548">
        <f>Z359/G359*100</f>
        <v>0.55226468148925756</v>
      </c>
      <c r="AB359" s="672">
        <f>Z359-J359</f>
        <v>-72.264502533426821</v>
      </c>
      <c r="AC359" s="541"/>
      <c r="AD359" s="542"/>
      <c r="AF359" s="543"/>
      <c r="AI359" s="543"/>
      <c r="AK359" s="543"/>
      <c r="AM359" s="560"/>
    </row>
    <row r="360" spans="1:39">
      <c r="A360" s="6">
        <f>MAX(A$350:A359)+1</f>
        <v>166</v>
      </c>
      <c r="B360" s="58"/>
      <c r="C360" s="521" t="s">
        <v>260</v>
      </c>
      <c r="D360" s="58"/>
      <c r="E360" s="30"/>
      <c r="F360" s="58"/>
      <c r="G360" s="131">
        <f>SUM(G358:G359)</f>
        <v>929101.10525000002</v>
      </c>
      <c r="H360" s="58"/>
      <c r="I360" s="556">
        <f>J360/G360*100</f>
        <v>0.64155113728526603</v>
      </c>
      <c r="J360" s="554">
        <f>SUM(J358:J359)</f>
        <v>5960.6587072613511</v>
      </c>
      <c r="K360" s="58"/>
      <c r="L360" s="411">
        <f>SUM(L358:L359)</f>
        <v>705.25927449200003</v>
      </c>
      <c r="M360" s="619">
        <f>SUM(M358:M359)</f>
        <v>196.90344974972743</v>
      </c>
      <c r="N360" s="619">
        <f>SUM(N358:N359)</f>
        <v>65.966178472750016</v>
      </c>
      <c r="O360" s="619">
        <f>SUM(O358:O359)</f>
        <v>0</v>
      </c>
      <c r="P360" s="619">
        <f>SUM(P358:P359)</f>
        <v>0</v>
      </c>
      <c r="Q360" s="554">
        <f t="shared" ref="Q360" si="127">SUM(Q358:Q359)</f>
        <v>4992.5298045468735</v>
      </c>
      <c r="R360" s="640"/>
      <c r="S360" s="619">
        <f>SUM(S358:S359)</f>
        <v>136.42230746634459</v>
      </c>
      <c r="T360" s="411">
        <f>SUM(T358:T359)</f>
        <v>449.51807725850983</v>
      </c>
      <c r="U360" s="645">
        <f t="shared" ref="U360:X360" si="128">SUM(U358:U359)</f>
        <v>191.4450208799899</v>
      </c>
      <c r="V360" s="645">
        <f t="shared" si="128"/>
        <v>61.834951931978352</v>
      </c>
      <c r="W360" s="619">
        <f t="shared" si="128"/>
        <v>0</v>
      </c>
      <c r="X360" s="619">
        <f t="shared" si="128"/>
        <v>0</v>
      </c>
      <c r="Y360" s="539"/>
      <c r="Z360" s="554">
        <f>SUM(Z358:Z359)</f>
        <v>5831.7501620836956</v>
      </c>
      <c r="AA360" s="556">
        <f>Z360/G360*100</f>
        <v>0.62767659290583921</v>
      </c>
      <c r="AB360" s="673">
        <f>SUM(AB358:AB359)</f>
        <v>-128.90854517765501</v>
      </c>
      <c r="AC360" s="558">
        <f>AA360/I360-1</f>
        <v>-2.1626560336463818E-2</v>
      </c>
      <c r="AD360" s="542"/>
      <c r="AF360" s="543"/>
      <c r="AI360" s="543"/>
      <c r="AK360" s="543"/>
      <c r="AM360" s="560"/>
    </row>
    <row r="361" spans="1:39">
      <c r="A361" s="6"/>
      <c r="C361" s="10"/>
      <c r="E361" s="30"/>
      <c r="G361" s="29"/>
      <c r="J361" s="567"/>
      <c r="L361" s="538"/>
      <c r="M361" s="538"/>
      <c r="N361" s="538"/>
      <c r="O361" s="538"/>
      <c r="P361" s="538"/>
      <c r="Q361" s="501"/>
      <c r="T361" s="501"/>
      <c r="U361" s="501"/>
      <c r="V361" s="501"/>
      <c r="W361" s="501"/>
      <c r="X361" s="501"/>
      <c r="AA361" s="632"/>
      <c r="AB361" s="501"/>
      <c r="AC361" s="501"/>
      <c r="AF361" s="543"/>
      <c r="AI361" s="543"/>
      <c r="AK361" s="543"/>
      <c r="AM361" s="560"/>
    </row>
    <row r="362" spans="1:39">
      <c r="A362" s="6">
        <f>MAX(A$350:A361)+1</f>
        <v>167</v>
      </c>
      <c r="B362" s="58"/>
      <c r="C362" s="521" t="s">
        <v>321</v>
      </c>
      <c r="D362" s="58"/>
      <c r="E362" s="30" t="s">
        <v>262</v>
      </c>
      <c r="F362" s="58"/>
      <c r="G362" s="29">
        <v>18115.468199999999</v>
      </c>
      <c r="H362" s="58"/>
      <c r="I362" s="547">
        <v>0.5645</v>
      </c>
      <c r="J362" s="539">
        <f>G362*I362/100</f>
        <v>102.26181798899999</v>
      </c>
      <c r="K362" s="58"/>
      <c r="L362" s="29">
        <v>16.629999807600001</v>
      </c>
      <c r="M362" s="29">
        <v>0</v>
      </c>
      <c r="N362" s="29">
        <v>1.2861982422</v>
      </c>
      <c r="O362" s="29">
        <v>0</v>
      </c>
      <c r="P362" s="29">
        <v>0</v>
      </c>
      <c r="Q362" s="534">
        <f>J362-L362-M362-N362-O362-P362</f>
        <v>84.345619939199992</v>
      </c>
      <c r="R362" s="564"/>
      <c r="S362" s="29">
        <v>2.3047682331922204</v>
      </c>
      <c r="T362" s="29">
        <v>10.538567581595844</v>
      </c>
      <c r="U362" s="29">
        <v>0</v>
      </c>
      <c r="V362" s="29">
        <v>1.2056482325148781</v>
      </c>
      <c r="W362" s="29">
        <v>0</v>
      </c>
      <c r="X362" s="29">
        <v>0</v>
      </c>
      <c r="Y362" s="564"/>
      <c r="Z362" s="539">
        <f>Q362+S362+T362+U362+V362+W362+X362</f>
        <v>98.394603986502929</v>
      </c>
      <c r="AA362" s="548">
        <f>Z362/G362*100</f>
        <v>0.54315242035258537</v>
      </c>
      <c r="AB362" s="672">
        <f>Z362-J362</f>
        <v>-3.8672140024970645</v>
      </c>
      <c r="AC362" s="559">
        <f>AA362/I362-1</f>
        <v>-3.7816792998077275E-2</v>
      </c>
      <c r="AD362" s="542"/>
      <c r="AF362" s="543"/>
      <c r="AI362" s="543"/>
      <c r="AK362" s="543"/>
      <c r="AM362" s="560"/>
    </row>
    <row r="363" spans="1:39">
      <c r="A363" s="6">
        <f>MAX(A$350:A362)+1</f>
        <v>168</v>
      </c>
      <c r="B363" s="58"/>
      <c r="C363" s="521" t="s">
        <v>322</v>
      </c>
      <c r="D363" s="58"/>
      <c r="E363" s="30" t="s">
        <v>259</v>
      </c>
      <c r="F363" s="58"/>
      <c r="G363" s="29">
        <v>456.00000000000375</v>
      </c>
      <c r="H363" s="58"/>
      <c r="I363" s="537">
        <v>248.07</v>
      </c>
      <c r="J363" s="539">
        <f>G363*I363/1000</f>
        <v>113.11992000000093</v>
      </c>
      <c r="K363" s="58"/>
      <c r="L363" s="29">
        <v>0</v>
      </c>
      <c r="M363" s="29">
        <v>0</v>
      </c>
      <c r="N363" s="29">
        <v>0</v>
      </c>
      <c r="O363" s="29">
        <v>0</v>
      </c>
      <c r="P363" s="29">
        <v>0</v>
      </c>
      <c r="Q363" s="534">
        <f>J363-L363-M363-N363-O363-P363</f>
        <v>113.11992000000093</v>
      </c>
      <c r="R363" s="564"/>
      <c r="S363" s="29">
        <v>3.0910342273277678</v>
      </c>
      <c r="T363" s="29">
        <v>0</v>
      </c>
      <c r="U363" s="29">
        <v>0</v>
      </c>
      <c r="V363" s="29">
        <v>0</v>
      </c>
      <c r="W363" s="29">
        <v>0</v>
      </c>
      <c r="X363" s="29">
        <v>0</v>
      </c>
      <c r="Y363" s="564"/>
      <c r="Z363" s="539">
        <f>Q363+S363+T363+U363+V363+W363+X363</f>
        <v>116.2109542273287</v>
      </c>
      <c r="AA363" s="540">
        <f>Z363/G363*1000</f>
        <v>254.84858383185909</v>
      </c>
      <c r="AB363" s="534">
        <f>Z363-J363</f>
        <v>3.0910342273277678</v>
      </c>
      <c r="AC363" s="559">
        <f>AA363/I363-1</f>
        <v>2.7325286539521487E-2</v>
      </c>
      <c r="AD363" s="542"/>
      <c r="AF363" s="543"/>
      <c r="AI363" s="543"/>
      <c r="AK363" s="543"/>
      <c r="AM363" s="560"/>
    </row>
    <row r="364" spans="1:39">
      <c r="A364" s="6"/>
      <c r="B364" s="58"/>
      <c r="C364" s="10"/>
      <c r="D364" s="58"/>
      <c r="E364" s="30"/>
      <c r="F364" s="58"/>
      <c r="G364" s="132"/>
      <c r="H364" s="58"/>
      <c r="I364" s="58"/>
      <c r="J364" s="539"/>
      <c r="K364" s="58"/>
      <c r="L364" s="538"/>
      <c r="M364" s="538"/>
      <c r="N364" s="538"/>
      <c r="O364" s="538"/>
      <c r="P364" s="538"/>
      <c r="Q364" s="538"/>
      <c r="R364" s="564"/>
      <c r="S364" s="564"/>
      <c r="T364" s="538"/>
      <c r="U364" s="538"/>
      <c r="V364" s="538"/>
      <c r="W364" s="538"/>
      <c r="X364" s="538"/>
      <c r="Y364" s="564"/>
      <c r="Z364" s="564"/>
      <c r="AA364" s="564"/>
      <c r="AB364" s="538"/>
      <c r="AC364" s="541"/>
      <c r="AD364" s="542"/>
      <c r="AF364" s="543"/>
      <c r="AI364" s="543"/>
      <c r="AK364" s="543"/>
      <c r="AM364" s="560"/>
    </row>
    <row r="365" spans="1:39">
      <c r="A365" s="6">
        <f>MAX(A$350:A364)+1</f>
        <v>169</v>
      </c>
      <c r="B365" s="58"/>
      <c r="C365" s="10" t="s">
        <v>266</v>
      </c>
      <c r="D365" s="58"/>
      <c r="E365" s="30"/>
      <c r="F365" s="58"/>
      <c r="G365" s="131">
        <f>G360</f>
        <v>929101.10525000002</v>
      </c>
      <c r="H365" s="58"/>
      <c r="I365" s="556">
        <f>J365/G365*100</f>
        <v>3.1672835232238961</v>
      </c>
      <c r="J365" s="554">
        <f>J351+J355+J360+J362+J363</f>
        <v>29427.266220674363</v>
      </c>
      <c r="K365" s="539"/>
      <c r="L365" s="619">
        <f t="shared" ref="L365:X365" si="129">L351+L355+L360+L362+L363</f>
        <v>1925.7154706035999</v>
      </c>
      <c r="M365" s="619">
        <f t="shared" si="129"/>
        <v>196.90344974972743</v>
      </c>
      <c r="N365" s="619">
        <f t="shared" si="129"/>
        <v>67.252376714950017</v>
      </c>
      <c r="O365" s="619">
        <f t="shared" si="129"/>
        <v>0</v>
      </c>
      <c r="P365" s="619">
        <f t="shared" si="129"/>
        <v>0</v>
      </c>
      <c r="Q365" s="554">
        <f t="shared" si="129"/>
        <v>27237.394923606083</v>
      </c>
      <c r="R365" s="564"/>
      <c r="S365" s="619">
        <f t="shared" si="129"/>
        <v>744.26962087764502</v>
      </c>
      <c r="T365" s="619">
        <f t="shared" si="129"/>
        <v>1314.4475566860162</v>
      </c>
      <c r="U365" s="619">
        <f t="shared" si="129"/>
        <v>191.4450208799899</v>
      </c>
      <c r="V365" s="619">
        <f t="shared" si="129"/>
        <v>63.040600164493227</v>
      </c>
      <c r="W365" s="619">
        <f t="shared" si="129"/>
        <v>0</v>
      </c>
      <c r="X365" s="619">
        <f t="shared" si="129"/>
        <v>0</v>
      </c>
      <c r="Y365" s="564"/>
      <c r="Z365" s="554">
        <f>Z351+Z355+Z360+Z362+Z363</f>
        <v>29550.597722214228</v>
      </c>
      <c r="AA365" s="556">
        <f>Z365/G365*100</f>
        <v>3.1805578053061119</v>
      </c>
      <c r="AB365" s="554">
        <f>AB351+AB355+AB360+AB362+AB363</f>
        <v>123.33150153986621</v>
      </c>
      <c r="AC365" s="562">
        <f>AA365/I365-1</f>
        <v>4.1910621467522446E-3</v>
      </c>
      <c r="AD365" s="542"/>
      <c r="AF365" s="543"/>
      <c r="AI365" s="543"/>
      <c r="AK365" s="543"/>
      <c r="AM365" s="560"/>
    </row>
    <row r="366" spans="1:39">
      <c r="A366" s="6"/>
      <c r="B366" s="58"/>
      <c r="C366" s="10"/>
      <c r="D366" s="58"/>
      <c r="E366" s="30"/>
      <c r="F366" s="58"/>
      <c r="G366" s="132"/>
      <c r="H366" s="58"/>
      <c r="I366" s="58"/>
      <c r="J366" s="539"/>
      <c r="K366" s="58"/>
      <c r="L366" s="538"/>
      <c r="M366" s="538"/>
      <c r="N366" s="538"/>
      <c r="O366" s="538"/>
      <c r="P366" s="538"/>
      <c r="Q366" s="534"/>
      <c r="R366" s="539"/>
      <c r="S366" s="539"/>
      <c r="T366" s="534"/>
      <c r="U366" s="534"/>
      <c r="V366" s="534"/>
      <c r="W366" s="534"/>
      <c r="X366" s="534"/>
      <c r="Y366" s="539"/>
      <c r="Z366" s="539"/>
      <c r="AA366" s="548"/>
      <c r="AB366" s="534"/>
      <c r="AC366" s="534"/>
      <c r="AD366" s="530"/>
      <c r="AF366" s="543"/>
      <c r="AI366" s="543"/>
      <c r="AK366" s="543"/>
      <c r="AM366" s="560"/>
    </row>
    <row r="367" spans="1:39">
      <c r="A367" s="6"/>
      <c r="B367" s="58"/>
      <c r="C367" s="501" t="s">
        <v>323</v>
      </c>
      <c r="D367" s="58"/>
      <c r="E367" s="591"/>
      <c r="F367" s="58"/>
      <c r="G367" s="618"/>
      <c r="H367" s="58"/>
      <c r="I367" s="58"/>
      <c r="J367" s="539"/>
      <c r="K367" s="58"/>
      <c r="L367" s="538"/>
      <c r="M367" s="538"/>
      <c r="N367" s="538"/>
      <c r="O367" s="538"/>
      <c r="P367" s="538"/>
      <c r="Q367" s="538"/>
      <c r="R367" s="564"/>
      <c r="S367" s="564"/>
      <c r="T367" s="538"/>
      <c r="U367" s="538"/>
      <c r="V367" s="538"/>
      <c r="W367" s="538"/>
      <c r="X367" s="538"/>
      <c r="Y367" s="564"/>
      <c r="Z367" s="564"/>
      <c r="AA367" s="564"/>
      <c r="AB367" s="538"/>
      <c r="AC367" s="538"/>
      <c r="AD367" s="563"/>
      <c r="AF367" s="543"/>
      <c r="AI367" s="543"/>
      <c r="AK367" s="543"/>
      <c r="AM367" s="560"/>
    </row>
    <row r="368" spans="1:39">
      <c r="A368" s="6">
        <f>MAX(A$350:A367)+1</f>
        <v>170</v>
      </c>
      <c r="C368" s="526" t="s">
        <v>306</v>
      </c>
      <c r="E368" s="522" t="s">
        <v>281</v>
      </c>
      <c r="G368" s="29">
        <v>1764.0360000000001</v>
      </c>
      <c r="H368" s="568"/>
      <c r="I368" s="547">
        <v>41.884799999999998</v>
      </c>
      <c r="J368" s="568">
        <f>G368*I368/100</f>
        <v>738.86295052799994</v>
      </c>
      <c r="L368" s="29">
        <v>0</v>
      </c>
      <c r="M368" s="29">
        <v>0</v>
      </c>
      <c r="N368" s="29">
        <v>0</v>
      </c>
      <c r="O368" s="29">
        <v>0</v>
      </c>
      <c r="P368" s="29">
        <v>0</v>
      </c>
      <c r="Q368" s="534">
        <f>J368-L368-M368-N368-O368-P368</f>
        <v>738.86295052799994</v>
      </c>
      <c r="R368" s="64"/>
      <c r="S368" s="29">
        <v>2.8278947152278135</v>
      </c>
      <c r="T368" s="132">
        <v>0</v>
      </c>
      <c r="U368" s="132">
        <v>0</v>
      </c>
      <c r="V368" s="132">
        <v>0</v>
      </c>
      <c r="W368" s="132">
        <v>0</v>
      </c>
      <c r="X368" s="132">
        <v>0</v>
      </c>
      <c r="Y368" s="130"/>
      <c r="Z368" s="539">
        <f>Q368+S368+T368+U368+V368+W368+X368</f>
        <v>741.69084524322773</v>
      </c>
      <c r="AA368" s="130">
        <f>Z368/G368*100</f>
        <v>42.045108220196624</v>
      </c>
      <c r="AB368" s="534">
        <f>Z368-J368</f>
        <v>2.8278947152277851</v>
      </c>
      <c r="AC368" s="576"/>
      <c r="AD368" s="610"/>
      <c r="AF368" s="543"/>
      <c r="AI368" s="543"/>
      <c r="AK368" s="543"/>
      <c r="AM368" s="560"/>
    </row>
    <row r="369" spans="1:39">
      <c r="A369" s="6">
        <f>MAX(A$350:A368)+1</f>
        <v>171</v>
      </c>
      <c r="B369" s="581"/>
      <c r="C369" s="526" t="s">
        <v>307</v>
      </c>
      <c r="D369" s="581"/>
      <c r="E369" s="522" t="s">
        <v>281</v>
      </c>
      <c r="F369" s="581"/>
      <c r="G369" s="29">
        <v>6791.652</v>
      </c>
      <c r="H369" s="568"/>
      <c r="I369" s="547">
        <v>43.368399999999994</v>
      </c>
      <c r="J369" s="568">
        <f>G369*I369/100</f>
        <v>2945.4308059679997</v>
      </c>
      <c r="K369" s="581"/>
      <c r="L369" s="29">
        <v>0</v>
      </c>
      <c r="M369" s="29">
        <v>0</v>
      </c>
      <c r="N369" s="29">
        <v>0</v>
      </c>
      <c r="O369" s="29">
        <v>0</v>
      </c>
      <c r="P369" s="29">
        <v>0</v>
      </c>
      <c r="Q369" s="534">
        <f>J369-L369-M369-N369-O369-P369</f>
        <v>2945.4308059679997</v>
      </c>
      <c r="R369" s="582"/>
      <c r="S369" s="29">
        <v>8.0730119715599358</v>
      </c>
      <c r="T369" s="132">
        <v>0</v>
      </c>
      <c r="U369" s="132">
        <v>0</v>
      </c>
      <c r="V369" s="132">
        <v>0</v>
      </c>
      <c r="W369" s="132">
        <v>0</v>
      </c>
      <c r="X369" s="132">
        <v>0</v>
      </c>
      <c r="Y369" s="130"/>
      <c r="Z369" s="539">
        <f>Q369+S369+T369+U369+V369+W369+X369</f>
        <v>2953.5038179395597</v>
      </c>
      <c r="AA369" s="130">
        <f>Z369/G369*100</f>
        <v>43.48726669063079</v>
      </c>
      <c r="AB369" s="534">
        <f>Z369-J369</f>
        <v>8.0730119715599358</v>
      </c>
      <c r="AC369" s="576"/>
      <c r="AD369" s="610"/>
      <c r="AF369" s="543"/>
      <c r="AI369" s="543"/>
      <c r="AK369" s="543"/>
      <c r="AM369" s="560"/>
    </row>
    <row r="370" spans="1:39">
      <c r="A370" s="6"/>
      <c r="B370" s="3"/>
      <c r="C370" s="501" t="s">
        <v>324</v>
      </c>
      <c r="D370" s="3"/>
      <c r="E370" s="57"/>
      <c r="F370" s="3"/>
      <c r="G370" s="624"/>
      <c r="H370" s="624"/>
      <c r="I370" s="624"/>
      <c r="J370" s="624"/>
      <c r="K370" s="3"/>
      <c r="L370" s="538"/>
      <c r="M370" s="538"/>
      <c r="N370" s="538"/>
      <c r="O370" s="538"/>
      <c r="P370" s="538"/>
      <c r="Q370" s="534"/>
      <c r="R370" s="584"/>
      <c r="S370" s="132"/>
      <c r="T370" s="576"/>
      <c r="U370" s="576"/>
      <c r="V370" s="576"/>
      <c r="W370" s="576"/>
      <c r="X370" s="576"/>
      <c r="Y370" s="132"/>
      <c r="Z370" s="539"/>
      <c r="AA370" s="130"/>
      <c r="AB370" s="534"/>
      <c r="AC370" s="576"/>
      <c r="AD370" s="610"/>
      <c r="AF370" s="543"/>
      <c r="AI370" s="543"/>
      <c r="AK370" s="543"/>
      <c r="AM370" s="560"/>
    </row>
    <row r="371" spans="1:39">
      <c r="A371" s="6">
        <f>MAX(A$350:A370)+1</f>
        <v>172</v>
      </c>
      <c r="B371" s="5"/>
      <c r="C371" s="526" t="s">
        <v>306</v>
      </c>
      <c r="D371" s="5"/>
      <c r="E371" s="522" t="s">
        <v>262</v>
      </c>
      <c r="F371" s="5"/>
      <c r="G371" s="29">
        <v>19327.7673</v>
      </c>
      <c r="H371" s="674"/>
      <c r="I371" s="547">
        <v>2.5133000000000001</v>
      </c>
      <c r="J371" s="674">
        <f>G371*I371/100</f>
        <v>485.76477555090003</v>
      </c>
      <c r="K371" s="5"/>
      <c r="L371" s="29">
        <v>0</v>
      </c>
      <c r="M371" s="29">
        <v>0</v>
      </c>
      <c r="N371" s="29">
        <v>0</v>
      </c>
      <c r="O371" s="29">
        <v>8.1064112855002968</v>
      </c>
      <c r="P371" s="29">
        <v>29.988618062799702</v>
      </c>
      <c r="Q371" s="534">
        <f>J371-L371-M371-N371-O371-P371</f>
        <v>447.66974620259998</v>
      </c>
      <c r="R371" s="585"/>
      <c r="S371" s="29">
        <v>-0.65249169027803333</v>
      </c>
      <c r="T371" s="132">
        <v>0</v>
      </c>
      <c r="U371" s="132">
        <v>0</v>
      </c>
      <c r="V371" s="132">
        <v>0</v>
      </c>
      <c r="W371" s="29">
        <v>9.9579472877742248</v>
      </c>
      <c r="X371" s="29">
        <v>30.022417728980681</v>
      </c>
      <c r="Y371" s="675"/>
      <c r="Z371" s="539">
        <f>Q371+S371+T371+U371+V371+W371+X371</f>
        <v>486.99761952907681</v>
      </c>
      <c r="AA371" s="130">
        <f>Z371/G371*100</f>
        <v>2.5196786155898971</v>
      </c>
      <c r="AB371" s="534">
        <f>Z371-J371</f>
        <v>1.2328439781767884</v>
      </c>
      <c r="AC371" s="576"/>
      <c r="AD371" s="610"/>
      <c r="AF371" s="543"/>
      <c r="AI371" s="543"/>
      <c r="AK371" s="543"/>
      <c r="AM371" s="560"/>
    </row>
    <row r="372" spans="1:39">
      <c r="A372" s="6">
        <f>MAX(A$350:A371)+1</f>
        <v>173</v>
      </c>
      <c r="B372" s="58"/>
      <c r="C372" s="526" t="s">
        <v>307</v>
      </c>
      <c r="D372" s="58"/>
      <c r="E372" s="522" t="s">
        <v>262</v>
      </c>
      <c r="F372" s="58"/>
      <c r="G372" s="29">
        <v>62792.705639999993</v>
      </c>
      <c r="H372" s="624"/>
      <c r="I372" s="547">
        <v>1.7764000000000002</v>
      </c>
      <c r="J372" s="674">
        <f t="shared" ref="J372" si="130">G372*I372/100</f>
        <v>1115.4496229889601</v>
      </c>
      <c r="K372" s="58"/>
      <c r="L372" s="29">
        <v>0</v>
      </c>
      <c r="M372" s="29">
        <v>0</v>
      </c>
      <c r="N372" s="29">
        <v>0</v>
      </c>
      <c r="O372" s="29">
        <v>28.705455769500965</v>
      </c>
      <c r="P372" s="29">
        <v>106.192113756911</v>
      </c>
      <c r="Q372" s="534">
        <f>J372-L372-M372-N372-O372-P372</f>
        <v>980.55205346254809</v>
      </c>
      <c r="R372" s="564"/>
      <c r="S372" s="29">
        <v>-3.4844356682640267</v>
      </c>
      <c r="T372" s="132">
        <v>0</v>
      </c>
      <c r="U372" s="132">
        <v>0</v>
      </c>
      <c r="V372" s="132">
        <v>0</v>
      </c>
      <c r="W372" s="29">
        <v>35.26189399438838</v>
      </c>
      <c r="X372" s="29">
        <v>106.31180109923933</v>
      </c>
      <c r="Y372" s="132"/>
      <c r="Z372" s="539">
        <f>Q372+S372+T372+U372+V372+W372+X372</f>
        <v>1118.6413128879117</v>
      </c>
      <c r="AA372" s="130">
        <f>Z372/G372*100</f>
        <v>1.78148289914636</v>
      </c>
      <c r="AB372" s="534">
        <f>Z372-J372</f>
        <v>3.1916898989516085</v>
      </c>
      <c r="AC372" s="576"/>
      <c r="AD372" s="610"/>
      <c r="AF372" s="543"/>
      <c r="AI372" s="543"/>
      <c r="AK372" s="543"/>
      <c r="AM372" s="560"/>
    </row>
    <row r="373" spans="1:39">
      <c r="A373" s="6"/>
      <c r="C373" s="501" t="s">
        <v>325</v>
      </c>
      <c r="G373" s="568"/>
      <c r="H373" s="568"/>
      <c r="I373" s="568"/>
      <c r="J373" s="568"/>
      <c r="L373" s="538"/>
      <c r="M373" s="538"/>
      <c r="N373" s="538"/>
      <c r="O373" s="538"/>
      <c r="P373" s="538"/>
      <c r="Q373" s="538"/>
      <c r="R373" s="64"/>
      <c r="S373" s="130"/>
      <c r="T373" s="576"/>
      <c r="U373" s="576"/>
      <c r="V373" s="576"/>
      <c r="W373" s="576"/>
      <c r="X373" s="576"/>
      <c r="Y373" s="130"/>
      <c r="Z373" s="130"/>
      <c r="AA373" s="130"/>
      <c r="AB373" s="576"/>
      <c r="AC373" s="576"/>
      <c r="AD373" s="610"/>
      <c r="AF373" s="543"/>
      <c r="AI373" s="543"/>
      <c r="AK373" s="543"/>
      <c r="AM373" s="560"/>
    </row>
    <row r="374" spans="1:39">
      <c r="A374" s="6">
        <f>MAX(A$350:A373)+1</f>
        <v>174</v>
      </c>
      <c r="B374" s="58"/>
      <c r="C374" s="526" t="s">
        <v>306</v>
      </c>
      <c r="D374" s="58"/>
      <c r="E374" s="522" t="s">
        <v>262</v>
      </c>
      <c r="F374" s="58"/>
      <c r="G374" s="29">
        <v>15676.229820000002</v>
      </c>
      <c r="H374" s="624"/>
      <c r="I374" s="676">
        <v>0</v>
      </c>
      <c r="J374" s="676">
        <f>G374*I374/100</f>
        <v>0</v>
      </c>
      <c r="K374" s="655"/>
      <c r="L374" s="29">
        <v>0</v>
      </c>
      <c r="M374" s="29">
        <v>0</v>
      </c>
      <c r="N374" s="29">
        <v>0</v>
      </c>
      <c r="O374" s="29">
        <v>0</v>
      </c>
      <c r="P374" s="29">
        <v>0</v>
      </c>
      <c r="Q374" s="538">
        <f>J374-L374-M374-N374-O374-P374</f>
        <v>0</v>
      </c>
      <c r="R374" s="564"/>
      <c r="S374" s="132">
        <v>0</v>
      </c>
      <c r="T374" s="132">
        <v>0</v>
      </c>
      <c r="U374" s="132">
        <v>0</v>
      </c>
      <c r="V374" s="132">
        <v>0</v>
      </c>
      <c r="W374" s="132">
        <v>0</v>
      </c>
      <c r="X374" s="132">
        <v>0</v>
      </c>
      <c r="Y374" s="132"/>
      <c r="Z374" s="130">
        <f>Q374+S374+T374+U374+V374+W374+X374</f>
        <v>0</v>
      </c>
      <c r="AA374" s="130">
        <f>Z374/G374*100</f>
        <v>0</v>
      </c>
      <c r="AB374" s="576">
        <f>Z374-J374</f>
        <v>0</v>
      </c>
      <c r="AC374" s="576"/>
      <c r="AD374" s="610"/>
      <c r="AF374" s="22"/>
      <c r="AH374" s="563"/>
      <c r="AI374" s="22"/>
      <c r="AK374" s="22"/>
      <c r="AM374" s="22"/>
    </row>
    <row r="375" spans="1:39">
      <c r="A375" s="6">
        <f>MAX(A$350:A374)+1</f>
        <v>175</v>
      </c>
      <c r="B375" s="58"/>
      <c r="C375" s="526" t="s">
        <v>307</v>
      </c>
      <c r="D375" s="58"/>
      <c r="E375" s="522" t="s">
        <v>262</v>
      </c>
      <c r="F375" s="58"/>
      <c r="G375" s="29">
        <v>37528.185069999978</v>
      </c>
      <c r="H375" s="624"/>
      <c r="I375" s="676">
        <v>0</v>
      </c>
      <c r="J375" s="676">
        <f>G375*I375/100</f>
        <v>0</v>
      </c>
      <c r="K375" s="676"/>
      <c r="L375" s="132">
        <f t="shared" ref="L375:P375" si="131">I375*K375/100</f>
        <v>0</v>
      </c>
      <c r="M375" s="132">
        <f t="shared" si="131"/>
        <v>0</v>
      </c>
      <c r="N375" s="132">
        <f t="shared" si="131"/>
        <v>0</v>
      </c>
      <c r="O375" s="132">
        <f t="shared" si="131"/>
        <v>0</v>
      </c>
      <c r="P375" s="132">
        <f t="shared" si="131"/>
        <v>0</v>
      </c>
      <c r="Q375" s="132">
        <f>N375*P375/100</f>
        <v>0</v>
      </c>
      <c r="R375" s="564"/>
      <c r="S375" s="132">
        <v>0</v>
      </c>
      <c r="T375" s="132">
        <v>0</v>
      </c>
      <c r="U375" s="132">
        <v>0</v>
      </c>
      <c r="V375" s="132">
        <v>0</v>
      </c>
      <c r="W375" s="132">
        <v>0</v>
      </c>
      <c r="X375" s="132">
        <v>0</v>
      </c>
      <c r="Y375" s="132"/>
      <c r="Z375" s="130">
        <f>Q375+S375+T375+U375+V375+W375+X375</f>
        <v>0</v>
      </c>
      <c r="AA375" s="130">
        <f>Z375/G375*100</f>
        <v>0</v>
      </c>
      <c r="AB375" s="576">
        <f>Z375-J375</f>
        <v>0</v>
      </c>
      <c r="AC375" s="576"/>
      <c r="AD375" s="610"/>
      <c r="AF375" s="22"/>
      <c r="AH375" s="563"/>
      <c r="AI375" s="22"/>
      <c r="AK375" s="22"/>
      <c r="AM375" s="22"/>
    </row>
    <row r="376" spans="1:39">
      <c r="A376" s="6">
        <f>MAX(A$350:A375)+1</f>
        <v>176</v>
      </c>
      <c r="B376" s="58"/>
      <c r="C376" s="10" t="s">
        <v>326</v>
      </c>
      <c r="D376" s="58"/>
      <c r="E376" s="30"/>
      <c r="F376" s="58"/>
      <c r="G376" s="131">
        <f>SUM(G371:G375)</f>
        <v>135324.88782999996</v>
      </c>
      <c r="H376" s="624"/>
      <c r="I376" s="556">
        <f>J376/G376*100</f>
        <v>3.9057916395066274</v>
      </c>
      <c r="J376" s="554">
        <f>SUM(J368:J375)</f>
        <v>5285.50815503586</v>
      </c>
      <c r="K376" s="132"/>
      <c r="L376" s="131">
        <f t="shared" ref="L376:Q376" si="132">SUM(L368:L375)</f>
        <v>0</v>
      </c>
      <c r="M376" s="131">
        <f t="shared" si="132"/>
        <v>0</v>
      </c>
      <c r="N376" s="131">
        <f t="shared" si="132"/>
        <v>0</v>
      </c>
      <c r="O376" s="619">
        <f t="shared" si="132"/>
        <v>36.811867055001258</v>
      </c>
      <c r="P376" s="619">
        <f t="shared" si="132"/>
        <v>136.1807318197107</v>
      </c>
      <c r="Q376" s="554">
        <f t="shared" si="132"/>
        <v>5112.5155561611482</v>
      </c>
      <c r="R376" s="539"/>
      <c r="S376" s="131">
        <f>SUM(S368:S375)</f>
        <v>6.7639793282456893</v>
      </c>
      <c r="T376" s="619">
        <f>SUM(T368:T375)</f>
        <v>0</v>
      </c>
      <c r="U376" s="619">
        <f>SUM(U368:U375)</f>
        <v>0</v>
      </c>
      <c r="V376" s="619">
        <f t="shared" ref="V376:X376" si="133">SUM(V368:V375)</f>
        <v>0</v>
      </c>
      <c r="W376" s="131">
        <f t="shared" si="133"/>
        <v>45.219841282162605</v>
      </c>
      <c r="X376" s="131">
        <f t="shared" si="133"/>
        <v>136.33421882822</v>
      </c>
      <c r="Y376" s="539"/>
      <c r="Z376" s="554">
        <f>SUM(Z368:Z375)</f>
        <v>5300.8335955997754</v>
      </c>
      <c r="AA376" s="677">
        <f>Z376/G376*100</f>
        <v>3.9171165634061893</v>
      </c>
      <c r="AB376" s="552">
        <f>SUM(AB368:AB375)</f>
        <v>15.325440563916118</v>
      </c>
      <c r="AC376" s="562">
        <f>AA376/I376-1</f>
        <v>2.8995207488826669E-3</v>
      </c>
      <c r="AD376" s="542"/>
      <c r="AF376" s="543"/>
      <c r="AI376" s="543"/>
      <c r="AK376" s="543"/>
      <c r="AM376" s="560"/>
    </row>
    <row r="377" spans="1:39">
      <c r="A377" s="6"/>
      <c r="B377" s="58"/>
      <c r="C377" s="526"/>
      <c r="D377" s="58"/>
      <c r="E377" s="30"/>
      <c r="F377" s="58"/>
      <c r="G377" s="536"/>
      <c r="H377" s="624"/>
      <c r="I377" s="624"/>
      <c r="J377" s="624"/>
      <c r="K377" s="58"/>
      <c r="L377" s="538"/>
      <c r="M377" s="538"/>
      <c r="N377" s="538"/>
      <c r="O377" s="538"/>
      <c r="P377" s="538"/>
      <c r="Q377" s="534"/>
      <c r="R377" s="539"/>
      <c r="S377" s="539"/>
      <c r="T377" s="534"/>
      <c r="U377" s="534"/>
      <c r="V377" s="534"/>
      <c r="W377" s="534"/>
      <c r="X377" s="534"/>
      <c r="Y377" s="539"/>
      <c r="Z377" s="539"/>
      <c r="AA377" s="539"/>
      <c r="AB377" s="534"/>
      <c r="AC377" s="534"/>
      <c r="AD377" s="530"/>
    </row>
    <row r="378" spans="1:39">
      <c r="A378" s="6"/>
      <c r="B378" s="58"/>
      <c r="C378" s="501" t="s">
        <v>327</v>
      </c>
      <c r="D378" s="58"/>
      <c r="E378" s="30"/>
      <c r="F378" s="58"/>
      <c r="G378" s="536"/>
      <c r="H378" s="624"/>
      <c r="I378" s="624"/>
      <c r="J378" s="624"/>
      <c r="K378" s="58"/>
      <c r="L378" s="538"/>
      <c r="M378" s="538"/>
      <c r="N378" s="538"/>
      <c r="O378" s="538"/>
      <c r="P378" s="538"/>
      <c r="Q378" s="534"/>
      <c r="R378" s="539"/>
      <c r="S378" s="539"/>
      <c r="T378" s="534"/>
      <c r="U378" s="534"/>
      <c r="V378" s="534"/>
      <c r="W378" s="534"/>
      <c r="X378" s="534"/>
      <c r="Y378" s="539"/>
      <c r="AA378" s="539"/>
      <c r="AB378" s="534"/>
      <c r="AC378" s="534"/>
      <c r="AD378" s="530"/>
    </row>
    <row r="379" spans="1:39">
      <c r="A379" s="6">
        <f>MAX(A$350:A378)+1</f>
        <v>177</v>
      </c>
      <c r="B379" s="58"/>
      <c r="C379" s="526" t="s">
        <v>328</v>
      </c>
      <c r="D379" s="58"/>
      <c r="E379" s="522" t="s">
        <v>329</v>
      </c>
      <c r="F379" s="58"/>
      <c r="G379" s="29">
        <v>141504</v>
      </c>
      <c r="H379" s="624"/>
      <c r="I379" s="678">
        <v>18.835000000000001</v>
      </c>
      <c r="J379" s="624">
        <f>G379*I379/1000</f>
        <v>2665.2278400000005</v>
      </c>
      <c r="K379" s="58"/>
      <c r="L379" s="29">
        <v>0</v>
      </c>
      <c r="M379" s="29">
        <v>0</v>
      </c>
      <c r="N379" s="29">
        <v>0</v>
      </c>
      <c r="O379" s="29">
        <v>0</v>
      </c>
      <c r="P379" s="29">
        <v>0</v>
      </c>
      <c r="Q379" s="534">
        <f>J379-L379-M379-N379-O379-P379</f>
        <v>2665.2278400000005</v>
      </c>
      <c r="R379" s="539"/>
      <c r="S379" s="29">
        <v>30.492302114407948</v>
      </c>
      <c r="T379" s="29">
        <v>0</v>
      </c>
      <c r="U379" s="29">
        <v>0</v>
      </c>
      <c r="V379" s="29">
        <v>0</v>
      </c>
      <c r="W379" s="29">
        <v>0</v>
      </c>
      <c r="X379" s="29">
        <v>0</v>
      </c>
      <c r="Y379" s="643"/>
      <c r="Z379" s="539">
        <f>Q379+S379+T379+U379+V379+W379+X379</f>
        <v>2695.7201421144082</v>
      </c>
      <c r="AA379" s="679">
        <f>Z379/G379*1000</f>
        <v>19.050487209650669</v>
      </c>
      <c r="AB379" s="534">
        <f>Z379-J379</f>
        <v>30.492302114407721</v>
      </c>
      <c r="AC379" s="534"/>
      <c r="AD379" s="530"/>
      <c r="AF379" s="543"/>
      <c r="AI379" s="543"/>
      <c r="AK379" s="543"/>
      <c r="AM379" s="560"/>
    </row>
    <row r="380" spans="1:39">
      <c r="A380" s="6">
        <f>MAX(A$350:A379)+1</f>
        <v>178</v>
      </c>
      <c r="B380" s="58"/>
      <c r="C380" s="526" t="s">
        <v>330</v>
      </c>
      <c r="D380" s="58"/>
      <c r="E380" s="522" t="s">
        <v>331</v>
      </c>
      <c r="F380" s="58"/>
      <c r="G380" s="29">
        <v>522359</v>
      </c>
      <c r="H380" s="624"/>
      <c r="I380" s="678">
        <v>0.24</v>
      </c>
      <c r="J380" s="624">
        <f>G380*I380/1000</f>
        <v>125.36615999999999</v>
      </c>
      <c r="K380" s="58"/>
      <c r="L380" s="29">
        <v>0</v>
      </c>
      <c r="M380" s="29">
        <v>0</v>
      </c>
      <c r="N380" s="29">
        <v>0</v>
      </c>
      <c r="O380" s="29">
        <v>3.8777291313530764</v>
      </c>
      <c r="P380" s="29">
        <v>30.597964868646926</v>
      </c>
      <c r="Q380" s="534">
        <f>J380-L380-M380-N380-O380-P380</f>
        <v>90.890465999999989</v>
      </c>
      <c r="R380" s="539"/>
      <c r="S380" s="29">
        <v>2.0411261372642002</v>
      </c>
      <c r="T380" s="29">
        <v>0</v>
      </c>
      <c r="U380" s="29">
        <v>0</v>
      </c>
      <c r="V380" s="29">
        <v>0</v>
      </c>
      <c r="W380" s="29">
        <v>4.763417611853547</v>
      </c>
      <c r="X380" s="29">
        <v>30.632451319346718</v>
      </c>
      <c r="Y380" s="539"/>
      <c r="Z380" s="539">
        <f>Q380+S380+T380+U380+V380+W380+X380</f>
        <v>128.32746106846446</v>
      </c>
      <c r="AA380" s="679">
        <f>Z380/G380*1000</f>
        <v>0.24566909169453277</v>
      </c>
      <c r="AB380" s="534">
        <f>Z380-J380</f>
        <v>2.9613010684644649</v>
      </c>
      <c r="AC380" s="534"/>
      <c r="AD380" s="530"/>
      <c r="AF380" s="543"/>
      <c r="AI380" s="543"/>
      <c r="AK380" s="543"/>
      <c r="AM380" s="560"/>
    </row>
    <row r="381" spans="1:39">
      <c r="A381" s="6">
        <f>MAX(A$350:A380)+1</f>
        <v>179</v>
      </c>
      <c r="B381" s="58"/>
      <c r="C381" s="501" t="s">
        <v>327</v>
      </c>
      <c r="D381" s="58"/>
      <c r="E381" s="30"/>
      <c r="F381" s="58"/>
      <c r="G381" s="131">
        <f>SUM(G379:G380)</f>
        <v>663863</v>
      </c>
      <c r="H381" s="58"/>
      <c r="I381" s="556">
        <f>J381/G381*1000</f>
        <v>4.2035691098916503</v>
      </c>
      <c r="J381" s="554">
        <f>SUM(J379:J380)</f>
        <v>2790.5940000000005</v>
      </c>
      <c r="K381" s="58"/>
      <c r="L381" s="555">
        <f>SUM(L379:L380)</f>
        <v>0</v>
      </c>
      <c r="M381" s="555">
        <f t="shared" ref="M381:Q381" si="134">SUM(M379:M380)</f>
        <v>0</v>
      </c>
      <c r="N381" s="555">
        <f t="shared" si="134"/>
        <v>0</v>
      </c>
      <c r="O381" s="411">
        <f>SUM(O379:O380)</f>
        <v>3.8777291313530764</v>
      </c>
      <c r="P381" s="555">
        <f t="shared" si="134"/>
        <v>30.597964868646926</v>
      </c>
      <c r="Q381" s="552">
        <f t="shared" si="134"/>
        <v>2756.1183060000003</v>
      </c>
      <c r="R381" s="539"/>
      <c r="S381" s="131">
        <f>SUM(S379:S380)</f>
        <v>32.533428251672149</v>
      </c>
      <c r="T381" s="619">
        <f t="shared" ref="T381:X381" si="135">SUM(T379:T380)</f>
        <v>0</v>
      </c>
      <c r="U381" s="619">
        <f t="shared" si="135"/>
        <v>0</v>
      </c>
      <c r="V381" s="619">
        <f t="shared" si="135"/>
        <v>0</v>
      </c>
      <c r="W381" s="131">
        <f t="shared" si="135"/>
        <v>4.763417611853547</v>
      </c>
      <c r="X381" s="131">
        <f t="shared" si="135"/>
        <v>30.632451319346718</v>
      </c>
      <c r="Y381" s="539"/>
      <c r="Z381" s="554">
        <f>SUM(Z379:Z380)</f>
        <v>2824.0476031828725</v>
      </c>
      <c r="AA381" s="677">
        <f>Z381/G381*1000</f>
        <v>4.2539614396085828</v>
      </c>
      <c r="AB381" s="552">
        <f>SUM(AB379:AB380)</f>
        <v>33.453603182872186</v>
      </c>
      <c r="AC381" s="562">
        <f>AA381/I381-1</f>
        <v>1.1987986494227387E-2</v>
      </c>
      <c r="AD381" s="542"/>
      <c r="AF381" s="543"/>
      <c r="AI381" s="543"/>
      <c r="AK381" s="543"/>
      <c r="AM381" s="560"/>
    </row>
    <row r="382" spans="1:39">
      <c r="A382" s="6"/>
      <c r="B382" s="58"/>
      <c r="C382" s="10"/>
      <c r="D382" s="58"/>
      <c r="E382" s="30"/>
      <c r="F382" s="58"/>
      <c r="G382" s="29"/>
      <c r="H382" s="58"/>
      <c r="I382" s="548"/>
      <c r="J382" s="539"/>
      <c r="K382" s="58"/>
      <c r="L382" s="538"/>
      <c r="M382" s="538"/>
      <c r="N382" s="538"/>
      <c r="O382" s="538"/>
      <c r="P382" s="538"/>
      <c r="Q382" s="534"/>
      <c r="R382" s="539"/>
      <c r="S382" s="539"/>
      <c r="T382" s="534"/>
      <c r="U382" s="534"/>
      <c r="V382" s="534"/>
      <c r="W382" s="534"/>
      <c r="X382" s="534"/>
      <c r="Y382" s="539"/>
      <c r="Z382" s="539"/>
      <c r="AA382" s="539"/>
      <c r="AB382" s="534"/>
      <c r="AC382" s="534"/>
      <c r="AD382" s="530"/>
      <c r="AF382" s="543"/>
      <c r="AI382" s="543"/>
      <c r="AK382" s="543"/>
      <c r="AM382" s="560"/>
    </row>
    <row r="383" spans="1:39">
      <c r="A383" s="6"/>
      <c r="B383" s="58"/>
      <c r="C383" s="10" t="s">
        <v>270</v>
      </c>
      <c r="D383" s="58"/>
      <c r="E383" s="30"/>
      <c r="F383" s="58"/>
      <c r="G383" s="132"/>
      <c r="H383" s="58"/>
      <c r="I383" s="548"/>
      <c r="J383" s="539"/>
      <c r="K383" s="58"/>
      <c r="L383" s="538"/>
      <c r="M383" s="538"/>
      <c r="N383" s="538"/>
      <c r="O383" s="538"/>
      <c r="P383" s="538"/>
      <c r="Q383" s="534"/>
      <c r="R383" s="539"/>
      <c r="S383" s="539"/>
      <c r="T383" s="534"/>
      <c r="U383" s="534"/>
      <c r="V383" s="534"/>
      <c r="W383" s="534"/>
      <c r="X383" s="534"/>
      <c r="Y383" s="539"/>
      <c r="Z383" s="539"/>
      <c r="AA383" s="539"/>
      <c r="AB383" s="534"/>
      <c r="AC383" s="534"/>
      <c r="AD383" s="530"/>
      <c r="AF383" s="543"/>
      <c r="AI383" s="543"/>
      <c r="AK383" s="543"/>
      <c r="AM383" s="560"/>
    </row>
    <row r="384" spans="1:39">
      <c r="A384" s="6">
        <f>MAX(A$350:A383)+1</f>
        <v>180</v>
      </c>
      <c r="C384" s="12" t="s">
        <v>306</v>
      </c>
      <c r="E384" s="522" t="s">
        <v>262</v>
      </c>
      <c r="G384" s="29">
        <v>5777.0110000000004</v>
      </c>
      <c r="I384" s="547">
        <v>17.706099999999999</v>
      </c>
      <c r="J384" s="567">
        <f>G384*I384/100</f>
        <v>1022.883344671</v>
      </c>
      <c r="L384" s="29">
        <v>0</v>
      </c>
      <c r="M384" s="29">
        <v>0</v>
      </c>
      <c r="N384" s="29">
        <v>0</v>
      </c>
      <c r="O384" s="29">
        <v>0</v>
      </c>
      <c r="P384" s="29">
        <v>0</v>
      </c>
      <c r="Q384" s="567">
        <f>J384-L384-M384-N384-O384-P384</f>
        <v>1022.883344671</v>
      </c>
      <c r="R384" s="64"/>
      <c r="S384" s="29">
        <v>0.32913493271187733</v>
      </c>
      <c r="T384" s="29">
        <v>0</v>
      </c>
      <c r="U384" s="29">
        <v>0</v>
      </c>
      <c r="V384" s="29">
        <v>0</v>
      </c>
      <c r="W384" s="29">
        <v>0</v>
      </c>
      <c r="X384" s="29">
        <v>0</v>
      </c>
      <c r="Y384" s="567"/>
      <c r="Z384" s="567">
        <f>Q384+S384+T384+U384+V384+W384+X384</f>
        <v>1023.2124796037119</v>
      </c>
      <c r="AA384" s="670">
        <f>Z384/G384*100</f>
        <v>17.711797322243488</v>
      </c>
      <c r="AB384" s="534">
        <f>Z384-J384</f>
        <v>0.32913493271189509</v>
      </c>
      <c r="AC384" s="534"/>
      <c r="AD384" s="667"/>
      <c r="AF384" s="543"/>
      <c r="AI384" s="543"/>
      <c r="AK384" s="543"/>
      <c r="AM384" s="560"/>
    </row>
    <row r="385" spans="1:39">
      <c r="A385" s="6">
        <f>MAX(A$350:A384)+1</f>
        <v>181</v>
      </c>
      <c r="B385" s="58"/>
      <c r="C385" s="12" t="s">
        <v>307</v>
      </c>
      <c r="D385" s="58"/>
      <c r="E385" s="522" t="s">
        <v>262</v>
      </c>
      <c r="F385" s="58"/>
      <c r="G385" s="29">
        <v>9854.0479600000017</v>
      </c>
      <c r="H385" s="58"/>
      <c r="I385" s="547">
        <v>20.172700000000003</v>
      </c>
      <c r="J385" s="567">
        <f>G385*I385/100</f>
        <v>1987.8275328269206</v>
      </c>
      <c r="K385" s="58"/>
      <c r="L385" s="29">
        <v>0</v>
      </c>
      <c r="M385" s="29">
        <v>0</v>
      </c>
      <c r="N385" s="29">
        <v>0</v>
      </c>
      <c r="O385" s="29">
        <v>0</v>
      </c>
      <c r="P385" s="29">
        <v>0</v>
      </c>
      <c r="Q385" s="567">
        <f>J385-L385-M385-N385-O385-P385</f>
        <v>1987.8275328269206</v>
      </c>
      <c r="R385" s="564"/>
      <c r="S385" s="29">
        <v>0.56141686630927623</v>
      </c>
      <c r="T385" s="29">
        <v>0</v>
      </c>
      <c r="U385" s="29">
        <v>0</v>
      </c>
      <c r="V385" s="29">
        <v>0</v>
      </c>
      <c r="W385" s="29">
        <v>0</v>
      </c>
      <c r="X385" s="29">
        <v>0</v>
      </c>
      <c r="Y385" s="539"/>
      <c r="Z385" s="567">
        <f>Q385+S385+T385+U385+V385+W385+X385</f>
        <v>1988.3889496932297</v>
      </c>
      <c r="AA385" s="670">
        <f>Z385/G385*100</f>
        <v>20.178397322243491</v>
      </c>
      <c r="AB385" s="534">
        <f>Z385-J385</f>
        <v>0.5614168663091732</v>
      </c>
      <c r="AC385" s="534"/>
      <c r="AD385" s="667"/>
      <c r="AF385" s="543"/>
      <c r="AI385" s="543"/>
      <c r="AK385" s="543"/>
      <c r="AM385" s="560"/>
    </row>
    <row r="386" spans="1:39">
      <c r="A386" s="6">
        <f>MAX(A$350:A385)+1</f>
        <v>182</v>
      </c>
      <c r="B386" s="58"/>
      <c r="C386" s="10" t="s">
        <v>270</v>
      </c>
      <c r="D386" s="58"/>
      <c r="E386" s="522"/>
      <c r="F386" s="58"/>
      <c r="G386" s="411">
        <f>SUM(G384:G385)</f>
        <v>15631.058960000002</v>
      </c>
      <c r="H386" s="58"/>
      <c r="I386" s="556">
        <f>J386/G386*100</f>
        <v>19.261080680473107</v>
      </c>
      <c r="J386" s="554">
        <f>SUM(J384:J385)</f>
        <v>3010.7108774979206</v>
      </c>
      <c r="K386" s="58"/>
      <c r="L386" s="555">
        <f>SUM(L384:L385)</f>
        <v>0</v>
      </c>
      <c r="M386" s="555">
        <f t="shared" ref="M386:Q386" si="136">SUM(M384:M385)</f>
        <v>0</v>
      </c>
      <c r="N386" s="555">
        <f t="shared" si="136"/>
        <v>0</v>
      </c>
      <c r="O386" s="555">
        <f t="shared" si="136"/>
        <v>0</v>
      </c>
      <c r="P386" s="555">
        <f t="shared" si="136"/>
        <v>0</v>
      </c>
      <c r="Q386" s="554">
        <f t="shared" si="136"/>
        <v>3010.7108774979206</v>
      </c>
      <c r="R386" s="564"/>
      <c r="S386" s="131">
        <f>SUM(S384:S385)</f>
        <v>0.89055179902115356</v>
      </c>
      <c r="T386" s="619">
        <f t="shared" ref="T386:X386" si="137">SUM(T384:T385)</f>
        <v>0</v>
      </c>
      <c r="U386" s="619">
        <f t="shared" si="137"/>
        <v>0</v>
      </c>
      <c r="V386" s="619">
        <f t="shared" si="137"/>
        <v>0</v>
      </c>
      <c r="W386" s="619">
        <f t="shared" si="137"/>
        <v>0</v>
      </c>
      <c r="X386" s="619">
        <f t="shared" si="137"/>
        <v>0</v>
      </c>
      <c r="Y386" s="539"/>
      <c r="Z386" s="554">
        <f>SUM(Z384:Z385)</f>
        <v>3011.6014292969417</v>
      </c>
      <c r="AA386" s="677">
        <f>Z386/G386*100</f>
        <v>19.266778002716595</v>
      </c>
      <c r="AB386" s="552">
        <f>SUM(AB384:AB385)</f>
        <v>0.89055179902106829</v>
      </c>
      <c r="AC386" s="562">
        <f>AA386/I386-1</f>
        <v>2.9579452669370454E-4</v>
      </c>
      <c r="AD386" s="542"/>
      <c r="AF386" s="543"/>
      <c r="AI386" s="543"/>
      <c r="AK386" s="543"/>
      <c r="AM386" s="560"/>
    </row>
    <row r="387" spans="1:39">
      <c r="A387" s="6"/>
      <c r="B387" s="58"/>
      <c r="C387" s="10"/>
      <c r="D387" s="58"/>
      <c r="E387" s="30"/>
      <c r="F387" s="58"/>
      <c r="G387" s="29"/>
      <c r="H387" s="58"/>
      <c r="I387" s="548"/>
      <c r="J387" s="539"/>
      <c r="K387" s="58"/>
      <c r="L387" s="538"/>
      <c r="M387" s="538"/>
      <c r="N387" s="538"/>
      <c r="O387" s="538"/>
      <c r="P387" s="538"/>
      <c r="Q387" s="534"/>
      <c r="R387" s="539"/>
      <c r="S387" s="539"/>
      <c r="T387" s="534"/>
      <c r="U387" s="534"/>
      <c r="V387" s="534"/>
      <c r="W387" s="534"/>
      <c r="X387" s="534"/>
      <c r="Y387" s="539"/>
      <c r="Z387" s="539"/>
      <c r="AA387" s="539"/>
      <c r="AB387" s="534"/>
      <c r="AC387" s="534"/>
      <c r="AD387" s="530"/>
      <c r="AF387" s="543"/>
      <c r="AI387" s="543"/>
      <c r="AK387" s="543"/>
      <c r="AM387" s="560"/>
    </row>
    <row r="388" spans="1:39" ht="12.95" thickBot="1">
      <c r="A388" s="6">
        <f>MAX(A$350:A387)+1</f>
        <v>183</v>
      </c>
      <c r="B388" s="58"/>
      <c r="C388" s="10" t="s">
        <v>332</v>
      </c>
      <c r="D388" s="58"/>
      <c r="E388" s="30"/>
      <c r="F388" s="58"/>
      <c r="G388" s="439">
        <f>G360</f>
        <v>929101.10525000002</v>
      </c>
      <c r="H388" s="58"/>
      <c r="I388" s="572">
        <f>J388/G388*100</f>
        <v>4.3605673294626763</v>
      </c>
      <c r="J388" s="627">
        <f>J365+J376+J381+J386</f>
        <v>40514.07925320814</v>
      </c>
      <c r="K388" s="539"/>
      <c r="L388" s="439">
        <f t="shared" ref="L388:X388" si="138">L365+L376+L381+L386</f>
        <v>1925.7154706035999</v>
      </c>
      <c r="M388" s="439">
        <f t="shared" si="138"/>
        <v>196.90344974972743</v>
      </c>
      <c r="N388" s="439">
        <f t="shared" si="138"/>
        <v>67.252376714950017</v>
      </c>
      <c r="O388" s="439">
        <f t="shared" si="138"/>
        <v>40.689596186354336</v>
      </c>
      <c r="P388" s="439">
        <f t="shared" si="138"/>
        <v>166.77869668835763</v>
      </c>
      <c r="Q388" s="627">
        <f t="shared" si="138"/>
        <v>38116.739663265158</v>
      </c>
      <c r="R388" s="539"/>
      <c r="S388" s="439">
        <f t="shared" si="138"/>
        <v>784.45758025658404</v>
      </c>
      <c r="T388" s="439">
        <f t="shared" si="138"/>
        <v>1314.4475566860162</v>
      </c>
      <c r="U388" s="439">
        <f t="shared" si="138"/>
        <v>191.4450208799899</v>
      </c>
      <c r="V388" s="439">
        <f t="shared" si="138"/>
        <v>63.040600164493227</v>
      </c>
      <c r="W388" s="439">
        <f t="shared" si="138"/>
        <v>49.983258894016153</v>
      </c>
      <c r="X388" s="439">
        <f t="shared" si="138"/>
        <v>166.96667014756673</v>
      </c>
      <c r="Y388" s="539"/>
      <c r="Z388" s="627">
        <f>Z365+Z376+Z381+Z386</f>
        <v>40687.080350293814</v>
      </c>
      <c r="AA388" s="651">
        <f>Z388/G388*100</f>
        <v>4.3791875954496735</v>
      </c>
      <c r="AB388" s="571">
        <f>AB365+AB376+AB381+AB386</f>
        <v>173.00109708567561</v>
      </c>
      <c r="AC388" s="573">
        <f>AA388/I388-1</f>
        <v>4.2701475702913161E-3</v>
      </c>
      <c r="AD388" s="542"/>
      <c r="AF388" s="543"/>
      <c r="AI388" s="543"/>
      <c r="AK388" s="543"/>
      <c r="AM388" s="560"/>
    </row>
    <row r="389" spans="1:39" ht="12.95" thickTop="1">
      <c r="A389" s="6"/>
      <c r="E389" s="30"/>
      <c r="G389" s="29"/>
      <c r="J389" s="567"/>
      <c r="L389" s="501"/>
      <c r="M389" s="501"/>
      <c r="N389" s="501"/>
      <c r="O389" s="501"/>
      <c r="P389" s="501"/>
      <c r="Q389" s="501"/>
      <c r="T389" s="501"/>
      <c r="U389" s="501"/>
      <c r="V389" s="501"/>
      <c r="W389" s="501"/>
      <c r="X389" s="501"/>
      <c r="Z389" s="567"/>
      <c r="AB389" s="534"/>
      <c r="AC389" s="501"/>
    </row>
    <row r="390" spans="1:39">
      <c r="A390" s="6"/>
      <c r="B390" s="58"/>
      <c r="C390" s="9" t="s">
        <v>143</v>
      </c>
      <c r="D390" s="58"/>
      <c r="E390" s="574"/>
      <c r="F390" s="58"/>
      <c r="G390" s="29"/>
      <c r="H390" s="58"/>
      <c r="I390" s="58"/>
      <c r="J390" s="58"/>
      <c r="K390" s="58"/>
      <c r="L390" s="501"/>
      <c r="M390" s="501"/>
      <c r="N390" s="501"/>
      <c r="O390" s="501"/>
      <c r="P390" s="501"/>
      <c r="Q390" s="501"/>
      <c r="R390" s="58"/>
      <c r="S390" s="58"/>
      <c r="T390" s="501"/>
      <c r="U390" s="501"/>
      <c r="V390" s="501"/>
      <c r="W390" s="501"/>
      <c r="X390" s="501"/>
      <c r="Y390" s="58"/>
      <c r="Z390" s="58"/>
      <c r="AA390" s="58"/>
      <c r="AB390" s="501"/>
      <c r="AC390" s="501"/>
    </row>
    <row r="391" spans="1:39">
      <c r="A391" s="6">
        <f>MAX(A$350:A390)+1</f>
        <v>184</v>
      </c>
      <c r="B391" s="58"/>
      <c r="C391" s="12" t="s">
        <v>258</v>
      </c>
      <c r="D391" s="58"/>
      <c r="E391" s="574" t="s">
        <v>259</v>
      </c>
      <c r="F391" s="58"/>
      <c r="G391" s="29">
        <v>863.99999999999602</v>
      </c>
      <c r="H391" s="58"/>
      <c r="I391" s="537">
        <v>368.56</v>
      </c>
      <c r="J391" s="539">
        <f>G391*I391/1000</f>
        <v>318.43583999999851</v>
      </c>
      <c r="K391" s="58"/>
      <c r="L391" s="29">
        <v>0</v>
      </c>
      <c r="M391" s="29">
        <v>0</v>
      </c>
      <c r="N391" s="29">
        <v>0</v>
      </c>
      <c r="O391" s="29">
        <v>0</v>
      </c>
      <c r="P391" s="29">
        <v>0</v>
      </c>
      <c r="Q391" s="538">
        <f>J391-L391-M391-N391-O391-P391</f>
        <v>318.43583999999851</v>
      </c>
      <c r="R391" s="564"/>
      <c r="S391" s="29">
        <v>8.7013505724531797</v>
      </c>
      <c r="T391" s="29">
        <v>0</v>
      </c>
      <c r="U391" s="29">
        <v>0</v>
      </c>
      <c r="V391" s="29">
        <v>0</v>
      </c>
      <c r="W391" s="29">
        <v>0</v>
      </c>
      <c r="X391" s="29">
        <v>0</v>
      </c>
      <c r="Y391" s="539"/>
      <c r="Z391" s="539">
        <f>Q391+S391+T391+U391+V391+W391+X391</f>
        <v>327.13719057245169</v>
      </c>
      <c r="AA391" s="540">
        <f>Z391/G391*1000</f>
        <v>378.63100760700604</v>
      </c>
      <c r="AB391" s="534">
        <f>Z391-J391</f>
        <v>8.7013505724531797</v>
      </c>
      <c r="AC391" s="541">
        <f>AA391/I391-1</f>
        <v>2.7325286539521487E-2</v>
      </c>
      <c r="AD391" s="542"/>
      <c r="AF391" s="543"/>
      <c r="AI391" s="543"/>
      <c r="AK391" s="543"/>
      <c r="AM391" s="560"/>
    </row>
    <row r="392" spans="1:39">
      <c r="A392" s="6">
        <f>MAX(A$350:A391)+1</f>
        <v>185</v>
      </c>
      <c r="B392" s="58"/>
      <c r="C392" s="12" t="s">
        <v>333</v>
      </c>
      <c r="D392" s="58"/>
      <c r="E392" s="522" t="s">
        <v>262</v>
      </c>
      <c r="F392" s="58"/>
      <c r="G392" s="29">
        <v>126830.75640999997</v>
      </c>
      <c r="H392" s="58"/>
      <c r="I392" s="547">
        <v>3.2303027215464297</v>
      </c>
      <c r="J392" s="539">
        <f>G392*I392/100</f>
        <v>4097.0173760701518</v>
      </c>
      <c r="K392" s="58"/>
      <c r="L392" s="29">
        <v>36.654088602489992</v>
      </c>
      <c r="M392" s="538"/>
      <c r="N392" s="29">
        <v>13.444060179459997</v>
      </c>
      <c r="O392" s="538"/>
      <c r="P392" s="538"/>
      <c r="Q392" s="538">
        <f>J392-L392-M392-N392-O392-P392</f>
        <v>4046.9192272882019</v>
      </c>
      <c r="R392" s="564"/>
      <c r="S392" s="29">
        <v>110.58322748794944</v>
      </c>
      <c r="T392" s="29">
        <v>72.0634063970911</v>
      </c>
      <c r="U392" s="29">
        <v>0</v>
      </c>
      <c r="V392" s="29">
        <v>12.602106628185849</v>
      </c>
      <c r="W392" s="29">
        <v>0</v>
      </c>
      <c r="X392" s="29">
        <v>0</v>
      </c>
      <c r="Y392" s="539"/>
      <c r="Z392" s="539">
        <f>Q392+S392+T392+U392+V392+W392+X392</f>
        <v>4242.1679678014279</v>
      </c>
      <c r="AA392" s="680">
        <f>Z392/G392*100</f>
        <v>3.3447470376096833</v>
      </c>
      <c r="AB392" s="534">
        <f>Z392-J392</f>
        <v>145.15059173127611</v>
      </c>
      <c r="AC392" s="541">
        <f>AA392/I392-1</f>
        <v>3.5428356388984561E-2</v>
      </c>
      <c r="AD392" s="542"/>
      <c r="AF392" s="543"/>
      <c r="AI392" s="543"/>
      <c r="AK392" s="543"/>
      <c r="AM392" s="560"/>
    </row>
    <row r="393" spans="1:39">
      <c r="A393" s="6">
        <f>MAX(A$350:A392)+1</f>
        <v>186</v>
      </c>
      <c r="B393" s="58"/>
      <c r="C393" s="12" t="s">
        <v>334</v>
      </c>
      <c r="D393" s="58"/>
      <c r="E393" s="522" t="s">
        <v>262</v>
      </c>
      <c r="F393" s="58"/>
      <c r="G393" s="29">
        <v>12203.927079999999</v>
      </c>
      <c r="H393" s="58"/>
      <c r="I393" s="547">
        <v>3.4721432355431703</v>
      </c>
      <c r="J393" s="539">
        <f t="shared" ref="J393" si="139">G393*I393/100</f>
        <v>423.73782857884112</v>
      </c>
      <c r="K393" s="58"/>
      <c r="L393" s="29">
        <v>3.5269349261199996</v>
      </c>
      <c r="M393" s="538"/>
      <c r="N393" s="29">
        <v>1.2936162704800001</v>
      </c>
      <c r="O393" s="538"/>
      <c r="P393" s="538"/>
      <c r="Q393" s="538">
        <f>J393-L393-M393-N393-O393-P393</f>
        <v>418.91727738224108</v>
      </c>
      <c r="R393" s="564"/>
      <c r="S393" s="29">
        <v>11.447034640825962</v>
      </c>
      <c r="T393" s="29">
        <v>6.9340953385433295</v>
      </c>
      <c r="U393" s="29">
        <v>0</v>
      </c>
      <c r="V393" s="29">
        <v>1.2126016961343202</v>
      </c>
      <c r="W393" s="29">
        <v>0</v>
      </c>
      <c r="X393" s="29">
        <v>0</v>
      </c>
      <c r="Y393" s="539"/>
      <c r="Z393" s="539">
        <f>Q393+S393+T393+U393+V393+W393+X393</f>
        <v>438.51100905774467</v>
      </c>
      <c r="AA393" s="680">
        <f>Z393/G393*100</f>
        <v>3.59319591294825</v>
      </c>
      <c r="AB393" s="534">
        <f>Z393-J393</f>
        <v>14.773180478903555</v>
      </c>
      <c r="AC393" s="541">
        <f>AA393/I393-1</f>
        <v>3.4863964183822871E-2</v>
      </c>
      <c r="AD393" s="542"/>
      <c r="AF393" s="543"/>
      <c r="AI393" s="543"/>
      <c r="AK393" s="543"/>
      <c r="AM393" s="560"/>
    </row>
    <row r="394" spans="1:39">
      <c r="A394" s="6">
        <f>MAX(A$350:A393)+1</f>
        <v>187</v>
      </c>
      <c r="B394" s="58"/>
      <c r="C394" s="12" t="s">
        <v>322</v>
      </c>
      <c r="D394" s="58"/>
      <c r="E394" s="574" t="s">
        <v>259</v>
      </c>
      <c r="F394" s="58"/>
      <c r="G394" s="29">
        <v>167.99999999999986</v>
      </c>
      <c r="H394" s="58"/>
      <c r="I394" s="537">
        <v>248.07</v>
      </c>
      <c r="J394" s="539">
        <f>G394*I394/1000</f>
        <v>41.675759999999968</v>
      </c>
      <c r="K394" s="58"/>
      <c r="L394" s="29">
        <v>0</v>
      </c>
      <c r="M394" s="29">
        <v>0</v>
      </c>
      <c r="N394" s="29">
        <v>0</v>
      </c>
      <c r="O394" s="29">
        <v>0</v>
      </c>
      <c r="P394" s="29">
        <v>0</v>
      </c>
      <c r="Q394" s="538">
        <f>J394-L394-M394-N394-O394-P394</f>
        <v>41.675759999999968</v>
      </c>
      <c r="R394" s="564"/>
      <c r="S394" s="29">
        <v>1.1388020837523243</v>
      </c>
      <c r="T394" s="29">
        <v>0</v>
      </c>
      <c r="U394" s="29">
        <v>0</v>
      </c>
      <c r="V394" s="538"/>
      <c r="W394" s="29">
        <v>0</v>
      </c>
      <c r="X394" s="29">
        <v>0</v>
      </c>
      <c r="Y394" s="539"/>
      <c r="Z394" s="539">
        <f>Q394+S394+T394+U394+V394+W394+X394</f>
        <v>42.814562083752293</v>
      </c>
      <c r="AA394" s="540">
        <f>Z394/G394*1000</f>
        <v>254.84858383185909</v>
      </c>
      <c r="AB394" s="534">
        <f>Z394-J394</f>
        <v>1.1388020837523243</v>
      </c>
      <c r="AC394" s="541"/>
      <c r="AD394" s="542"/>
      <c r="AF394" s="543"/>
      <c r="AI394" s="543"/>
      <c r="AK394" s="543"/>
      <c r="AM394" s="560"/>
    </row>
    <row r="395" spans="1:39">
      <c r="A395" s="6">
        <f>MAX(A$350:A394)+1</f>
        <v>188</v>
      </c>
      <c r="B395" s="58"/>
      <c r="C395" s="10" t="s">
        <v>266</v>
      </c>
      <c r="D395" s="58"/>
      <c r="E395" s="30"/>
      <c r="F395" s="58"/>
      <c r="G395" s="131">
        <f>SUM(G391:G394)</f>
        <v>140066.68348999997</v>
      </c>
      <c r="H395" s="58"/>
      <c r="I395" s="556">
        <f>J395/G395*100</f>
        <v>3.4846736447482605</v>
      </c>
      <c r="J395" s="554">
        <f>SUM(J391:J394)</f>
        <v>4880.8668046489911</v>
      </c>
      <c r="K395" s="58"/>
      <c r="L395" s="555">
        <f>SUM(L391:L394)</f>
        <v>40.181023528609991</v>
      </c>
      <c r="M395" s="555">
        <f t="shared" ref="M395:Q395" si="140">SUM(M391:M394)</f>
        <v>0</v>
      </c>
      <c r="N395" s="555">
        <f t="shared" si="140"/>
        <v>14.737676449939997</v>
      </c>
      <c r="O395" s="555">
        <f t="shared" si="140"/>
        <v>0</v>
      </c>
      <c r="P395" s="555">
        <f t="shared" si="140"/>
        <v>0</v>
      </c>
      <c r="Q395" s="555">
        <f t="shared" si="140"/>
        <v>4825.9481046704414</v>
      </c>
      <c r="R395" s="564"/>
      <c r="S395" s="619">
        <f>SUM(S391:S394)</f>
        <v>131.87041478498091</v>
      </c>
      <c r="T395" s="619">
        <f t="shared" ref="T395:X395" si="141">SUM(T391:T394)</f>
        <v>78.99750173563443</v>
      </c>
      <c r="U395" s="619">
        <f t="shared" si="141"/>
        <v>0</v>
      </c>
      <c r="V395" s="619">
        <f t="shared" si="141"/>
        <v>13.814708324320168</v>
      </c>
      <c r="W395" s="619">
        <f t="shared" si="141"/>
        <v>0</v>
      </c>
      <c r="X395" s="619">
        <f t="shared" si="141"/>
        <v>0</v>
      </c>
      <c r="Y395" s="539"/>
      <c r="Z395" s="554">
        <f>SUM(Z391:Z394)</f>
        <v>5050.6307295153765</v>
      </c>
      <c r="AA395" s="677">
        <f>Z395/G395*100</f>
        <v>3.6058758611757704</v>
      </c>
      <c r="AB395" s="552">
        <f>SUM(AB391:AB394)</f>
        <v>169.76392486638517</v>
      </c>
      <c r="AC395" s="562">
        <f>AA395/I395-1</f>
        <v>3.4781511493959583E-2</v>
      </c>
      <c r="AD395" s="542"/>
      <c r="AF395" s="543"/>
      <c r="AI395" s="543"/>
      <c r="AK395" s="543"/>
      <c r="AM395" s="560"/>
    </row>
    <row r="396" spans="1:39">
      <c r="A396" s="6"/>
      <c r="G396" s="129"/>
      <c r="I396" s="632"/>
      <c r="J396" s="567"/>
      <c r="L396" s="538"/>
      <c r="M396" s="538"/>
      <c r="N396" s="538"/>
      <c r="O396" s="538"/>
      <c r="P396" s="538"/>
      <c r="Q396" s="538"/>
      <c r="R396" s="64"/>
      <c r="S396" s="64"/>
      <c r="T396" s="538"/>
      <c r="U396" s="538"/>
      <c r="V396" s="538"/>
      <c r="W396" s="538"/>
      <c r="X396" s="538"/>
      <c r="Y396" s="567"/>
      <c r="Z396" s="567"/>
      <c r="AA396" s="567"/>
      <c r="AB396" s="534"/>
      <c r="AC396" s="534"/>
      <c r="AD396" s="530"/>
      <c r="AF396" s="543"/>
      <c r="AI396" s="543"/>
      <c r="AK396" s="543"/>
      <c r="AM396" s="560"/>
    </row>
    <row r="397" spans="1:39">
      <c r="A397" s="6">
        <f>MAX(A$350:A396)+1</f>
        <v>189</v>
      </c>
      <c r="B397" s="58"/>
      <c r="C397" s="10" t="s">
        <v>268</v>
      </c>
      <c r="D397" s="58"/>
      <c r="E397" s="522" t="s">
        <v>262</v>
      </c>
      <c r="F397" s="58"/>
      <c r="G397" s="29">
        <v>5702.7569299999996</v>
      </c>
      <c r="H397" s="58"/>
      <c r="I397" s="547">
        <v>1.1345000000000001</v>
      </c>
      <c r="J397" s="539">
        <f>G397*I397/100</f>
        <v>64.697777370850005</v>
      </c>
      <c r="K397" s="58"/>
      <c r="L397" s="29">
        <v>0</v>
      </c>
      <c r="M397" s="29">
        <v>0</v>
      </c>
      <c r="N397" s="29">
        <v>0</v>
      </c>
      <c r="O397" s="29">
        <v>0</v>
      </c>
      <c r="P397" s="29">
        <v>0</v>
      </c>
      <c r="Q397" s="538">
        <f>J397-L397-M397-N397-O397-P397</f>
        <v>64.697777370850005</v>
      </c>
      <c r="R397" s="564"/>
      <c r="S397" s="29">
        <v>-0.35931618182812564</v>
      </c>
      <c r="T397" s="29">
        <v>0</v>
      </c>
      <c r="U397" s="29">
        <v>0</v>
      </c>
      <c r="V397" s="29">
        <v>0</v>
      </c>
      <c r="W397" s="29">
        <v>0</v>
      </c>
      <c r="X397" s="29">
        <v>0</v>
      </c>
      <c r="Y397" s="539"/>
      <c r="Z397" s="539">
        <f>Q397+S397+T397+U397+V397+W397+X397</f>
        <v>64.338461189021885</v>
      </c>
      <c r="AA397" s="680">
        <f>Z397/G397*100</f>
        <v>1.1281992548299247</v>
      </c>
      <c r="AB397" s="549">
        <f>Z397-J397</f>
        <v>-0.35931618182812031</v>
      </c>
      <c r="AC397" s="559">
        <f>AA397/I397-1</f>
        <v>-5.5537639224992885E-3</v>
      </c>
      <c r="AD397" s="559"/>
      <c r="AF397" s="543"/>
      <c r="AI397" s="543"/>
      <c r="AK397" s="543"/>
      <c r="AM397" s="560"/>
    </row>
    <row r="398" spans="1:39">
      <c r="A398" s="6"/>
      <c r="B398" s="58"/>
      <c r="D398" s="58"/>
      <c r="E398" s="30"/>
      <c r="F398" s="58"/>
      <c r="G398" s="29"/>
      <c r="H398" s="58"/>
      <c r="I398" s="548"/>
      <c r="J398" s="539"/>
      <c r="K398" s="58"/>
      <c r="L398" s="538"/>
      <c r="M398" s="538"/>
      <c r="N398" s="538"/>
      <c r="O398" s="538"/>
      <c r="P398" s="538"/>
      <c r="Q398" s="538"/>
      <c r="R398" s="564"/>
      <c r="S398" s="564"/>
      <c r="T398" s="538"/>
      <c r="U398" s="538"/>
      <c r="V398" s="538"/>
      <c r="W398" s="538"/>
      <c r="X398" s="538"/>
      <c r="Y398" s="539"/>
      <c r="Z398" s="539"/>
      <c r="AA398" s="539"/>
      <c r="AB398" s="534"/>
      <c r="AC398" s="534"/>
      <c r="AD398" s="530"/>
      <c r="AF398" s="543"/>
      <c r="AI398" s="543"/>
      <c r="AK398" s="543"/>
      <c r="AM398" s="560"/>
    </row>
    <row r="399" spans="1:39">
      <c r="A399" s="6"/>
      <c r="B399" s="58"/>
      <c r="C399" s="10" t="s">
        <v>270</v>
      </c>
      <c r="D399" s="58"/>
      <c r="E399" s="30"/>
      <c r="F399" s="58"/>
      <c r="G399" s="29"/>
      <c r="H399" s="58"/>
      <c r="I399" s="548"/>
      <c r="J399" s="539"/>
      <c r="K399" s="58"/>
      <c r="L399" s="538"/>
      <c r="M399" s="538"/>
      <c r="N399" s="538"/>
      <c r="O399" s="538"/>
      <c r="P399" s="538"/>
      <c r="Q399" s="538"/>
      <c r="R399" s="564"/>
      <c r="S399" s="564"/>
      <c r="T399" s="538"/>
      <c r="U399" s="538"/>
      <c r="V399" s="538"/>
      <c r="W399" s="538"/>
      <c r="X399" s="538"/>
      <c r="Y399" s="539"/>
      <c r="Z399" s="539"/>
      <c r="AA399" s="539"/>
      <c r="AB399" s="534"/>
      <c r="AC399" s="534"/>
      <c r="AD399" s="530"/>
      <c r="AF399" s="543"/>
      <c r="AI399" s="543"/>
      <c r="AK399" s="543"/>
      <c r="AM399" s="560"/>
    </row>
    <row r="400" spans="1:39">
      <c r="A400" s="6">
        <f>MAX(A$350:A399)+1</f>
        <v>190</v>
      </c>
      <c r="B400" s="58"/>
      <c r="C400" s="12" t="s">
        <v>306</v>
      </c>
      <c r="D400" s="58"/>
      <c r="E400" s="522" t="s">
        <v>262</v>
      </c>
      <c r="F400" s="58"/>
      <c r="G400" s="29">
        <v>5109.6999900000001</v>
      </c>
      <c r="H400" s="58"/>
      <c r="I400" s="547">
        <v>21.412978924585243</v>
      </c>
      <c r="J400" s="539">
        <f>G400*I400/100</f>
        <v>1094.1389819682342</v>
      </c>
      <c r="K400" s="58"/>
      <c r="L400" s="29">
        <v>0</v>
      </c>
      <c r="M400" s="29">
        <v>0</v>
      </c>
      <c r="N400" s="29">
        <v>0</v>
      </c>
      <c r="O400" s="29">
        <v>0</v>
      </c>
      <c r="P400" s="29">
        <v>0</v>
      </c>
      <c r="Q400" s="538">
        <f>J400-L400-M400-N400-O400-P400</f>
        <v>1094.1389819682342</v>
      </c>
      <c r="R400" s="564"/>
      <c r="S400" s="29">
        <v>0.29111607410588825</v>
      </c>
      <c r="T400" s="29">
        <v>0</v>
      </c>
      <c r="U400" s="29">
        <v>0</v>
      </c>
      <c r="V400" s="29">
        <v>0</v>
      </c>
      <c r="W400" s="29">
        <v>0</v>
      </c>
      <c r="X400" s="29">
        <v>0</v>
      </c>
      <c r="Y400" s="539"/>
      <c r="Z400" s="539">
        <f>Q400+S400+T400+U400+V400+W400+X400</f>
        <v>1094.4300980423402</v>
      </c>
      <c r="AA400" s="680">
        <f>Z400/G400*100</f>
        <v>21.418676246828731</v>
      </c>
      <c r="AB400" s="534">
        <f>Z400-J400</f>
        <v>0.29111607410595752</v>
      </c>
      <c r="AC400" s="534"/>
      <c r="AD400" s="667"/>
      <c r="AF400" s="543"/>
      <c r="AI400" s="543"/>
      <c r="AK400" s="543"/>
      <c r="AM400" s="560"/>
    </row>
    <row r="401" spans="1:39">
      <c r="A401" s="6">
        <f>MAX(A$350:A400)+1</f>
        <v>191</v>
      </c>
      <c r="B401" s="58"/>
      <c r="C401" s="12" t="s">
        <v>307</v>
      </c>
      <c r="D401" s="58"/>
      <c r="E401" s="522" t="s">
        <v>262</v>
      </c>
      <c r="F401" s="58"/>
      <c r="G401" s="29">
        <v>593.05693999999994</v>
      </c>
      <c r="H401" s="58"/>
      <c r="I401" s="547">
        <v>24.261380223452743</v>
      </c>
      <c r="J401" s="539">
        <f>G401*I401/100</f>
        <v>143.88379915497399</v>
      </c>
      <c r="K401" s="58"/>
      <c r="L401" s="29">
        <v>0</v>
      </c>
      <c r="M401" s="29">
        <v>0</v>
      </c>
      <c r="N401" s="29">
        <v>0</v>
      </c>
      <c r="O401" s="29">
        <v>0</v>
      </c>
      <c r="P401" s="29">
        <v>0</v>
      </c>
      <c r="Q401" s="538">
        <f>J401-L401-M401-N401-O401-P401</f>
        <v>143.88379915497399</v>
      </c>
      <c r="R401" s="564"/>
      <c r="S401" s="29">
        <v>3.3788364959182582E-2</v>
      </c>
      <c r="T401" s="29">
        <v>0</v>
      </c>
      <c r="U401" s="29">
        <v>0</v>
      </c>
      <c r="V401" s="29">
        <v>0</v>
      </c>
      <c r="W401" s="29">
        <v>0</v>
      </c>
      <c r="X401" s="29">
        <v>0</v>
      </c>
      <c r="Y401" s="539"/>
      <c r="Z401" s="539">
        <f>Q401+S401+T401+U401+V401+W401+X401</f>
        <v>143.91758751993316</v>
      </c>
      <c r="AA401" s="680">
        <f>Z401/G401*100</f>
        <v>24.267077545696232</v>
      </c>
      <c r="AB401" s="534">
        <f>Z401-J401</f>
        <v>3.3788364959178807E-2</v>
      </c>
      <c r="AC401" s="534"/>
      <c r="AD401" s="667"/>
      <c r="AF401" s="543"/>
      <c r="AI401" s="543"/>
      <c r="AK401" s="543"/>
      <c r="AM401" s="560"/>
    </row>
    <row r="402" spans="1:39">
      <c r="A402" s="6">
        <f>MAX(A$350:A401)+1</f>
        <v>192</v>
      </c>
      <c r="B402" s="58"/>
      <c r="C402" s="10" t="s">
        <v>270</v>
      </c>
      <c r="D402" s="58"/>
      <c r="E402" s="30"/>
      <c r="F402" s="58"/>
      <c r="G402" s="131">
        <f>SUM(G400:G401)</f>
        <v>5702.7569299999996</v>
      </c>
      <c r="H402" s="58"/>
      <c r="I402" s="556">
        <f>J402/G402*100</f>
        <v>21.709197784854709</v>
      </c>
      <c r="J402" s="554">
        <f>SUM(J400:J401)</f>
        <v>1238.0227811232082</v>
      </c>
      <c r="K402" s="58"/>
      <c r="L402" s="555">
        <f>SUM(L400:L401)</f>
        <v>0</v>
      </c>
      <c r="M402" s="555">
        <f t="shared" ref="M402:P402" si="142">SUM(M400:M401)</f>
        <v>0</v>
      </c>
      <c r="N402" s="555">
        <f t="shared" si="142"/>
        <v>0</v>
      </c>
      <c r="O402" s="555">
        <f t="shared" si="142"/>
        <v>0</v>
      </c>
      <c r="P402" s="555">
        <f t="shared" si="142"/>
        <v>0</v>
      </c>
      <c r="Q402" s="555">
        <f>SUM(Q400:Q401)</f>
        <v>1238.0227811232082</v>
      </c>
      <c r="R402" s="564"/>
      <c r="S402" s="619">
        <f>SUM(S400:S401)</f>
        <v>0.32490443906507083</v>
      </c>
      <c r="T402" s="619">
        <f t="shared" ref="T402:X402" si="143">SUM(T400:T401)</f>
        <v>0</v>
      </c>
      <c r="U402" s="619">
        <f t="shared" si="143"/>
        <v>0</v>
      </c>
      <c r="V402" s="619">
        <f t="shared" si="143"/>
        <v>0</v>
      </c>
      <c r="W402" s="619">
        <f t="shared" si="143"/>
        <v>0</v>
      </c>
      <c r="X402" s="619">
        <f t="shared" si="143"/>
        <v>0</v>
      </c>
      <c r="Y402" s="539"/>
      <c r="Z402" s="554">
        <f>SUM(Z400:Z401)</f>
        <v>1238.3476855622735</v>
      </c>
      <c r="AA402" s="677">
        <f>Z402/G402*100</f>
        <v>21.714895107098201</v>
      </c>
      <c r="AB402" s="552">
        <f>SUM(AB400:AB401)</f>
        <v>0.32490443906513633</v>
      </c>
      <c r="AC402" s="562">
        <f>AA402/I402-1</f>
        <v>2.6243817482130005E-4</v>
      </c>
      <c r="AD402" s="542"/>
      <c r="AF402" s="543"/>
      <c r="AI402" s="543"/>
      <c r="AK402" s="543"/>
      <c r="AM402" s="560"/>
    </row>
    <row r="403" spans="1:39">
      <c r="A403" s="6"/>
      <c r="B403" s="58"/>
      <c r="D403" s="58"/>
      <c r="E403" s="574"/>
      <c r="F403" s="58"/>
      <c r="G403" s="132"/>
      <c r="H403" s="58"/>
      <c r="I403" s="548"/>
      <c r="J403" s="58"/>
      <c r="K403" s="58"/>
      <c r="L403" s="538"/>
      <c r="M403" s="538"/>
      <c r="N403" s="538"/>
      <c r="O403" s="538"/>
      <c r="P403" s="538"/>
      <c r="Q403" s="538"/>
      <c r="R403" s="564"/>
      <c r="S403" s="564"/>
      <c r="T403" s="538"/>
      <c r="U403" s="538"/>
      <c r="V403" s="538"/>
      <c r="W403" s="538"/>
      <c r="X403" s="538"/>
      <c r="Y403" s="539"/>
      <c r="Z403" s="539"/>
      <c r="AA403" s="539"/>
      <c r="AB403" s="534"/>
      <c r="AC403" s="534"/>
      <c r="AD403" s="530"/>
      <c r="AF403" s="543"/>
      <c r="AI403" s="543"/>
      <c r="AK403" s="543"/>
      <c r="AM403" s="560"/>
    </row>
    <row r="404" spans="1:39" ht="13.5" thickBot="1">
      <c r="A404" s="6">
        <f>MAX(A$350:A403)+1</f>
        <v>193</v>
      </c>
      <c r="B404" s="58"/>
      <c r="C404" s="10" t="s">
        <v>335</v>
      </c>
      <c r="D404" s="58"/>
      <c r="E404" s="128"/>
      <c r="F404" s="58"/>
      <c r="G404" s="439">
        <f>G392</f>
        <v>126830.75640999997</v>
      </c>
      <c r="H404" s="58"/>
      <c r="I404" s="572">
        <f>J404/G404*100</f>
        <v>4.8754636006061887</v>
      </c>
      <c r="J404" s="627">
        <f>J395+J397+J400+J401</f>
        <v>6183.5873631430495</v>
      </c>
      <c r="K404" s="539"/>
      <c r="L404" s="628">
        <f t="shared" ref="L404:AB404" si="144">L395+L397+L400+L401</f>
        <v>40.181023528609991</v>
      </c>
      <c r="M404" s="628">
        <f t="shared" si="144"/>
        <v>0</v>
      </c>
      <c r="N404" s="628">
        <f t="shared" si="144"/>
        <v>14.737676449939997</v>
      </c>
      <c r="O404" s="628">
        <f t="shared" si="144"/>
        <v>0</v>
      </c>
      <c r="P404" s="628">
        <f t="shared" si="144"/>
        <v>0</v>
      </c>
      <c r="Q404" s="628">
        <f t="shared" si="144"/>
        <v>6128.6686631645007</v>
      </c>
      <c r="R404" s="564"/>
      <c r="S404" s="628">
        <f t="shared" si="144"/>
        <v>131.83600304221787</v>
      </c>
      <c r="T404" s="628">
        <f t="shared" si="144"/>
        <v>78.99750173563443</v>
      </c>
      <c r="U404" s="628">
        <f t="shared" si="144"/>
        <v>0</v>
      </c>
      <c r="V404" s="628">
        <f t="shared" si="144"/>
        <v>13.814708324320168</v>
      </c>
      <c r="W404" s="628">
        <f t="shared" si="144"/>
        <v>0</v>
      </c>
      <c r="X404" s="628">
        <f t="shared" si="144"/>
        <v>0</v>
      </c>
      <c r="Y404" s="539"/>
      <c r="Z404" s="627">
        <f t="shared" si="144"/>
        <v>6353.3168762666719</v>
      </c>
      <c r="AA404" s="651">
        <f>Z404/G404*100</f>
        <v>5.0092872234622616</v>
      </c>
      <c r="AB404" s="627">
        <f t="shared" si="144"/>
        <v>169.72951312362218</v>
      </c>
      <c r="AC404" s="629">
        <f>AA404/I404-1</f>
        <v>2.7448389285366526E-2</v>
      </c>
      <c r="AD404" s="630"/>
      <c r="AF404" s="543"/>
      <c r="AI404" s="543"/>
      <c r="AK404" s="543"/>
      <c r="AM404" s="560"/>
    </row>
    <row r="405" spans="1:39" ht="12.95" thickTop="1">
      <c r="L405" s="2"/>
      <c r="M405" s="2"/>
      <c r="N405" s="2"/>
      <c r="O405" s="2"/>
      <c r="P405" s="501"/>
      <c r="Q405" s="501"/>
      <c r="T405" s="501"/>
      <c r="U405" s="501"/>
      <c r="V405" s="501"/>
      <c r="W405" s="501"/>
      <c r="X405" s="501"/>
      <c r="AB405" s="534"/>
      <c r="AC405" s="501"/>
      <c r="AF405" s="543"/>
      <c r="AI405" s="543"/>
      <c r="AK405" s="543"/>
      <c r="AM405" s="560"/>
    </row>
    <row r="406" spans="1:39">
      <c r="L406" s="2"/>
      <c r="M406" s="2"/>
      <c r="N406" s="2"/>
      <c r="O406" s="2"/>
      <c r="P406" s="501"/>
      <c r="Q406" s="501"/>
      <c r="T406" s="501"/>
      <c r="U406" s="501"/>
      <c r="V406" s="501"/>
      <c r="W406" s="501"/>
      <c r="X406" s="501"/>
      <c r="AB406" s="534"/>
      <c r="AC406" s="501"/>
      <c r="AF406" s="543"/>
      <c r="AI406" s="543"/>
      <c r="AK406" s="543"/>
      <c r="AM406" s="560"/>
    </row>
    <row r="407" spans="1:39">
      <c r="L407" s="2"/>
      <c r="M407" s="2"/>
      <c r="N407" s="2"/>
      <c r="O407" s="2"/>
      <c r="P407" s="501"/>
      <c r="Q407" s="501"/>
      <c r="T407" s="501"/>
      <c r="U407" s="501"/>
      <c r="V407" s="501"/>
      <c r="W407" s="501"/>
      <c r="X407" s="501"/>
      <c r="AB407" s="501"/>
      <c r="AC407" s="501"/>
      <c r="AF407" s="543"/>
      <c r="AI407" s="543"/>
      <c r="AK407" s="543"/>
      <c r="AM407" s="560"/>
    </row>
    <row r="408" spans="1:39">
      <c r="L408" s="2"/>
      <c r="M408" s="2"/>
      <c r="N408" s="2"/>
      <c r="O408" s="2"/>
      <c r="P408" s="501"/>
      <c r="Q408" s="501"/>
      <c r="T408" s="501"/>
      <c r="U408" s="501"/>
      <c r="V408" s="501"/>
      <c r="W408" s="501"/>
      <c r="X408" s="501"/>
      <c r="AB408" s="501"/>
      <c r="AC408" s="501"/>
      <c r="AF408" s="543"/>
      <c r="AI408" s="543"/>
      <c r="AK408" s="543"/>
      <c r="AM408" s="560"/>
    </row>
    <row r="409" spans="1:39">
      <c r="L409" s="2"/>
      <c r="M409" s="2"/>
      <c r="N409" s="2"/>
      <c r="O409" s="2"/>
      <c r="P409" s="501"/>
      <c r="Q409" s="501"/>
      <c r="T409" s="501"/>
      <c r="U409" s="501"/>
      <c r="V409" s="501"/>
      <c r="W409" s="501"/>
      <c r="X409" s="501"/>
      <c r="AB409" s="501"/>
      <c r="AC409" s="501"/>
      <c r="AF409" s="543"/>
      <c r="AI409" s="543"/>
      <c r="AK409" s="543"/>
      <c r="AM409" s="560"/>
    </row>
    <row r="410" spans="1:39">
      <c r="A410" s="1156" t="s">
        <v>279</v>
      </c>
      <c r="B410" s="1156"/>
      <c r="C410" s="1156"/>
      <c r="D410" s="1156"/>
      <c r="E410" s="1156"/>
      <c r="F410" s="1156"/>
      <c r="G410" s="1156"/>
      <c r="H410" s="1156"/>
      <c r="I410" s="1156"/>
      <c r="J410" s="1156"/>
      <c r="K410" s="1156"/>
      <c r="L410" s="1156"/>
      <c r="M410" s="1156"/>
      <c r="N410" s="1156"/>
      <c r="O410" s="1156"/>
      <c r="P410" s="1156"/>
      <c r="Q410" s="1156"/>
      <c r="R410" s="1156"/>
      <c r="S410" s="1156"/>
      <c r="T410" s="1156"/>
      <c r="U410" s="1156"/>
      <c r="V410" s="1156"/>
      <c r="W410" s="1156"/>
      <c r="X410" s="1156"/>
      <c r="Y410" s="1156"/>
      <c r="Z410" s="1156"/>
      <c r="AA410" s="1156"/>
      <c r="AB410" s="1156"/>
      <c r="AC410" s="1156"/>
      <c r="AD410" s="531"/>
      <c r="AF410" s="543"/>
      <c r="AI410" s="543"/>
      <c r="AK410" s="543"/>
      <c r="AM410" s="560"/>
    </row>
    <row r="411" spans="1:39">
      <c r="A411" s="57"/>
      <c r="B411" s="57"/>
      <c r="C411" s="57"/>
      <c r="D411" s="57"/>
      <c r="E411" s="3"/>
      <c r="F411" s="57"/>
      <c r="G411" s="3"/>
      <c r="H411" s="57"/>
      <c r="I411" s="57"/>
      <c r="J411" s="57"/>
      <c r="K411" s="57"/>
      <c r="L411" s="57"/>
      <c r="M411" s="57"/>
      <c r="N411" s="4"/>
      <c r="O411" s="4"/>
      <c r="P411" s="501"/>
      <c r="Q411" s="501"/>
      <c r="R411" s="57"/>
      <c r="S411" s="57"/>
      <c r="T411" s="501"/>
      <c r="U411" s="501"/>
      <c r="V411" s="501"/>
      <c r="W411" s="501"/>
      <c r="X411" s="501"/>
      <c r="Y411" s="57"/>
      <c r="Z411" s="57"/>
      <c r="AA411" s="57"/>
      <c r="AB411" s="501"/>
      <c r="AC411" s="501"/>
      <c r="AF411" s="543"/>
      <c r="AI411" s="543"/>
      <c r="AK411" s="543"/>
      <c r="AM411" s="560"/>
    </row>
    <row r="412" spans="1:39">
      <c r="A412" s="3"/>
      <c r="B412" s="3"/>
      <c r="C412" s="3"/>
      <c r="D412" s="3"/>
      <c r="E412" s="57"/>
      <c r="F412" s="3"/>
      <c r="G412" s="1152" t="str">
        <f>G8</f>
        <v>Current Approved Revenue</v>
      </c>
      <c r="H412" s="1152"/>
      <c r="I412" s="1152"/>
      <c r="J412" s="1152"/>
      <c r="K412" s="3"/>
      <c r="L412" s="1152" t="str">
        <f>L8</f>
        <v>Adjustments to 2023 Base Rates</v>
      </c>
      <c r="M412" s="1152"/>
      <c r="N412" s="1152"/>
      <c r="O412" s="1152"/>
      <c r="P412" s="1152"/>
      <c r="Q412" s="58"/>
      <c r="R412" s="3"/>
      <c r="S412" s="1152" t="str">
        <f>S8</f>
        <v>Adjustments to 2024 Base Rates</v>
      </c>
      <c r="T412" s="1152"/>
      <c r="U412" s="1152"/>
      <c r="V412" s="1152"/>
      <c r="W412" s="1152"/>
      <c r="X412" s="1152"/>
      <c r="Y412" s="3"/>
      <c r="Z412" s="1152" t="str">
        <f>Z8</f>
        <v>2024 Proposed Revenue</v>
      </c>
      <c r="AA412" s="1152"/>
      <c r="AB412" s="1152"/>
      <c r="AC412" s="1152"/>
      <c r="AD412" s="6"/>
      <c r="AF412" s="543"/>
      <c r="AI412" s="543"/>
      <c r="AK412" s="543"/>
      <c r="AM412" s="560"/>
    </row>
    <row r="413" spans="1:39" ht="37.5">
      <c r="A413" s="5" t="s">
        <v>56</v>
      </c>
      <c r="B413" s="5"/>
      <c r="C413" s="5"/>
      <c r="D413" s="5"/>
      <c r="E413" s="6" t="s">
        <v>233</v>
      </c>
      <c r="F413" s="5"/>
      <c r="G413" s="17" t="s">
        <v>234</v>
      </c>
      <c r="H413" s="5"/>
      <c r="I413" s="17" t="s">
        <v>235</v>
      </c>
      <c r="J413" s="17" t="s">
        <v>101</v>
      </c>
      <c r="K413" s="5"/>
      <c r="L413" s="17" t="s">
        <v>106</v>
      </c>
      <c r="M413" s="17" t="s">
        <v>236</v>
      </c>
      <c r="N413" s="5" t="s">
        <v>237</v>
      </c>
      <c r="O413" s="5" t="s">
        <v>109</v>
      </c>
      <c r="P413" s="5" t="s">
        <v>238</v>
      </c>
      <c r="Q413" s="5" t="s">
        <v>239</v>
      </c>
      <c r="R413" s="5"/>
      <c r="S413" s="5" t="s">
        <v>240</v>
      </c>
      <c r="T413" s="17" t="s">
        <v>106</v>
      </c>
      <c r="U413" s="17" t="s">
        <v>236</v>
      </c>
      <c r="V413" s="5" t="s">
        <v>237</v>
      </c>
      <c r="W413" s="5" t="s">
        <v>109</v>
      </c>
      <c r="X413" s="5" t="s">
        <v>238</v>
      </c>
      <c r="Y413" s="5"/>
      <c r="Z413" s="17" t="s">
        <v>241</v>
      </c>
      <c r="AA413" s="17" t="s">
        <v>242</v>
      </c>
      <c r="AB413" s="17" t="s">
        <v>243</v>
      </c>
      <c r="AC413" s="5" t="s">
        <v>244</v>
      </c>
      <c r="AD413" s="5"/>
      <c r="AF413" s="543"/>
      <c r="AI413" s="543"/>
      <c r="AK413" s="543"/>
      <c r="AM413" s="560"/>
    </row>
    <row r="414" spans="1:39" ht="14.45">
      <c r="A414" s="237" t="s">
        <v>57</v>
      </c>
      <c r="B414" s="58"/>
      <c r="C414" s="59" t="s">
        <v>194</v>
      </c>
      <c r="D414" s="58"/>
      <c r="E414" s="237" t="s">
        <v>245</v>
      </c>
      <c r="F414" s="58"/>
      <c r="G414" s="237" t="s">
        <v>246</v>
      </c>
      <c r="H414" s="58"/>
      <c r="I414" s="237" t="s">
        <v>247</v>
      </c>
      <c r="J414" s="237" t="s">
        <v>248</v>
      </c>
      <c r="K414" s="58"/>
      <c r="L414" s="237" t="s">
        <v>248</v>
      </c>
      <c r="M414" s="237" t="s">
        <v>248</v>
      </c>
      <c r="N414" s="237" t="s">
        <v>248</v>
      </c>
      <c r="O414" s="237" t="s">
        <v>248</v>
      </c>
      <c r="P414" s="237" t="s">
        <v>248</v>
      </c>
      <c r="Q414" s="237" t="s">
        <v>248</v>
      </c>
      <c r="R414" s="58"/>
      <c r="S414" s="237" t="s">
        <v>248</v>
      </c>
      <c r="T414" s="237" t="s">
        <v>248</v>
      </c>
      <c r="U414" s="237" t="s">
        <v>248</v>
      </c>
      <c r="V414" s="237" t="s">
        <v>248</v>
      </c>
      <c r="W414" s="237" t="s">
        <v>248</v>
      </c>
      <c r="X414" s="237" t="s">
        <v>248</v>
      </c>
      <c r="Y414" s="58"/>
      <c r="Z414" s="237" t="s">
        <v>248</v>
      </c>
      <c r="AA414" s="237" t="s">
        <v>247</v>
      </c>
      <c r="AB414" s="237" t="s">
        <v>248</v>
      </c>
      <c r="AC414" s="237" t="s">
        <v>249</v>
      </c>
      <c r="AD414" s="6"/>
      <c r="AF414" s="543"/>
      <c r="AI414" s="543"/>
      <c r="AK414" s="543"/>
      <c r="AM414" s="560"/>
    </row>
    <row r="415" spans="1:39">
      <c r="A415" s="6"/>
      <c r="B415" s="58"/>
      <c r="C415" s="58"/>
      <c r="D415" s="58"/>
      <c r="E415" s="6"/>
      <c r="F415" s="58"/>
      <c r="G415" s="6" t="s">
        <v>9</v>
      </c>
      <c r="H415" s="6"/>
      <c r="I415" s="6" t="s">
        <v>10</v>
      </c>
      <c r="J415" s="6" t="s">
        <v>58</v>
      </c>
      <c r="K415" s="6"/>
      <c r="L415" s="123" t="s">
        <v>12</v>
      </c>
      <c r="M415" s="123" t="s">
        <v>13</v>
      </c>
      <c r="N415" s="123" t="s">
        <v>115</v>
      </c>
      <c r="O415" s="123" t="s">
        <v>209</v>
      </c>
      <c r="P415" s="6" t="s">
        <v>210</v>
      </c>
      <c r="Q415" s="6" t="s">
        <v>250</v>
      </c>
      <c r="R415" s="6"/>
      <c r="S415" s="6" t="s">
        <v>251</v>
      </c>
      <c r="T415" s="6" t="s">
        <v>120</v>
      </c>
      <c r="U415" s="6" t="s">
        <v>121</v>
      </c>
      <c r="V415" s="6" t="s">
        <v>122</v>
      </c>
      <c r="W415" s="6" t="s">
        <v>252</v>
      </c>
      <c r="X415" s="6" t="s">
        <v>253</v>
      </c>
      <c r="Y415" s="6"/>
      <c r="Z415" s="6" t="s">
        <v>254</v>
      </c>
      <c r="AA415" s="6" t="s">
        <v>255</v>
      </c>
      <c r="AB415" s="6" t="s">
        <v>256</v>
      </c>
      <c r="AC415" s="6" t="s">
        <v>257</v>
      </c>
      <c r="AD415" s="6"/>
      <c r="AF415" s="543"/>
      <c r="AI415" s="543"/>
      <c r="AK415" s="543"/>
      <c r="AM415" s="560"/>
    </row>
    <row r="416" spans="1:39" ht="14.25" customHeight="1">
      <c r="A416" s="6"/>
      <c r="B416" s="58"/>
      <c r="C416" s="10"/>
      <c r="D416" s="58"/>
      <c r="E416" s="30"/>
      <c r="F416" s="58"/>
      <c r="G416" s="29"/>
      <c r="H416" s="58"/>
      <c r="I416" s="548"/>
      <c r="J416" s="58"/>
      <c r="K416" s="58"/>
      <c r="L416" s="501"/>
      <c r="M416" s="501"/>
      <c r="N416" s="501"/>
      <c r="O416" s="501"/>
      <c r="P416" s="501"/>
      <c r="Q416" s="501"/>
      <c r="R416" s="58"/>
      <c r="S416" s="58"/>
      <c r="T416" s="501"/>
      <c r="U416" s="501"/>
      <c r="V416" s="501"/>
      <c r="W416" s="501"/>
      <c r="X416" s="501"/>
      <c r="Y416" s="58"/>
      <c r="Z416" s="58"/>
      <c r="AA416" s="58"/>
      <c r="AB416" s="501"/>
      <c r="AC416" s="501"/>
      <c r="AI416" s="543"/>
    </row>
    <row r="417" spans="1:39">
      <c r="A417" s="6"/>
      <c r="B417" s="58"/>
      <c r="C417" s="9" t="s">
        <v>129</v>
      </c>
      <c r="D417" s="58"/>
      <c r="E417" s="30"/>
      <c r="F417" s="58"/>
      <c r="G417" s="29"/>
      <c r="H417" s="58"/>
      <c r="I417" s="58"/>
      <c r="J417" s="58"/>
      <c r="K417" s="58"/>
      <c r="L417" s="501"/>
      <c r="M417" s="501"/>
      <c r="N417" s="501"/>
      <c r="O417" s="501"/>
      <c r="P417" s="501"/>
      <c r="Q417" s="501"/>
      <c r="R417" s="58"/>
      <c r="S417" s="58"/>
      <c r="T417" s="501"/>
      <c r="U417" s="501"/>
      <c r="V417" s="501"/>
      <c r="W417" s="501"/>
      <c r="X417" s="501"/>
      <c r="Y417" s="58"/>
      <c r="Z417" s="58"/>
      <c r="AA417" s="58"/>
      <c r="AB417" s="501"/>
      <c r="AC417" s="501"/>
    </row>
    <row r="418" spans="1:39">
      <c r="A418" s="6">
        <v>194</v>
      </c>
      <c r="B418" s="58"/>
      <c r="C418" s="10" t="s">
        <v>258</v>
      </c>
      <c r="D418" s="58"/>
      <c r="E418" s="30" t="s">
        <v>259</v>
      </c>
      <c r="F418" s="58"/>
      <c r="G418" s="29">
        <v>144.00000000000003</v>
      </c>
      <c r="H418" s="58"/>
      <c r="I418" s="537">
        <v>1620.86</v>
      </c>
      <c r="J418" s="539">
        <f>G418*I418/1000</f>
        <v>233.40384000000003</v>
      </c>
      <c r="K418" s="58"/>
      <c r="L418" s="29">
        <v>0</v>
      </c>
      <c r="M418" s="29">
        <v>0</v>
      </c>
      <c r="N418" s="29">
        <v>0</v>
      </c>
      <c r="O418" s="29">
        <v>0</v>
      </c>
      <c r="P418" s="29">
        <v>0</v>
      </c>
      <c r="Q418" s="538">
        <f>J418-L418-M418-N418-O418-P418</f>
        <v>233.40384000000003</v>
      </c>
      <c r="R418" s="564"/>
      <c r="S418" s="29">
        <v>6.3778268074246398</v>
      </c>
      <c r="T418" s="29">
        <v>0</v>
      </c>
      <c r="U418" s="29">
        <v>0</v>
      </c>
      <c r="V418" s="29">
        <v>0</v>
      </c>
      <c r="W418" s="29">
        <v>0</v>
      </c>
      <c r="X418" s="29">
        <v>0</v>
      </c>
      <c r="Y418" s="539"/>
      <c r="Z418" s="539">
        <f>Q418+S418+T418+U418+V418+W418+X418</f>
        <v>239.78166680742467</v>
      </c>
      <c r="AA418" s="540">
        <f>Z418/G418*1000</f>
        <v>1665.1504639404488</v>
      </c>
      <c r="AB418" s="534">
        <f>Z418-J418</f>
        <v>6.3778268074246398</v>
      </c>
      <c r="AC418" s="541">
        <f>AA418/I418-1</f>
        <v>2.7325286539521487E-2</v>
      </c>
      <c r="AD418" s="542"/>
      <c r="AF418" s="543"/>
      <c r="AI418" s="543"/>
      <c r="AK418" s="543"/>
      <c r="AM418" s="560"/>
    </row>
    <row r="419" spans="1:39">
      <c r="A419" s="6">
        <f>MAX(A$417:A418)+1</f>
        <v>195</v>
      </c>
      <c r="B419" s="58"/>
      <c r="C419" s="521" t="s">
        <v>280</v>
      </c>
      <c r="D419" s="58"/>
      <c r="E419" s="522" t="s">
        <v>281</v>
      </c>
      <c r="F419" s="58"/>
      <c r="G419" s="29">
        <v>42050.04</v>
      </c>
      <c r="H419" s="58"/>
      <c r="I419" s="547">
        <v>19.945999999999998</v>
      </c>
      <c r="J419" s="539">
        <f>G419*I419/100</f>
        <v>8387.3009783999987</v>
      </c>
      <c r="K419" s="58"/>
      <c r="L419" s="538">
        <v>909.03776471999993</v>
      </c>
      <c r="M419" s="29">
        <v>0</v>
      </c>
      <c r="N419" s="29">
        <v>0</v>
      </c>
      <c r="O419" s="29">
        <v>0</v>
      </c>
      <c r="P419" s="29">
        <v>0</v>
      </c>
      <c r="Q419" s="538">
        <f>J419-L419-M419-N419-O419-P419</f>
        <v>7478.2632136799984</v>
      </c>
      <c r="R419" s="564"/>
      <c r="S419" s="29">
        <v>204.34568513176873</v>
      </c>
      <c r="T419" s="29">
        <v>679.09289964212871</v>
      </c>
      <c r="U419" s="29">
        <v>0</v>
      </c>
      <c r="V419" s="29">
        <v>0</v>
      </c>
      <c r="W419" s="29">
        <v>0</v>
      </c>
      <c r="X419" s="29">
        <v>0</v>
      </c>
      <c r="Y419" s="539"/>
      <c r="Z419" s="539">
        <f>Q419+S419+T419+U419+V419+W419+X419</f>
        <v>8361.7017984538961</v>
      </c>
      <c r="AA419" s="680">
        <f>Z419/G419*100</f>
        <v>19.885122103222486</v>
      </c>
      <c r="AB419" s="549">
        <f>Z419-J419</f>
        <v>-25.599179946102595</v>
      </c>
      <c r="AC419" s="541">
        <f>AA419/I419-1</f>
        <v>-3.0521356050091653E-3</v>
      </c>
      <c r="AD419" s="542"/>
      <c r="AF419" s="543"/>
      <c r="AI419" s="543"/>
      <c r="AK419" s="543"/>
      <c r="AM419" s="560"/>
    </row>
    <row r="420" spans="1:39">
      <c r="A420" s="6">
        <f>MAX(A$417:A419)+1</f>
        <v>196</v>
      </c>
      <c r="B420" s="58"/>
      <c r="C420" s="521" t="s">
        <v>260</v>
      </c>
      <c r="D420" s="58"/>
      <c r="E420" s="522" t="s">
        <v>262</v>
      </c>
      <c r="F420" s="58"/>
      <c r="G420" s="29">
        <v>1076377.9679700001</v>
      </c>
      <c r="H420" s="58"/>
      <c r="I420" s="547">
        <v>0.28710000000000002</v>
      </c>
      <c r="J420" s="539">
        <f t="shared" ref="J420:J421" si="145">G420*I420/100</f>
        <v>3090.2811460418707</v>
      </c>
      <c r="K420" s="58"/>
      <c r="L420" s="538">
        <v>307.84409883942004</v>
      </c>
      <c r="M420" s="538">
        <v>13.760700020675317</v>
      </c>
      <c r="N420" s="538">
        <v>22.603937327369998</v>
      </c>
      <c r="O420" s="29">
        <v>0</v>
      </c>
      <c r="P420" s="29">
        <v>0</v>
      </c>
      <c r="Q420" s="538">
        <f>J420-L420-M420-N420-O420-P420</f>
        <v>2746.0724098544051</v>
      </c>
      <c r="R420" s="564"/>
      <c r="S420" s="29">
        <v>75.037215457545699</v>
      </c>
      <c r="T420" s="29">
        <v>220.60521502648581</v>
      </c>
      <c r="U420" s="29">
        <v>13.37923487947986</v>
      </c>
      <c r="V420" s="29">
        <v>21.188333331886991</v>
      </c>
      <c r="W420" s="29">
        <v>0</v>
      </c>
      <c r="X420" s="29">
        <v>0</v>
      </c>
      <c r="Y420" s="539"/>
      <c r="Z420" s="539">
        <f>Q420+S420+T420+U420+V420+W420+X420</f>
        <v>3076.2824085498037</v>
      </c>
      <c r="AA420" s="680">
        <f>Z420/G420*100</f>
        <v>0.28579945893462799</v>
      </c>
      <c r="AB420" s="549">
        <f>Z420-J420</f>
        <v>-13.998737492066994</v>
      </c>
      <c r="AC420" s="541">
        <f>AA420/I420-1</f>
        <v>-4.5299235993452314E-3</v>
      </c>
      <c r="AD420" s="542"/>
      <c r="AF420" s="543"/>
      <c r="AI420" s="543"/>
      <c r="AK420" s="543"/>
      <c r="AM420" s="560"/>
    </row>
    <row r="421" spans="1:39">
      <c r="A421" s="6">
        <f>MAX(A$417:A420)+1</f>
        <v>197</v>
      </c>
      <c r="B421" s="58"/>
      <c r="C421" s="521" t="s">
        <v>321</v>
      </c>
      <c r="D421" s="58"/>
      <c r="E421" s="522" t="s">
        <v>262</v>
      </c>
      <c r="F421" s="58"/>
      <c r="G421" s="29">
        <v>28099.753000000001</v>
      </c>
      <c r="H421" s="58"/>
      <c r="I421" s="547">
        <v>0.28710000000000002</v>
      </c>
      <c r="J421" s="539">
        <f t="shared" si="145"/>
        <v>80.674390863000013</v>
      </c>
      <c r="K421" s="58"/>
      <c r="L421" s="538">
        <v>8.036529358000001</v>
      </c>
      <c r="M421" s="29">
        <v>0</v>
      </c>
      <c r="N421" s="538">
        <v>0.590094813</v>
      </c>
      <c r="O421" s="29">
        <v>0</v>
      </c>
      <c r="P421" s="29">
        <v>0</v>
      </c>
      <c r="Q421" s="538">
        <f>J421-L421-M421-N421-O421-P421</f>
        <v>72.047766692000025</v>
      </c>
      <c r="R421" s="564"/>
      <c r="S421" s="29">
        <v>1.9687258693914913</v>
      </c>
      <c r="T421" s="29">
        <v>5.7590848542237278</v>
      </c>
      <c r="U421" s="29">
        <v>0</v>
      </c>
      <c r="V421" s="29">
        <v>0.55313927897517656</v>
      </c>
      <c r="W421" s="29">
        <v>0</v>
      </c>
      <c r="X421" s="29">
        <v>0</v>
      </c>
      <c r="Y421" s="539"/>
      <c r="Z421" s="539">
        <f>Q421+S421+T421+U421+V421+W421+X421</f>
        <v>80.328716694590426</v>
      </c>
      <c r="AA421" s="680">
        <f>Z421/G421*100</f>
        <v>0.28586983200382732</v>
      </c>
      <c r="AB421" s="534">
        <f>Z421-J421</f>
        <v>-0.34567416840958742</v>
      </c>
      <c r="AC421" s="541">
        <f>AA421/I421-1</f>
        <v>-4.2848066742344759E-3</v>
      </c>
      <c r="AD421" s="542"/>
      <c r="AF421" s="543"/>
      <c r="AI421" s="543"/>
      <c r="AK421" s="543"/>
      <c r="AM421" s="560"/>
    </row>
    <row r="422" spans="1:39">
      <c r="A422" s="6">
        <f>MAX(A$417:A421)+1</f>
        <v>198</v>
      </c>
      <c r="B422" s="58"/>
      <c r="C422" s="521" t="s">
        <v>322</v>
      </c>
      <c r="D422" s="58"/>
      <c r="E422" s="30" t="s">
        <v>259</v>
      </c>
      <c r="F422" s="58"/>
      <c r="G422" s="29">
        <v>143.99999999999989</v>
      </c>
      <c r="H422" s="58"/>
      <c r="I422" s="537">
        <v>248.07</v>
      </c>
      <c r="J422" s="539">
        <f>G422*I422/1000</f>
        <v>35.72207999999997</v>
      </c>
      <c r="K422" s="58"/>
      <c r="L422" s="29">
        <v>0</v>
      </c>
      <c r="M422" s="29">
        <v>0</v>
      </c>
      <c r="N422" s="29">
        <v>0</v>
      </c>
      <c r="O422" s="29">
        <v>0</v>
      </c>
      <c r="P422" s="29">
        <v>0</v>
      </c>
      <c r="Q422" s="538">
        <f>J422-L422-M422-N422-O422-P422</f>
        <v>35.72207999999997</v>
      </c>
      <c r="R422" s="564"/>
      <c r="S422" s="29">
        <v>0.97611607178770754</v>
      </c>
      <c r="T422" s="29">
        <v>0</v>
      </c>
      <c r="U422" s="29">
        <v>0</v>
      </c>
      <c r="V422" s="29">
        <v>0</v>
      </c>
      <c r="W422" s="29">
        <v>0</v>
      </c>
      <c r="X422" s="29">
        <v>0</v>
      </c>
      <c r="Y422" s="539"/>
      <c r="Z422" s="539">
        <f>Q422+S422+T422+U422+V422+W422+X422</f>
        <v>36.698196071787677</v>
      </c>
      <c r="AA422" s="540">
        <f>Z422/G422*1000</f>
        <v>254.84858383185909</v>
      </c>
      <c r="AB422" s="534">
        <f>Z422-J422</f>
        <v>0.97611607178770754</v>
      </c>
      <c r="AC422" s="541"/>
      <c r="AD422" s="542"/>
      <c r="AF422" s="543"/>
      <c r="AI422" s="543"/>
      <c r="AK422" s="543"/>
      <c r="AM422" s="560"/>
    </row>
    <row r="423" spans="1:39">
      <c r="A423" s="6"/>
      <c r="B423" s="58"/>
      <c r="C423" s="10"/>
      <c r="D423" s="58"/>
      <c r="E423" s="30"/>
      <c r="F423" s="58"/>
      <c r="G423" s="132"/>
      <c r="H423" s="58"/>
      <c r="I423" s="58"/>
      <c r="J423" s="539"/>
      <c r="K423" s="58"/>
      <c r="L423" s="538"/>
      <c r="M423" s="538"/>
      <c r="N423" s="538"/>
      <c r="O423" s="538"/>
      <c r="P423" s="538"/>
      <c r="Q423" s="538"/>
      <c r="R423" s="564"/>
      <c r="S423" s="564"/>
      <c r="T423" s="538"/>
      <c r="U423" s="538"/>
      <c r="V423" s="538"/>
      <c r="W423" s="538"/>
      <c r="X423" s="538"/>
      <c r="Y423" s="539"/>
      <c r="Z423" s="539"/>
      <c r="AA423" s="680"/>
      <c r="AB423" s="534"/>
      <c r="AC423" s="541"/>
      <c r="AD423" s="542"/>
      <c r="AM423" s="560"/>
    </row>
    <row r="424" spans="1:39">
      <c r="A424" s="6">
        <f>MAX(A$417:A423)+1</f>
        <v>199</v>
      </c>
      <c r="B424" s="58"/>
      <c r="C424" s="10" t="s">
        <v>266</v>
      </c>
      <c r="D424" s="58"/>
      <c r="E424" s="30"/>
      <c r="F424" s="58"/>
      <c r="G424" s="411">
        <f>SUM(G418:G423)</f>
        <v>1146815.7609700002</v>
      </c>
      <c r="H424" s="58"/>
      <c r="I424" s="556">
        <f>J424/G424*100</f>
        <v>1.0313236735865077</v>
      </c>
      <c r="J424" s="554">
        <f>SUM(J418:J423)</f>
        <v>11827.382435304869</v>
      </c>
      <c r="K424" s="58"/>
      <c r="L424" s="555">
        <f>SUM(L418:L423)</f>
        <v>1224.9183929174201</v>
      </c>
      <c r="M424" s="555">
        <f t="shared" ref="M424:Q424" si="146">SUM(M418:M423)</f>
        <v>13.760700020675317</v>
      </c>
      <c r="N424" s="555">
        <f t="shared" si="146"/>
        <v>23.194032140369998</v>
      </c>
      <c r="O424" s="555">
        <f t="shared" si="146"/>
        <v>0</v>
      </c>
      <c r="P424" s="555">
        <f t="shared" si="146"/>
        <v>0</v>
      </c>
      <c r="Q424" s="555">
        <f t="shared" si="146"/>
        <v>10565.509310226402</v>
      </c>
      <c r="R424" s="564"/>
      <c r="S424" s="619">
        <f>SUM(S418:S423)</f>
        <v>288.70556933791829</v>
      </c>
      <c r="T424" s="619">
        <f t="shared" ref="T424:X424" si="147">SUM(T418:T423)</f>
        <v>905.45719952283821</v>
      </c>
      <c r="U424" s="619">
        <f t="shared" si="147"/>
        <v>13.37923487947986</v>
      </c>
      <c r="V424" s="619">
        <f t="shared" si="147"/>
        <v>21.741472610862168</v>
      </c>
      <c r="W424" s="619">
        <f t="shared" si="147"/>
        <v>0</v>
      </c>
      <c r="X424" s="619">
        <f t="shared" si="147"/>
        <v>0</v>
      </c>
      <c r="Y424" s="539"/>
      <c r="Z424" s="554">
        <f>SUM(Z418:Z423)</f>
        <v>11794.792786577502</v>
      </c>
      <c r="AA424" s="677">
        <f>Z424/G424*100</f>
        <v>1.0284819225540835</v>
      </c>
      <c r="AB424" s="557">
        <f>SUM(AB418:AB423)</f>
        <v>-32.589648727366828</v>
      </c>
      <c r="AC424" s="562">
        <f>AA424/I424-1</f>
        <v>-2.7554405132015347E-3</v>
      </c>
      <c r="AD424" s="542"/>
      <c r="AM424" s="560"/>
    </row>
    <row r="425" spans="1:39">
      <c r="A425" s="6"/>
      <c r="B425" s="58"/>
      <c r="C425" s="10"/>
      <c r="D425" s="58"/>
      <c r="E425" s="30"/>
      <c r="F425" s="58"/>
      <c r="G425" s="132"/>
      <c r="H425" s="58"/>
      <c r="I425" s="58"/>
      <c r="J425" s="539"/>
      <c r="K425" s="58"/>
      <c r="L425" s="534"/>
      <c r="M425" s="534"/>
      <c r="N425" s="534"/>
      <c r="O425" s="534"/>
      <c r="P425" s="534"/>
      <c r="Q425" s="534"/>
      <c r="R425" s="539"/>
      <c r="S425" s="539"/>
      <c r="T425" s="534"/>
      <c r="U425" s="534"/>
      <c r="V425" s="534"/>
      <c r="W425" s="534"/>
      <c r="X425" s="534"/>
      <c r="Y425" s="539"/>
      <c r="Z425" s="539"/>
      <c r="AA425" s="539"/>
      <c r="AB425" s="534"/>
      <c r="AC425" s="534"/>
      <c r="AD425" s="530"/>
      <c r="AM425" s="560"/>
    </row>
    <row r="426" spans="1:39">
      <c r="A426" s="6"/>
      <c r="C426" s="501" t="s">
        <v>323</v>
      </c>
      <c r="G426" s="129"/>
      <c r="I426" s="58"/>
      <c r="L426" s="534"/>
      <c r="M426" s="534"/>
      <c r="N426" s="534"/>
      <c r="O426" s="534"/>
      <c r="P426" s="534"/>
      <c r="Q426" s="534"/>
      <c r="R426" s="567"/>
      <c r="S426" s="567"/>
      <c r="T426" s="534"/>
      <c r="U426" s="534"/>
      <c r="V426" s="534"/>
      <c r="W426" s="534"/>
      <c r="X426" s="534"/>
      <c r="Y426" s="567"/>
      <c r="Z426" s="567"/>
      <c r="AB426" s="534"/>
      <c r="AC426" s="534"/>
      <c r="AD426" s="530"/>
      <c r="AM426" s="560"/>
    </row>
    <row r="427" spans="1:39">
      <c r="A427" s="6">
        <f>MAX(A$417:A426)+1</f>
        <v>200</v>
      </c>
      <c r="B427" s="58"/>
      <c r="C427" s="526" t="s">
        <v>306</v>
      </c>
      <c r="D427" s="58"/>
      <c r="E427" s="522" t="s">
        <v>281</v>
      </c>
      <c r="F427" s="58"/>
      <c r="G427" s="130">
        <v>0</v>
      </c>
      <c r="H427" s="564"/>
      <c r="I427" s="547">
        <v>75.2744</v>
      </c>
      <c r="J427" s="564">
        <f>G427*I427/100</f>
        <v>0</v>
      </c>
      <c r="K427" s="564"/>
      <c r="L427" s="29">
        <v>0</v>
      </c>
      <c r="M427" s="29">
        <v>0</v>
      </c>
      <c r="N427" s="29">
        <v>0</v>
      </c>
      <c r="O427" s="29">
        <v>0</v>
      </c>
      <c r="P427" s="29">
        <v>0</v>
      </c>
      <c r="Q427" s="538">
        <f>J427-L427-M427-N427-O427-P427</f>
        <v>0</v>
      </c>
      <c r="R427" s="564"/>
      <c r="S427" s="29">
        <v>0</v>
      </c>
      <c r="T427" s="29">
        <v>0</v>
      </c>
      <c r="U427" s="29">
        <v>0</v>
      </c>
      <c r="V427" s="29">
        <v>0</v>
      </c>
      <c r="W427" s="29">
        <v>0</v>
      </c>
      <c r="X427" s="29">
        <v>0</v>
      </c>
      <c r="Y427" s="564"/>
      <c r="Z427" s="564">
        <f>Q427+S427+T427+U427+V427+W427+X427</f>
        <v>0</v>
      </c>
      <c r="AA427" s="547">
        <v>75.548019024234847</v>
      </c>
      <c r="AB427" s="538">
        <f>Z427-J427</f>
        <v>0</v>
      </c>
      <c r="AC427" s="538"/>
      <c r="AD427" s="563"/>
      <c r="AM427" s="560"/>
    </row>
    <row r="428" spans="1:39">
      <c r="A428" s="6">
        <f>MAX(A$417:A427)+1</f>
        <v>201</v>
      </c>
      <c r="B428" s="58"/>
      <c r="C428" s="526" t="s">
        <v>307</v>
      </c>
      <c r="D428" s="58"/>
      <c r="E428" s="522" t="s">
        <v>281</v>
      </c>
      <c r="F428" s="58"/>
      <c r="G428" s="29">
        <v>0</v>
      </c>
      <c r="H428" s="564"/>
      <c r="I428" s="547">
        <v>114.0459</v>
      </c>
      <c r="J428" s="564">
        <f t="shared" ref="J428:J434" si="148">G428*I428/100</f>
        <v>0</v>
      </c>
      <c r="K428" s="564"/>
      <c r="L428" s="29">
        <v>0</v>
      </c>
      <c r="M428" s="29">
        <v>0</v>
      </c>
      <c r="N428" s="29">
        <v>0</v>
      </c>
      <c r="O428" s="29">
        <v>0</v>
      </c>
      <c r="P428" s="29">
        <v>0</v>
      </c>
      <c r="Q428" s="538"/>
      <c r="R428" s="564"/>
      <c r="S428" s="29">
        <v>0</v>
      </c>
      <c r="T428" s="29">
        <v>0</v>
      </c>
      <c r="U428" s="29">
        <v>0</v>
      </c>
      <c r="V428" s="29">
        <v>0</v>
      </c>
      <c r="W428" s="29">
        <v>0</v>
      </c>
      <c r="X428" s="29">
        <v>0</v>
      </c>
      <c r="Y428" s="564"/>
      <c r="Z428" s="564">
        <f>Q428+S428+T428+U428+V428+W428+X428</f>
        <v>0</v>
      </c>
      <c r="AA428" s="547">
        <v>114.27806109949708</v>
      </c>
      <c r="AB428" s="538">
        <f>Z428-J428</f>
        <v>0</v>
      </c>
      <c r="AC428" s="538"/>
      <c r="AD428" s="563"/>
      <c r="AM428" s="560"/>
    </row>
    <row r="429" spans="1:39">
      <c r="A429" s="6"/>
      <c r="B429" s="58"/>
      <c r="C429" s="501" t="s">
        <v>324</v>
      </c>
      <c r="D429" s="58"/>
      <c r="E429" s="30"/>
      <c r="F429" s="58"/>
      <c r="G429" s="29"/>
      <c r="H429" s="564"/>
      <c r="I429" s="624"/>
      <c r="J429" s="564"/>
      <c r="K429" s="564"/>
      <c r="L429" s="538"/>
      <c r="M429" s="538"/>
      <c r="N429" s="538"/>
      <c r="O429" s="538"/>
      <c r="P429" s="538"/>
      <c r="Q429" s="538"/>
      <c r="R429" s="564"/>
      <c r="S429" s="564"/>
      <c r="T429" s="538"/>
      <c r="U429" s="538"/>
      <c r="V429" s="538"/>
      <c r="W429" s="538"/>
      <c r="X429" s="538"/>
      <c r="Y429" s="564"/>
      <c r="Z429" s="564"/>
      <c r="AA429" s="547"/>
      <c r="AB429" s="538"/>
      <c r="AC429" s="538"/>
      <c r="AD429" s="563"/>
      <c r="AM429" s="560"/>
    </row>
    <row r="430" spans="1:39">
      <c r="A430" s="6">
        <f>MAX(A$417:A429)+1</f>
        <v>202</v>
      </c>
      <c r="B430" s="58"/>
      <c r="C430" s="526" t="s">
        <v>306</v>
      </c>
      <c r="D430" s="58"/>
      <c r="E430" s="522" t="s">
        <v>262</v>
      </c>
      <c r="F430" s="58"/>
      <c r="G430" s="132">
        <v>0</v>
      </c>
      <c r="H430" s="564"/>
      <c r="I430" s="547">
        <v>4.2342000000000004</v>
      </c>
      <c r="J430" s="564">
        <f t="shared" si="148"/>
        <v>0</v>
      </c>
      <c r="K430" s="564"/>
      <c r="L430" s="29">
        <v>0</v>
      </c>
      <c r="M430" s="29">
        <v>0</v>
      </c>
      <c r="N430" s="29">
        <v>0</v>
      </c>
      <c r="O430" s="29">
        <v>0</v>
      </c>
      <c r="P430" s="29">
        <v>0</v>
      </c>
      <c r="Q430" s="538">
        <f>J430-L430-M430-N430-O430-P430</f>
        <v>0</v>
      </c>
      <c r="R430" s="564"/>
      <c r="S430" s="29">
        <v>0</v>
      </c>
      <c r="T430" s="29">
        <v>0</v>
      </c>
      <c r="U430" s="29">
        <v>0</v>
      </c>
      <c r="V430" s="29">
        <v>0</v>
      </c>
      <c r="W430" s="29">
        <v>0</v>
      </c>
      <c r="X430" s="29">
        <v>0</v>
      </c>
      <c r="Y430" s="564"/>
      <c r="Z430" s="564">
        <f>Q430+S430+T430+U430+V430+W430+X430</f>
        <v>0</v>
      </c>
      <c r="AA430" s="547">
        <v>4.2433075180036228</v>
      </c>
      <c r="AB430" s="538">
        <f>Z430-J430</f>
        <v>0</v>
      </c>
      <c r="AC430" s="538"/>
      <c r="AD430" s="563"/>
      <c r="AM430" s="560"/>
    </row>
    <row r="431" spans="1:39">
      <c r="A431" s="6">
        <f>MAX(A$417:A430)+1</f>
        <v>203</v>
      </c>
      <c r="C431" s="526" t="s">
        <v>307</v>
      </c>
      <c r="E431" s="522" t="s">
        <v>262</v>
      </c>
      <c r="G431" s="29">
        <v>0</v>
      </c>
      <c r="H431" s="64"/>
      <c r="I431" s="547">
        <v>6.54</v>
      </c>
      <c r="J431" s="564">
        <f t="shared" si="148"/>
        <v>0</v>
      </c>
      <c r="K431" s="64"/>
      <c r="L431" s="29">
        <v>0</v>
      </c>
      <c r="M431" s="29">
        <v>0</v>
      </c>
      <c r="N431" s="29">
        <v>0</v>
      </c>
      <c r="O431" s="29">
        <v>0</v>
      </c>
      <c r="P431" s="29">
        <v>0</v>
      </c>
      <c r="Q431" s="538">
        <f>J431-L431-M431-N431-O431-P431</f>
        <v>0</v>
      </c>
      <c r="R431" s="64"/>
      <c r="S431" s="29">
        <v>0</v>
      </c>
      <c r="T431" s="29">
        <v>0</v>
      </c>
      <c r="U431" s="29">
        <v>0</v>
      </c>
      <c r="V431" s="29">
        <v>0</v>
      </c>
      <c r="W431" s="29">
        <v>0</v>
      </c>
      <c r="X431" s="29">
        <v>0</v>
      </c>
      <c r="Y431" s="564"/>
      <c r="Z431" s="564">
        <f>Q431+S431+T431+U431+V431+W431+X431</f>
        <v>0</v>
      </c>
      <c r="AA431" s="547">
        <v>6.5474188152954804</v>
      </c>
      <c r="AB431" s="538">
        <f>Z431-J431</f>
        <v>0</v>
      </c>
      <c r="AC431" s="538"/>
      <c r="AD431" s="563"/>
      <c r="AM431" s="560"/>
    </row>
    <row r="432" spans="1:39">
      <c r="A432" s="6"/>
      <c r="B432" s="58"/>
      <c r="C432" s="501" t="s">
        <v>325</v>
      </c>
      <c r="D432" s="58"/>
      <c r="E432" s="574"/>
      <c r="F432" s="58"/>
      <c r="G432" s="29"/>
      <c r="H432" s="564"/>
      <c r="I432" s="568"/>
      <c r="J432" s="564"/>
      <c r="K432" s="564"/>
      <c r="L432" s="538"/>
      <c r="M432" s="538"/>
      <c r="N432" s="538"/>
      <c r="O432" s="538"/>
      <c r="P432" s="538"/>
      <c r="Q432" s="538"/>
      <c r="R432" s="564"/>
      <c r="S432" s="564"/>
      <c r="T432" s="538"/>
      <c r="U432" s="538"/>
      <c r="V432" s="538"/>
      <c r="W432" s="538"/>
      <c r="X432" s="538"/>
      <c r="Y432" s="564"/>
      <c r="Z432" s="564"/>
      <c r="AB432" s="538"/>
      <c r="AC432" s="538"/>
      <c r="AD432" s="563"/>
      <c r="AM432" s="560"/>
    </row>
    <row r="433" spans="1:39">
      <c r="A433" s="6">
        <f>MAX(A$417:A432)+1</f>
        <v>204</v>
      </c>
      <c r="B433" s="58"/>
      <c r="C433" s="526" t="s">
        <v>306</v>
      </c>
      <c r="D433" s="58"/>
      <c r="E433" s="522" t="s">
        <v>262</v>
      </c>
      <c r="F433" s="58"/>
      <c r="G433" s="29">
        <v>0</v>
      </c>
      <c r="H433" s="564"/>
      <c r="I433" s="132">
        <v>0</v>
      </c>
      <c r="J433" s="564">
        <f t="shared" si="148"/>
        <v>0</v>
      </c>
      <c r="K433" s="564"/>
      <c r="L433" s="29">
        <v>0</v>
      </c>
      <c r="M433" s="29">
        <v>0</v>
      </c>
      <c r="N433" s="29">
        <v>0</v>
      </c>
      <c r="O433" s="29">
        <v>0</v>
      </c>
      <c r="P433" s="29">
        <v>0</v>
      </c>
      <c r="Q433" s="538">
        <f>J433-L433-M433-N433-O433-P433</f>
        <v>0</v>
      </c>
      <c r="R433" s="564"/>
      <c r="S433" s="29">
        <v>0</v>
      </c>
      <c r="T433" s="29">
        <v>0</v>
      </c>
      <c r="U433" s="29">
        <v>0</v>
      </c>
      <c r="V433" s="29">
        <v>0</v>
      </c>
      <c r="W433" s="29">
        <v>0</v>
      </c>
      <c r="X433" s="29">
        <v>0</v>
      </c>
      <c r="Y433" s="564"/>
      <c r="Z433" s="564">
        <f>Q433+S433+T433+U433+V433+W433+X433</f>
        <v>0</v>
      </c>
      <c r="AA433" s="597" t="str">
        <f>IFERROR(Z433/G433*1000,"-")</f>
        <v>-</v>
      </c>
      <c r="AB433" s="538">
        <f>Z433-J433</f>
        <v>0</v>
      </c>
      <c r="AC433" s="538"/>
      <c r="AD433" s="563"/>
      <c r="AM433" s="560"/>
    </row>
    <row r="434" spans="1:39">
      <c r="A434" s="6">
        <f>MAX(A$417:A433)+1</f>
        <v>205</v>
      </c>
      <c r="B434" s="58"/>
      <c r="C434" s="526" t="s">
        <v>307</v>
      </c>
      <c r="D434" s="58"/>
      <c r="E434" s="522" t="s">
        <v>262</v>
      </c>
      <c r="F434" s="58"/>
      <c r="G434" s="29">
        <v>0</v>
      </c>
      <c r="H434" s="564"/>
      <c r="I434" s="132">
        <v>0</v>
      </c>
      <c r="J434" s="564">
        <f t="shared" si="148"/>
        <v>0</v>
      </c>
      <c r="K434" s="564"/>
      <c r="L434" s="29">
        <v>0</v>
      </c>
      <c r="M434" s="29">
        <v>0</v>
      </c>
      <c r="N434" s="29">
        <v>0</v>
      </c>
      <c r="O434" s="29">
        <v>0</v>
      </c>
      <c r="P434" s="29">
        <v>0</v>
      </c>
      <c r="Q434" s="538">
        <f>J434-L434-M434-N434-O434-P434</f>
        <v>0</v>
      </c>
      <c r="R434" s="564"/>
      <c r="S434" s="29">
        <v>0</v>
      </c>
      <c r="T434" s="29">
        <v>0</v>
      </c>
      <c r="U434" s="29">
        <v>0</v>
      </c>
      <c r="V434" s="29">
        <v>0</v>
      </c>
      <c r="W434" s="29">
        <v>0</v>
      </c>
      <c r="X434" s="29">
        <v>0</v>
      </c>
      <c r="Y434" s="564"/>
      <c r="Z434" s="564">
        <f>Q434+S434+T434+U434+V434+W434+X434</f>
        <v>0</v>
      </c>
      <c r="AA434" s="597" t="str">
        <f>IFERROR(Z434/G434*1000,"-")</f>
        <v>-</v>
      </c>
      <c r="AB434" s="538">
        <f>Z434-J434</f>
        <v>0</v>
      </c>
      <c r="AC434" s="538"/>
      <c r="AD434" s="563"/>
      <c r="AM434" s="560"/>
    </row>
    <row r="435" spans="1:39">
      <c r="A435" s="6">
        <f>MAX(A$417:A434)+1</f>
        <v>206</v>
      </c>
      <c r="B435" s="58"/>
      <c r="C435" s="501" t="s">
        <v>326</v>
      </c>
      <c r="D435" s="58"/>
      <c r="E435" s="574"/>
      <c r="F435" s="58"/>
      <c r="G435" s="411">
        <f>SUM(G430:G434)</f>
        <v>0</v>
      </c>
      <c r="H435" s="411"/>
      <c r="I435" s="131">
        <v>0</v>
      </c>
      <c r="J435" s="411">
        <f t="shared" ref="J435" si="149">SUM(J430:J434)</f>
        <v>0</v>
      </c>
      <c r="K435" s="564"/>
      <c r="L435" s="555">
        <f>SUM(L427:L434)</f>
        <v>0</v>
      </c>
      <c r="M435" s="555">
        <f t="shared" ref="M435:Q435" si="150">SUM(M427:M434)</f>
        <v>0</v>
      </c>
      <c r="N435" s="555">
        <f t="shared" si="150"/>
        <v>0</v>
      </c>
      <c r="O435" s="555">
        <f t="shared" si="150"/>
        <v>0</v>
      </c>
      <c r="P435" s="555">
        <f t="shared" si="150"/>
        <v>0</v>
      </c>
      <c r="Q435" s="555">
        <f t="shared" si="150"/>
        <v>0</v>
      </c>
      <c r="R435" s="538"/>
      <c r="S435" s="555">
        <f t="shared" ref="S435:X435" si="151">SUM(S427:S434)</f>
        <v>0</v>
      </c>
      <c r="T435" s="555">
        <f t="shared" si="151"/>
        <v>0</v>
      </c>
      <c r="U435" s="555">
        <f t="shared" si="151"/>
        <v>0</v>
      </c>
      <c r="V435" s="555">
        <f t="shared" si="151"/>
        <v>0</v>
      </c>
      <c r="W435" s="555">
        <f t="shared" si="151"/>
        <v>0</v>
      </c>
      <c r="X435" s="555">
        <f t="shared" si="151"/>
        <v>0</v>
      </c>
      <c r="Y435" s="538"/>
      <c r="Z435" s="555">
        <f t="shared" ref="Z435" si="152">SUM(Z427:Z434)</f>
        <v>0</v>
      </c>
      <c r="AA435" s="555">
        <v>0</v>
      </c>
      <c r="AB435" s="555">
        <f t="shared" ref="AB435" si="153">SUM(AB427:AB434)</f>
        <v>0</v>
      </c>
      <c r="AC435" s="555"/>
      <c r="AD435" s="563"/>
      <c r="AF435" s="22"/>
      <c r="AI435" s="22"/>
      <c r="AK435" s="22"/>
      <c r="AM435" s="22"/>
    </row>
    <row r="436" spans="1:39">
      <c r="A436" s="6"/>
      <c r="B436" s="58"/>
      <c r="C436" s="526"/>
      <c r="D436" s="58"/>
      <c r="E436" s="574"/>
      <c r="F436" s="58"/>
      <c r="G436" s="29"/>
      <c r="H436" s="58"/>
      <c r="I436" s="624"/>
      <c r="J436" s="58"/>
      <c r="K436" s="58"/>
      <c r="L436" s="501"/>
      <c r="M436" s="501"/>
      <c r="N436" s="501"/>
      <c r="O436" s="501"/>
      <c r="P436" s="501"/>
      <c r="Q436" s="501"/>
      <c r="R436" s="58"/>
      <c r="S436" s="58"/>
      <c r="T436" s="501"/>
      <c r="U436" s="501"/>
      <c r="V436" s="501"/>
      <c r="W436" s="501"/>
      <c r="X436" s="501"/>
      <c r="Y436" s="58"/>
      <c r="Z436" s="58"/>
      <c r="AA436" s="58"/>
      <c r="AB436" s="501"/>
      <c r="AC436" s="501"/>
      <c r="AM436" s="560"/>
    </row>
    <row r="437" spans="1:39">
      <c r="A437" s="6"/>
      <c r="B437" s="58"/>
      <c r="C437" s="501" t="s">
        <v>327</v>
      </c>
      <c r="D437" s="58"/>
      <c r="E437" s="30"/>
      <c r="F437" s="58"/>
      <c r="G437" s="132"/>
      <c r="H437" s="58"/>
      <c r="I437" s="624"/>
      <c r="J437" s="58"/>
      <c r="K437" s="58"/>
      <c r="L437" s="501"/>
      <c r="M437" s="501"/>
      <c r="N437" s="501"/>
      <c r="O437" s="501"/>
      <c r="P437" s="501"/>
      <c r="Q437" s="501"/>
      <c r="R437" s="58"/>
      <c r="S437" s="58"/>
      <c r="T437" s="501"/>
      <c r="U437" s="501"/>
      <c r="V437" s="501"/>
      <c r="W437" s="501"/>
      <c r="X437" s="501"/>
      <c r="Y437" s="58"/>
      <c r="Z437" s="58"/>
      <c r="AA437" s="58"/>
      <c r="AB437" s="501"/>
      <c r="AC437" s="501"/>
      <c r="AM437" s="560"/>
    </row>
    <row r="438" spans="1:39">
      <c r="A438" s="6">
        <f>MAX(A$417:A437)+1</f>
        <v>207</v>
      </c>
      <c r="C438" s="526" t="s">
        <v>328</v>
      </c>
      <c r="E438" s="522" t="s">
        <v>329</v>
      </c>
      <c r="G438" s="130">
        <v>0</v>
      </c>
      <c r="H438" s="64"/>
      <c r="I438" s="678">
        <v>18.835000000000001</v>
      </c>
      <c r="J438" s="64">
        <f>G438*I438/1000</f>
        <v>0</v>
      </c>
      <c r="K438" s="64"/>
      <c r="L438" s="29">
        <v>0</v>
      </c>
      <c r="M438" s="29">
        <v>0</v>
      </c>
      <c r="N438" s="29">
        <v>0</v>
      </c>
      <c r="O438" s="29">
        <v>0</v>
      </c>
      <c r="P438" s="29">
        <v>0</v>
      </c>
      <c r="Q438" s="538">
        <f>J438-L438-M438-N438-O438-P438</f>
        <v>0</v>
      </c>
      <c r="R438" s="64"/>
      <c r="S438" s="29">
        <v>0</v>
      </c>
      <c r="T438" s="29">
        <v>0</v>
      </c>
      <c r="U438" s="29">
        <v>0</v>
      </c>
      <c r="V438" s="29">
        <v>0</v>
      </c>
      <c r="W438" s="29">
        <v>0</v>
      </c>
      <c r="X438" s="29">
        <v>0</v>
      </c>
      <c r="Y438" s="29"/>
      <c r="Z438" s="64">
        <f>Q438+S438+T438+U438+V438+W438+X438</f>
        <v>0</v>
      </c>
      <c r="AA438" s="678">
        <v>19.050487209650669</v>
      </c>
      <c r="AB438" s="538">
        <f>Z438-J438</f>
        <v>0</v>
      </c>
      <c r="AC438" s="538"/>
      <c r="AD438" s="563"/>
      <c r="AM438" s="560"/>
    </row>
    <row r="439" spans="1:39">
      <c r="A439" s="6">
        <f>MAX(A$417:A438)+1</f>
        <v>208</v>
      </c>
      <c r="B439" s="58"/>
      <c r="C439" s="526" t="s">
        <v>330</v>
      </c>
      <c r="D439" s="58"/>
      <c r="E439" s="522" t="s">
        <v>331</v>
      </c>
      <c r="F439" s="58"/>
      <c r="G439" s="130">
        <v>0</v>
      </c>
      <c r="H439" s="564"/>
      <c r="I439" s="678">
        <v>0.24</v>
      </c>
      <c r="J439" s="64">
        <f>G439*I439/1000</f>
        <v>0</v>
      </c>
      <c r="K439" s="564"/>
      <c r="L439" s="29">
        <v>0</v>
      </c>
      <c r="M439" s="29">
        <v>0</v>
      </c>
      <c r="N439" s="29">
        <v>0</v>
      </c>
      <c r="O439" s="29">
        <v>0</v>
      </c>
      <c r="P439" s="29">
        <v>0</v>
      </c>
      <c r="Q439" s="538">
        <f>J439-L439-M439-N439-O439-P439</f>
        <v>0</v>
      </c>
      <c r="R439" s="564"/>
      <c r="S439" s="29">
        <v>0</v>
      </c>
      <c r="T439" s="29">
        <v>0</v>
      </c>
      <c r="U439" s="29">
        <v>0</v>
      </c>
      <c r="V439" s="29">
        <v>0</v>
      </c>
      <c r="W439" s="29">
        <v>0</v>
      </c>
      <c r="X439" s="29">
        <v>0</v>
      </c>
      <c r="Y439" s="564"/>
      <c r="Z439" s="64">
        <f>Q439+S439+T439+U439+V439+W439+X439</f>
        <v>0</v>
      </c>
      <c r="AA439" s="678">
        <v>0.2456690916945328</v>
      </c>
      <c r="AB439" s="538">
        <f>Z439-J439</f>
        <v>0</v>
      </c>
      <c r="AC439" s="538"/>
      <c r="AD439" s="563"/>
      <c r="AM439" s="560"/>
    </row>
    <row r="440" spans="1:39">
      <c r="A440" s="6">
        <f>MAX(A$417:A439)+1</f>
        <v>209</v>
      </c>
      <c r="B440" s="58"/>
      <c r="C440" s="501" t="s">
        <v>327</v>
      </c>
      <c r="D440" s="58"/>
      <c r="E440" s="30"/>
      <c r="F440" s="58"/>
      <c r="G440" s="411">
        <f>SUM(G438:G439)</f>
        <v>0</v>
      </c>
      <c r="H440" s="619"/>
      <c r="I440" s="619">
        <v>0</v>
      </c>
      <c r="J440" s="619">
        <f>SUM(J438:J439)</f>
        <v>0</v>
      </c>
      <c r="K440" s="564"/>
      <c r="L440" s="555">
        <f>SUM(L438:L439)</f>
        <v>0</v>
      </c>
      <c r="M440" s="555">
        <f t="shared" ref="M440:Q440" si="154">SUM(M438:M439)</f>
        <v>0</v>
      </c>
      <c r="N440" s="555">
        <f t="shared" si="154"/>
        <v>0</v>
      </c>
      <c r="O440" s="555">
        <f t="shared" si="154"/>
        <v>0</v>
      </c>
      <c r="P440" s="555">
        <f t="shared" si="154"/>
        <v>0</v>
      </c>
      <c r="Q440" s="555">
        <f t="shared" si="154"/>
        <v>0</v>
      </c>
      <c r="R440" s="538"/>
      <c r="S440" s="555">
        <f t="shared" ref="S440:X440" si="155">SUM(S438:S439)</f>
        <v>0</v>
      </c>
      <c r="T440" s="555">
        <f t="shared" si="155"/>
        <v>0</v>
      </c>
      <c r="U440" s="555">
        <f t="shared" si="155"/>
        <v>0</v>
      </c>
      <c r="V440" s="555">
        <f t="shared" si="155"/>
        <v>0</v>
      </c>
      <c r="W440" s="555">
        <f t="shared" si="155"/>
        <v>0</v>
      </c>
      <c r="X440" s="555">
        <f t="shared" si="155"/>
        <v>0</v>
      </c>
      <c r="Y440" s="538"/>
      <c r="Z440" s="555">
        <f t="shared" ref="Z440" si="156">SUM(Z438:Z439)</f>
        <v>0</v>
      </c>
      <c r="AA440" s="555">
        <v>0</v>
      </c>
      <c r="AB440" s="555">
        <f t="shared" ref="AB440" si="157">SUM(AB438:AB439)</f>
        <v>0</v>
      </c>
      <c r="AC440" s="555"/>
      <c r="AD440" s="563"/>
      <c r="AF440" s="22"/>
      <c r="AI440" s="22"/>
      <c r="AK440" s="22"/>
      <c r="AM440" s="22"/>
    </row>
    <row r="441" spans="1:39">
      <c r="A441" s="6"/>
      <c r="B441" s="58"/>
      <c r="C441" s="10"/>
      <c r="D441" s="58"/>
      <c r="E441" s="30"/>
      <c r="F441" s="58"/>
      <c r="G441" s="132"/>
      <c r="H441" s="564"/>
      <c r="I441" s="564"/>
      <c r="J441" s="564"/>
      <c r="K441" s="564"/>
      <c r="L441" s="538"/>
      <c r="M441" s="538"/>
      <c r="N441" s="538"/>
      <c r="O441" s="538"/>
      <c r="P441" s="538"/>
      <c r="Q441" s="538"/>
      <c r="R441" s="564"/>
      <c r="S441" s="564"/>
      <c r="T441" s="538"/>
      <c r="U441" s="538"/>
      <c r="V441" s="538"/>
      <c r="W441" s="538"/>
      <c r="X441" s="538"/>
      <c r="Y441" s="564"/>
      <c r="Z441" s="564"/>
      <c r="AA441" s="564"/>
      <c r="AB441" s="538"/>
      <c r="AC441" s="538"/>
      <c r="AD441" s="563"/>
      <c r="AM441" s="560"/>
    </row>
    <row r="442" spans="1:39" ht="12.95" thickBot="1">
      <c r="A442" s="6">
        <f>MAX(A$417:A441)+1</f>
        <v>210</v>
      </c>
      <c r="B442" s="58"/>
      <c r="C442" s="10" t="s">
        <v>282</v>
      </c>
      <c r="D442" s="58"/>
      <c r="E442" s="591"/>
      <c r="F442" s="58"/>
      <c r="G442" s="439">
        <f>G420</f>
        <v>1076377.9679700001</v>
      </c>
      <c r="H442" s="564"/>
      <c r="I442" s="681">
        <f>J442/G442*100</f>
        <v>1.0988131295190642</v>
      </c>
      <c r="J442" s="628">
        <f>J424+J435+J440</f>
        <v>11827.382435304869</v>
      </c>
      <c r="K442" s="564"/>
      <c r="L442" s="628">
        <f t="shared" ref="L442:AB442" si="158">L424+L435+L440</f>
        <v>1224.9183929174201</v>
      </c>
      <c r="M442" s="628">
        <f t="shared" si="158"/>
        <v>13.760700020675317</v>
      </c>
      <c r="N442" s="628">
        <f t="shared" si="158"/>
        <v>23.194032140369998</v>
      </c>
      <c r="O442" s="628">
        <f t="shared" si="158"/>
        <v>0</v>
      </c>
      <c r="P442" s="628">
        <f t="shared" si="158"/>
        <v>0</v>
      </c>
      <c r="Q442" s="628">
        <f t="shared" si="158"/>
        <v>10565.509310226402</v>
      </c>
      <c r="R442" s="564"/>
      <c r="S442" s="628">
        <f t="shared" si="158"/>
        <v>288.70556933791829</v>
      </c>
      <c r="T442" s="628">
        <f t="shared" si="158"/>
        <v>905.45719952283821</v>
      </c>
      <c r="U442" s="628">
        <f t="shared" si="158"/>
        <v>13.37923487947986</v>
      </c>
      <c r="V442" s="628">
        <f t="shared" si="158"/>
        <v>21.741472610862168</v>
      </c>
      <c r="W442" s="628">
        <f t="shared" si="158"/>
        <v>0</v>
      </c>
      <c r="X442" s="628">
        <f t="shared" si="158"/>
        <v>0</v>
      </c>
      <c r="Y442" s="539"/>
      <c r="Z442" s="627">
        <f t="shared" si="158"/>
        <v>11794.792786577502</v>
      </c>
      <c r="AA442" s="651">
        <f>Z442/G442*100</f>
        <v>1.0957854153055497</v>
      </c>
      <c r="AB442" s="638">
        <f t="shared" si="158"/>
        <v>-32.589648727366828</v>
      </c>
      <c r="AC442" s="629">
        <f>AA442/I442-1</f>
        <v>-2.7554405132014237E-3</v>
      </c>
      <c r="AD442" s="630"/>
      <c r="AF442" s="543"/>
      <c r="AH442" s="543"/>
      <c r="AI442" s="543"/>
      <c r="AK442" s="543"/>
      <c r="AM442" s="560"/>
    </row>
    <row r="443" spans="1:39" ht="12.95" thickTop="1">
      <c r="A443" s="6"/>
      <c r="L443" s="501"/>
      <c r="M443" s="501"/>
      <c r="N443" s="501"/>
      <c r="O443" s="501"/>
      <c r="P443" s="501"/>
      <c r="Q443" s="501"/>
      <c r="T443" s="501"/>
      <c r="U443" s="501"/>
      <c r="V443" s="501"/>
      <c r="W443" s="501"/>
      <c r="X443" s="501"/>
      <c r="AB443" s="534"/>
      <c r="AC443" s="501"/>
      <c r="AF443" s="543"/>
      <c r="AH443" s="543"/>
      <c r="AI443" s="543"/>
      <c r="AK443" s="543"/>
    </row>
    <row r="444" spans="1:39">
      <c r="A444" s="6"/>
      <c r="B444" s="581"/>
      <c r="C444" s="652" t="s">
        <v>145</v>
      </c>
      <c r="D444" s="581"/>
      <c r="E444" s="581"/>
      <c r="F444" s="581"/>
      <c r="G444" s="581"/>
      <c r="H444" s="581"/>
      <c r="I444" s="581"/>
      <c r="J444" s="581"/>
      <c r="K444" s="581"/>
      <c r="L444" s="501"/>
      <c r="M444" s="501"/>
      <c r="N444" s="501"/>
      <c r="O444" s="501"/>
      <c r="P444" s="501"/>
      <c r="Q444" s="501"/>
      <c r="R444" s="581"/>
      <c r="S444" s="581"/>
      <c r="T444" s="501"/>
      <c r="U444" s="501"/>
      <c r="V444" s="501"/>
      <c r="W444" s="501"/>
      <c r="X444" s="501"/>
      <c r="Y444" s="581"/>
      <c r="Z444" s="581"/>
      <c r="AA444" s="581"/>
      <c r="AB444" s="501"/>
      <c r="AC444" s="501"/>
    </row>
    <row r="445" spans="1:39">
      <c r="A445" s="6"/>
      <c r="B445" s="57"/>
      <c r="C445" s="9" t="s">
        <v>146</v>
      </c>
      <c r="D445" s="57"/>
      <c r="E445" s="3"/>
      <c r="F445" s="57"/>
      <c r="G445" s="536"/>
      <c r="H445" s="57"/>
      <c r="I445" s="57"/>
      <c r="J445" s="57"/>
      <c r="K445" s="57"/>
      <c r="L445" s="501"/>
      <c r="M445" s="501"/>
      <c r="N445" s="501"/>
      <c r="O445" s="501"/>
      <c r="P445" s="501"/>
      <c r="Q445" s="501"/>
      <c r="R445" s="57"/>
      <c r="S445" s="57"/>
      <c r="T445" s="501"/>
      <c r="U445" s="501"/>
      <c r="V445" s="501"/>
      <c r="W445" s="501"/>
      <c r="X445" s="501"/>
      <c r="Y445" s="57"/>
      <c r="Z445" s="57"/>
      <c r="AA445" s="57"/>
      <c r="AB445" s="501"/>
      <c r="AC445" s="501"/>
    </row>
    <row r="446" spans="1:39">
      <c r="A446" s="6">
        <f>MAX(A$417:A445)+1</f>
        <v>211</v>
      </c>
      <c r="B446" s="3"/>
      <c r="C446" s="10" t="s">
        <v>258</v>
      </c>
      <c r="D446" s="3"/>
      <c r="E446" s="57" t="s">
        <v>259</v>
      </c>
      <c r="F446" s="3"/>
      <c r="G446" s="536">
        <v>14450119.000000004</v>
      </c>
      <c r="H446" s="616"/>
      <c r="I446" s="537">
        <v>22.98</v>
      </c>
      <c r="J446" s="624">
        <f>G446*I446/1000</f>
        <v>332063.73462000006</v>
      </c>
      <c r="K446" s="616"/>
      <c r="L446" s="29">
        <v>0</v>
      </c>
      <c r="M446" s="29">
        <v>0</v>
      </c>
      <c r="N446" s="29">
        <v>0</v>
      </c>
      <c r="O446" s="29">
        <v>0</v>
      </c>
      <c r="P446" s="29">
        <v>0</v>
      </c>
      <c r="Q446" s="538">
        <f>J446-L446-M446-N446-O446-P446</f>
        <v>332063.73462000006</v>
      </c>
      <c r="R446" s="584"/>
      <c r="S446" s="29">
        <v>9073.7366978751379</v>
      </c>
      <c r="T446" s="29">
        <v>32546.953093803524</v>
      </c>
      <c r="U446" s="29">
        <v>0</v>
      </c>
      <c r="V446" s="29">
        <v>0</v>
      </c>
      <c r="W446" s="29">
        <v>0</v>
      </c>
      <c r="X446" s="29">
        <v>0</v>
      </c>
      <c r="Y446" s="616"/>
      <c r="Z446" s="624">
        <f>Q446+S446+T446+U446+V446+W446+X446</f>
        <v>373684.42441167874</v>
      </c>
      <c r="AA446" s="682">
        <f>Z446/G446*1000</f>
        <v>25.86030083293284</v>
      </c>
      <c r="AB446" s="534">
        <f>Z446-J446</f>
        <v>41620.689791678684</v>
      </c>
      <c r="AC446" s="541">
        <f>AA446/I446-1</f>
        <v>0.1253394618334569</v>
      </c>
      <c r="AD446" s="542"/>
      <c r="AF446" s="543"/>
      <c r="AI446" s="543"/>
      <c r="AK446" s="543"/>
      <c r="AM446" s="560"/>
    </row>
    <row r="447" spans="1:39">
      <c r="A447" s="6"/>
      <c r="B447" s="5"/>
      <c r="C447" s="521" t="s">
        <v>260</v>
      </c>
      <c r="D447" s="5"/>
      <c r="E447" s="6"/>
      <c r="F447" s="5"/>
      <c r="G447" s="536"/>
      <c r="H447" s="659"/>
      <c r="I447" s="637"/>
      <c r="J447" s="659"/>
      <c r="K447" s="659"/>
      <c r="L447" s="538"/>
      <c r="M447" s="538"/>
      <c r="N447" s="538"/>
      <c r="O447" s="538"/>
      <c r="P447" s="538"/>
      <c r="Q447" s="538"/>
      <c r="R447" s="585"/>
      <c r="S447" s="675"/>
      <c r="T447" s="538"/>
      <c r="U447" s="538"/>
      <c r="V447" s="538"/>
      <c r="W447" s="538"/>
      <c r="X447" s="538"/>
      <c r="Y447" s="659"/>
      <c r="Z447" s="624"/>
      <c r="AA447" s="683"/>
      <c r="AB447" s="534"/>
      <c r="AC447" s="541"/>
      <c r="AD447" s="542"/>
      <c r="AF447" s="543"/>
      <c r="AI447" s="543"/>
      <c r="AK447" s="543"/>
      <c r="AM447" s="560"/>
    </row>
    <row r="448" spans="1:39">
      <c r="A448" s="6">
        <f>MAX(A$417:A447)+1</f>
        <v>212</v>
      </c>
      <c r="B448" s="58"/>
      <c r="C448" s="526" t="s">
        <v>336</v>
      </c>
      <c r="D448" s="58"/>
      <c r="E448" s="522" t="s">
        <v>262</v>
      </c>
      <c r="F448" s="58"/>
      <c r="G448" s="536">
        <v>1046589.5733471487</v>
      </c>
      <c r="H448" s="539"/>
      <c r="I448" s="684">
        <v>6.5343999999999998</v>
      </c>
      <c r="J448" s="539">
        <f>G448*I448/100</f>
        <v>68388.349080796077</v>
      </c>
      <c r="K448" s="539"/>
      <c r="L448" s="29">
        <v>10200.061981841312</v>
      </c>
      <c r="M448" s="29">
        <v>2516.2061097543501</v>
      </c>
      <c r="N448" s="29">
        <v>537.13752971477163</v>
      </c>
      <c r="O448" s="29">
        <v>451.94876588582991</v>
      </c>
      <c r="P448" s="29">
        <v>380.18471025926925</v>
      </c>
      <c r="Q448" s="538">
        <f>J448-L448-M448-N448-O448-P448</f>
        <v>54302.809983340543</v>
      </c>
      <c r="R448" s="564"/>
      <c r="S448" s="29">
        <v>1481.3608531078717</v>
      </c>
      <c r="T448" s="29">
        <v>2187.6249311468928</v>
      </c>
      <c r="U448" s="29">
        <v>2446.4217884023064</v>
      </c>
      <c r="V448" s="29">
        <v>503.49852151121399</v>
      </c>
      <c r="W448" s="29">
        <v>555.17562938307719</v>
      </c>
      <c r="X448" s="29">
        <v>380.61321004098534</v>
      </c>
      <c r="Y448" s="539"/>
      <c r="Z448" s="624">
        <f>Q448+S448+T448+U448+V448+W448+X448</f>
        <v>61857.5049169329</v>
      </c>
      <c r="AA448" s="680">
        <f>Z448/G448*100</f>
        <v>5.9103880348342681</v>
      </c>
      <c r="AB448" s="549">
        <f>Z448-J448</f>
        <v>-6530.8441638631775</v>
      </c>
      <c r="AC448" s="541"/>
      <c r="AD448" s="542"/>
      <c r="AF448" s="543"/>
      <c r="AI448" s="543"/>
      <c r="AK448" s="543"/>
      <c r="AM448" s="560"/>
    </row>
    <row r="449" spans="1:39">
      <c r="A449" s="6">
        <f>MAX(A$417:A448)+1</f>
        <v>213</v>
      </c>
      <c r="B449" s="58"/>
      <c r="C449" s="526" t="s">
        <v>337</v>
      </c>
      <c r="D449" s="58"/>
      <c r="E449" s="522" t="s">
        <v>262</v>
      </c>
      <c r="F449" s="58"/>
      <c r="G449" s="536">
        <v>935574.92126953974</v>
      </c>
      <c r="H449" s="539"/>
      <c r="I449" s="684">
        <v>6.2202999999999999</v>
      </c>
      <c r="J449" s="539">
        <f t="shared" ref="J449:J450" si="159">G449*I449/100</f>
        <v>58195.566827729177</v>
      </c>
      <c r="K449" s="539"/>
      <c r="L449" s="29">
        <v>8656.8747465070519</v>
      </c>
      <c r="M449" s="29">
        <v>2249.3051650635143</v>
      </c>
      <c r="N449" s="29">
        <v>480.16186561713903</v>
      </c>
      <c r="O449" s="29">
        <v>404.00930969455555</v>
      </c>
      <c r="P449" s="29">
        <v>339.85746602762833</v>
      </c>
      <c r="Q449" s="538">
        <f>J449-L449-M449-N449-O449-P449</f>
        <v>46065.358274819278</v>
      </c>
      <c r="R449" s="564"/>
      <c r="S449" s="29">
        <v>1256.5330781023149</v>
      </c>
      <c r="T449" s="29">
        <v>1955.577501292534</v>
      </c>
      <c r="U449" s="29">
        <v>2186.9230597784554</v>
      </c>
      <c r="V449" s="29">
        <v>450.09104009670381</v>
      </c>
      <c r="W449" s="29">
        <v>496.28661414014903</v>
      </c>
      <c r="X449" s="29">
        <v>340.24051365179002</v>
      </c>
      <c r="Y449" s="539"/>
      <c r="Z449" s="624">
        <f>Q449+S449+T449+U449+V449+W449+X449</f>
        <v>52751.010081881228</v>
      </c>
      <c r="AA449" s="680">
        <f>Z449/G449*100</f>
        <v>5.6383522989586021</v>
      </c>
      <c r="AB449" s="549">
        <f>Z449-J449</f>
        <v>-5444.5567458479491</v>
      </c>
      <c r="AC449" s="541"/>
      <c r="AD449" s="542"/>
      <c r="AF449" s="543"/>
      <c r="AI449" s="543"/>
      <c r="AK449" s="543"/>
      <c r="AM449" s="560"/>
    </row>
    <row r="450" spans="1:39">
      <c r="A450" s="6">
        <f>MAX(A$417:A449)+1</f>
        <v>214</v>
      </c>
      <c r="B450" s="58"/>
      <c r="C450" s="526" t="s">
        <v>338</v>
      </c>
      <c r="D450" s="58"/>
      <c r="E450" s="522" t="s">
        <v>262</v>
      </c>
      <c r="F450" s="58"/>
      <c r="G450" s="536">
        <v>1256700.005050699</v>
      </c>
      <c r="H450" s="539"/>
      <c r="I450" s="684">
        <v>5.4088000000000003</v>
      </c>
      <c r="J450" s="539">
        <f t="shared" si="159"/>
        <v>67972.389873182212</v>
      </c>
      <c r="K450" s="539"/>
      <c r="L450" s="29">
        <v>10027.209340299527</v>
      </c>
      <c r="M450" s="29">
        <v>3021.3526977189108</v>
      </c>
      <c r="N450" s="29">
        <v>644.97177642106351</v>
      </c>
      <c r="O450" s="29">
        <v>542.68075168659141</v>
      </c>
      <c r="P450" s="29">
        <v>456.50954248953281</v>
      </c>
      <c r="Q450" s="538">
        <f>J450-L450-M450-N450-O450-P450</f>
        <v>53279.665764566591</v>
      </c>
      <c r="R450" s="564"/>
      <c r="S450" s="29">
        <v>1452.9054690567355</v>
      </c>
      <c r="T450" s="29">
        <v>2626.8064693488427</v>
      </c>
      <c r="U450" s="29">
        <v>2937.5586687806117</v>
      </c>
      <c r="V450" s="29">
        <v>604.57949385311053</v>
      </c>
      <c r="W450" s="29">
        <v>666.63115515132131</v>
      </c>
      <c r="X450" s="29">
        <v>457.02406670376195</v>
      </c>
      <c r="Y450" s="539"/>
      <c r="Z450" s="624">
        <f>Q450+S450+T450+U450+V450+W450+X450</f>
        <v>62025.171087460978</v>
      </c>
      <c r="AA450" s="680">
        <f>Z450/G450*100</f>
        <v>4.9355590704369181</v>
      </c>
      <c r="AB450" s="549">
        <f>Z450-J450</f>
        <v>-5947.2187857212339</v>
      </c>
      <c r="AC450" s="541"/>
      <c r="AD450" s="542"/>
      <c r="AF450" s="543"/>
      <c r="AI450" s="543"/>
      <c r="AK450" s="543"/>
      <c r="AM450" s="560"/>
    </row>
    <row r="451" spans="1:39" ht="12.95">
      <c r="A451" s="6">
        <f>MAX(A$417:A450)+1</f>
        <v>215</v>
      </c>
      <c r="B451" s="58"/>
      <c r="C451" s="521" t="s">
        <v>260</v>
      </c>
      <c r="D451" s="58"/>
      <c r="E451" s="128"/>
      <c r="F451" s="58"/>
      <c r="G451" s="550">
        <f>SUM(G448:G450)</f>
        <v>3238864.4996673875</v>
      </c>
      <c r="H451" s="539"/>
      <c r="I451" s="556">
        <f>J451/G451*100</f>
        <v>6.0069294594351588</v>
      </c>
      <c r="J451" s="554">
        <f>SUM(J448:J450)</f>
        <v>194556.30578170746</v>
      </c>
      <c r="K451" s="539"/>
      <c r="L451" s="555">
        <f>SUM(L448:L450)</f>
        <v>28884.146068647893</v>
      </c>
      <c r="M451" s="555">
        <f t="shared" ref="M451:Q451" si="160">SUM(M448:M450)</f>
        <v>7786.8639725367757</v>
      </c>
      <c r="N451" s="555">
        <f t="shared" si="160"/>
        <v>1662.2711717529742</v>
      </c>
      <c r="O451" s="555">
        <f t="shared" si="160"/>
        <v>1398.6388272669769</v>
      </c>
      <c r="P451" s="555">
        <f t="shared" si="160"/>
        <v>1176.5517187764303</v>
      </c>
      <c r="Q451" s="555">
        <f t="shared" si="160"/>
        <v>153647.83402272643</v>
      </c>
      <c r="R451" s="538"/>
      <c r="S451" s="619">
        <f>SUM(S448:S450)</f>
        <v>4190.799400266922</v>
      </c>
      <c r="T451" s="619">
        <f t="shared" ref="T451:X451" si="161">SUM(T448:T450)</f>
        <v>6770.0089017882692</v>
      </c>
      <c r="U451" s="619">
        <f t="shared" si="161"/>
        <v>7570.9035169613735</v>
      </c>
      <c r="V451" s="619">
        <f t="shared" si="161"/>
        <v>1558.1690554610284</v>
      </c>
      <c r="W451" s="619">
        <f t="shared" si="161"/>
        <v>1718.0933986745476</v>
      </c>
      <c r="X451" s="619">
        <f t="shared" si="161"/>
        <v>1177.8777903965374</v>
      </c>
      <c r="Y451" s="539"/>
      <c r="Z451" s="554">
        <f>SUM(Z448:Z450)</f>
        <v>176633.68608627509</v>
      </c>
      <c r="AA451" s="677">
        <f>Z451/G451*100</f>
        <v>5.4535682522197</v>
      </c>
      <c r="AB451" s="557">
        <f>SUM(AB448:AB450)</f>
        <v>-17922.61969543236</v>
      </c>
      <c r="AC451" s="558">
        <f>AA451/I451-1</f>
        <v>-9.2120477017802793E-2</v>
      </c>
      <c r="AD451" s="559"/>
      <c r="AF451" s="543"/>
      <c r="AI451" s="543"/>
      <c r="AK451" s="543"/>
      <c r="AM451" s="560"/>
    </row>
    <row r="452" spans="1:39">
      <c r="A452" s="6"/>
      <c r="B452" s="58"/>
      <c r="C452" s="10"/>
      <c r="D452" s="58"/>
      <c r="E452" s="30"/>
      <c r="F452" s="58"/>
      <c r="G452" s="536"/>
      <c r="H452" s="539"/>
      <c r="I452" s="548"/>
      <c r="J452" s="539"/>
      <c r="K452" s="539"/>
      <c r="L452" s="538"/>
      <c r="M452" s="538"/>
      <c r="N452" s="538"/>
      <c r="O452" s="538"/>
      <c r="P452" s="538"/>
      <c r="Q452" s="538"/>
      <c r="R452" s="564"/>
      <c r="S452" s="564"/>
      <c r="T452" s="538"/>
      <c r="U452" s="538"/>
      <c r="V452" s="538"/>
      <c r="W452" s="538"/>
      <c r="X452" s="538"/>
      <c r="Y452" s="539"/>
      <c r="Z452" s="539"/>
      <c r="AA452" s="539"/>
      <c r="AB452" s="534"/>
      <c r="AC452" s="534"/>
      <c r="AD452" s="530"/>
      <c r="AF452" s="543"/>
      <c r="AI452" s="543"/>
      <c r="AK452" s="543"/>
      <c r="AM452" s="560"/>
    </row>
    <row r="453" spans="1:39">
      <c r="A453" s="6">
        <f>MAX(A$417:A452)+1</f>
        <v>216</v>
      </c>
      <c r="B453" s="58"/>
      <c r="C453" s="10" t="s">
        <v>266</v>
      </c>
      <c r="D453" s="58"/>
      <c r="E453" s="30"/>
      <c r="F453" s="58"/>
      <c r="G453" s="553">
        <f>G451</f>
        <v>3238864.4996673875</v>
      </c>
      <c r="H453" s="539"/>
      <c r="I453" s="556">
        <f>J453/G453*100</f>
        <v>16.259403270985505</v>
      </c>
      <c r="J453" s="554">
        <f>J446+J451</f>
        <v>526620.04040170752</v>
      </c>
      <c r="K453" s="539"/>
      <c r="L453" s="619">
        <f t="shared" ref="L453:Z453" si="162">L446+L451</f>
        <v>28884.146068647893</v>
      </c>
      <c r="M453" s="619">
        <f t="shared" si="162"/>
        <v>7786.8639725367757</v>
      </c>
      <c r="N453" s="619">
        <f t="shared" si="162"/>
        <v>1662.2711717529742</v>
      </c>
      <c r="O453" s="619">
        <f t="shared" si="162"/>
        <v>1398.6388272669769</v>
      </c>
      <c r="P453" s="619">
        <f t="shared" si="162"/>
        <v>1176.5517187764303</v>
      </c>
      <c r="Q453" s="619">
        <f t="shared" si="162"/>
        <v>485711.56864272652</v>
      </c>
      <c r="R453" s="564"/>
      <c r="S453" s="619">
        <f t="shared" si="162"/>
        <v>13264.53609814206</v>
      </c>
      <c r="T453" s="619">
        <f t="shared" si="162"/>
        <v>39316.961995591795</v>
      </c>
      <c r="U453" s="619">
        <f t="shared" si="162"/>
        <v>7570.9035169613735</v>
      </c>
      <c r="V453" s="619">
        <f t="shared" si="162"/>
        <v>1558.1690554610284</v>
      </c>
      <c r="W453" s="619">
        <f t="shared" si="162"/>
        <v>1718.0933986745476</v>
      </c>
      <c r="X453" s="619">
        <f t="shared" si="162"/>
        <v>1177.8777903965374</v>
      </c>
      <c r="Y453" s="539"/>
      <c r="Z453" s="554">
        <f t="shared" si="162"/>
        <v>550318.11049795384</v>
      </c>
      <c r="AA453" s="677">
        <f>Z453/G453*100</f>
        <v>16.991081613771378</v>
      </c>
      <c r="AB453" s="554">
        <f>AB446+AB451</f>
        <v>23698.070096246323</v>
      </c>
      <c r="AC453" s="656">
        <f>AA453/I453-1</f>
        <v>4.5000319543801126E-2</v>
      </c>
      <c r="AD453" s="630"/>
      <c r="AF453" s="543"/>
      <c r="AI453" s="543"/>
      <c r="AK453" s="543"/>
      <c r="AM453" s="560"/>
    </row>
    <row r="454" spans="1:39">
      <c r="A454" s="6"/>
      <c r="B454" s="58"/>
      <c r="C454" s="526"/>
      <c r="D454" s="58"/>
      <c r="E454" s="522"/>
      <c r="F454" s="58"/>
      <c r="G454" s="536"/>
      <c r="H454" s="539"/>
      <c r="I454" s="548"/>
      <c r="J454" s="539"/>
      <c r="K454" s="539"/>
      <c r="L454" s="538"/>
      <c r="M454" s="538"/>
      <c r="N454" s="538"/>
      <c r="O454" s="538"/>
      <c r="P454" s="538"/>
      <c r="Q454" s="538"/>
      <c r="R454" s="564"/>
      <c r="S454" s="564"/>
      <c r="T454" s="538"/>
      <c r="U454" s="538"/>
      <c r="V454" s="538"/>
      <c r="W454" s="538"/>
      <c r="X454" s="538"/>
      <c r="Y454" s="539"/>
      <c r="Z454" s="539"/>
      <c r="AA454" s="539"/>
      <c r="AB454" s="534"/>
      <c r="AC454" s="534"/>
      <c r="AD454" s="530"/>
      <c r="AF454" s="543"/>
      <c r="AI454" s="543"/>
      <c r="AK454" s="543"/>
      <c r="AM454" s="560"/>
    </row>
    <row r="455" spans="1:39">
      <c r="A455" s="6">
        <f>MAX(A$417:A454)+1</f>
        <v>217</v>
      </c>
      <c r="B455" s="58"/>
      <c r="C455" s="521" t="s">
        <v>339</v>
      </c>
      <c r="D455" s="58"/>
      <c r="E455" s="522" t="s">
        <v>262</v>
      </c>
      <c r="F455" s="58"/>
      <c r="G455" s="536">
        <v>3238864.4996673875</v>
      </c>
      <c r="H455" s="539"/>
      <c r="I455" s="684">
        <v>0.90249999999999997</v>
      </c>
      <c r="J455" s="539">
        <f>G455*I455/100</f>
        <v>29230.752109498171</v>
      </c>
      <c r="K455" s="539"/>
      <c r="L455" s="29">
        <v>0</v>
      </c>
      <c r="M455" s="29">
        <v>0</v>
      </c>
      <c r="N455" s="29">
        <v>0</v>
      </c>
      <c r="O455" s="29">
        <v>634.41530160156981</v>
      </c>
      <c r="P455" s="29">
        <v>1006.5128752333441</v>
      </c>
      <c r="Q455" s="538">
        <f>J455-L455-M455-N455-O455-P455</f>
        <v>27589.823932663257</v>
      </c>
      <c r="R455" s="564"/>
      <c r="S455" s="29">
        <v>753.86770659609829</v>
      </c>
      <c r="T455" s="29">
        <v>0</v>
      </c>
      <c r="U455" s="29">
        <v>0</v>
      </c>
      <c r="V455" s="29">
        <v>0</v>
      </c>
      <c r="W455" s="29">
        <v>779.31823459361112</v>
      </c>
      <c r="X455" s="29">
        <v>1007.6472989376477</v>
      </c>
      <c r="Y455" s="539"/>
      <c r="Z455" s="539">
        <f>Q455+S455+T455+U455+V455+W455+X455</f>
        <v>30130.657172790616</v>
      </c>
      <c r="AA455" s="680">
        <f>Z455/G455*100</f>
        <v>0.9302845851033551</v>
      </c>
      <c r="AB455" s="534">
        <f>Z455-J455</f>
        <v>899.90506329244454</v>
      </c>
      <c r="AC455" s="541">
        <f>AA455/I455-1</f>
        <v>3.0786243881834041E-2</v>
      </c>
      <c r="AD455" s="542"/>
      <c r="AF455" s="543"/>
      <c r="AI455" s="543"/>
      <c r="AK455" s="543"/>
      <c r="AM455" s="560"/>
    </row>
    <row r="456" spans="1:39">
      <c r="A456" s="6"/>
      <c r="B456" s="58"/>
      <c r="C456" s="10"/>
      <c r="D456" s="58"/>
      <c r="E456" s="30"/>
      <c r="F456" s="58"/>
      <c r="G456" s="624"/>
      <c r="H456" s="539"/>
      <c r="I456" s="548"/>
      <c r="J456" s="539"/>
      <c r="K456" s="539"/>
      <c r="L456" s="538"/>
      <c r="M456" s="538"/>
      <c r="N456" s="538"/>
      <c r="O456" s="538"/>
      <c r="P456" s="538"/>
      <c r="Q456" s="538"/>
      <c r="R456" s="564"/>
      <c r="S456" s="564"/>
      <c r="T456" s="538"/>
      <c r="U456" s="538"/>
      <c r="V456" s="538"/>
      <c r="W456" s="538"/>
      <c r="X456" s="538"/>
      <c r="Y456" s="539"/>
      <c r="Z456" s="539"/>
      <c r="AA456" s="680"/>
      <c r="AB456" s="534"/>
      <c r="AC456" s="541"/>
      <c r="AD456" s="542"/>
      <c r="AF456" s="543"/>
      <c r="AI456" s="543"/>
      <c r="AK456" s="543"/>
      <c r="AM456" s="560"/>
    </row>
    <row r="457" spans="1:39">
      <c r="A457" s="6">
        <f>MAX(A$417:A456)+1</f>
        <v>218</v>
      </c>
      <c r="B457" s="58"/>
      <c r="C457" s="10" t="s">
        <v>270</v>
      </c>
      <c r="D457" s="58"/>
      <c r="E457" s="522" t="s">
        <v>262</v>
      </c>
      <c r="F457" s="58"/>
      <c r="G457" s="536">
        <v>3057016.7994900364</v>
      </c>
      <c r="H457" s="539"/>
      <c r="I457" s="684">
        <v>20.538400000000003</v>
      </c>
      <c r="J457" s="539">
        <f t="shared" ref="J457" si="163">G457*I457/100</f>
        <v>627862.33834646177</v>
      </c>
      <c r="K457" s="539"/>
      <c r="L457" s="29">
        <v>0</v>
      </c>
      <c r="M457" s="29">
        <v>0</v>
      </c>
      <c r="N457" s="29">
        <v>0</v>
      </c>
      <c r="O457" s="29">
        <v>0</v>
      </c>
      <c r="P457" s="29">
        <v>0</v>
      </c>
      <c r="Q457" s="538">
        <f>J457-L457-M457-N457-O457-P457</f>
        <v>627862.33834646177</v>
      </c>
      <c r="R457" s="564"/>
      <c r="S457" s="29">
        <v>-61.73152254162278</v>
      </c>
      <c r="T457" s="29">
        <v>0</v>
      </c>
      <c r="U457" s="29">
        <v>0</v>
      </c>
      <c r="V457" s="29">
        <v>0</v>
      </c>
      <c r="W457" s="29">
        <v>0</v>
      </c>
      <c r="X457" s="29">
        <v>0</v>
      </c>
      <c r="Y457" s="539"/>
      <c r="Z457" s="539">
        <f>Q457+S457+T457+U457+V457+W457+X457</f>
        <v>627800.60682392016</v>
      </c>
      <c r="AA457" s="680">
        <f>Z457/G457*100</f>
        <v>20.536380661324731</v>
      </c>
      <c r="AB457" s="549">
        <f>Z457-J457</f>
        <v>-61.731522541609593</v>
      </c>
      <c r="AC457" s="541">
        <f>AA457/I457-1</f>
        <v>-9.8320155185960267E-5</v>
      </c>
      <c r="AD457" s="667"/>
      <c r="AF457" s="543"/>
      <c r="AI457" s="543"/>
      <c r="AK457" s="543"/>
      <c r="AM457" s="560"/>
    </row>
    <row r="458" spans="1:39">
      <c r="A458" s="6"/>
      <c r="B458" s="58"/>
      <c r="C458" s="10"/>
      <c r="D458" s="58"/>
      <c r="E458" s="30"/>
      <c r="F458" s="58"/>
      <c r="G458" s="536"/>
      <c r="H458" s="539"/>
      <c r="I458" s="539"/>
      <c r="J458" s="539"/>
      <c r="K458" s="539"/>
      <c r="L458" s="538"/>
      <c r="M458" s="538"/>
      <c r="N458" s="538"/>
      <c r="O458" s="538"/>
      <c r="P458" s="538"/>
      <c r="Q458" s="538"/>
      <c r="R458" s="564"/>
      <c r="S458" s="564"/>
      <c r="T458" s="538"/>
      <c r="U458" s="538"/>
      <c r="V458" s="538"/>
      <c r="W458" s="29"/>
      <c r="X458" s="538"/>
      <c r="Y458" s="539"/>
      <c r="Z458" s="539"/>
      <c r="AA458" s="539"/>
      <c r="AB458" s="534"/>
      <c r="AC458" s="534"/>
      <c r="AD458" s="667"/>
      <c r="AF458" s="543"/>
      <c r="AI458" s="543"/>
      <c r="AK458" s="543"/>
      <c r="AM458" s="560"/>
    </row>
    <row r="459" spans="1:39" ht="12.95" thickBot="1">
      <c r="A459" s="6">
        <f>MAX(A$417:A458)+1</f>
        <v>219</v>
      </c>
      <c r="B459" s="58"/>
      <c r="C459" s="10" t="s">
        <v>340</v>
      </c>
      <c r="D459" s="58"/>
      <c r="E459" s="30"/>
      <c r="F459" s="58"/>
      <c r="G459" s="588">
        <f>G451</f>
        <v>3238864.4996673875</v>
      </c>
      <c r="H459" s="539"/>
      <c r="I459" s="651">
        <f>J459/G459*100</f>
        <v>36.547164321916767</v>
      </c>
      <c r="J459" s="627">
        <f>J453+J455+J457</f>
        <v>1183713.1308576674</v>
      </c>
      <c r="K459" s="539"/>
      <c r="L459" s="628">
        <f t="shared" ref="L459:Q459" si="164">L453+L455+L457</f>
        <v>28884.146068647893</v>
      </c>
      <c r="M459" s="628">
        <f t="shared" si="164"/>
        <v>7786.8639725367757</v>
      </c>
      <c r="N459" s="628">
        <f t="shared" si="164"/>
        <v>1662.2711717529742</v>
      </c>
      <c r="O459" s="628">
        <f t="shared" si="164"/>
        <v>2033.0541288685467</v>
      </c>
      <c r="P459" s="628">
        <f t="shared" si="164"/>
        <v>2183.0645940097743</v>
      </c>
      <c r="Q459" s="628">
        <f t="shared" si="164"/>
        <v>1141163.7309218515</v>
      </c>
      <c r="R459" s="564"/>
      <c r="S459" s="628">
        <f t="shared" ref="S459:X459" si="165">S453+S455+S457</f>
        <v>13956.672282196536</v>
      </c>
      <c r="T459" s="628">
        <f t="shared" si="165"/>
        <v>39316.961995591795</v>
      </c>
      <c r="U459" s="628">
        <f t="shared" si="165"/>
        <v>7570.9035169613735</v>
      </c>
      <c r="V459" s="628">
        <f t="shared" si="165"/>
        <v>1558.1690554610284</v>
      </c>
      <c r="W459" s="628">
        <f t="shared" si="165"/>
        <v>2497.4116332681588</v>
      </c>
      <c r="X459" s="628">
        <f t="shared" si="165"/>
        <v>2185.5250893341854</v>
      </c>
      <c r="Y459" s="539"/>
      <c r="Z459" s="627">
        <f>Z453+Z455+Z457</f>
        <v>1208249.3744946646</v>
      </c>
      <c r="AA459" s="651">
        <f>Z459/G459*100</f>
        <v>37.304721287931145</v>
      </c>
      <c r="AB459" s="627">
        <f>AB453+AB455+AB457</f>
        <v>24536.243636997158</v>
      </c>
      <c r="AC459" s="629">
        <f>AA459/I459-1</f>
        <v>2.0728200944446051E-2</v>
      </c>
      <c r="AD459" s="630"/>
      <c r="AF459" s="543"/>
      <c r="AI459" s="543"/>
      <c r="AK459" s="543"/>
      <c r="AM459" s="560"/>
    </row>
    <row r="460" spans="1:39" ht="12.95" thickTop="1">
      <c r="L460" s="2"/>
      <c r="M460" s="2"/>
      <c r="N460" s="2"/>
      <c r="O460" s="2"/>
      <c r="P460" s="501"/>
      <c r="Q460" s="501"/>
      <c r="T460" s="501"/>
      <c r="U460" s="501"/>
      <c r="V460" s="501"/>
      <c r="W460" s="501"/>
      <c r="X460" s="501"/>
      <c r="AB460" s="534"/>
      <c r="AC460" s="501"/>
      <c r="AF460" s="543"/>
      <c r="AI460" s="543"/>
      <c r="AK460" s="543"/>
      <c r="AM460" s="560"/>
    </row>
    <row r="461" spans="1:39">
      <c r="L461" s="2"/>
      <c r="M461" s="2"/>
      <c r="N461" s="2"/>
      <c r="O461" s="2"/>
      <c r="P461" s="501"/>
      <c r="Q461" s="501"/>
      <c r="T461" s="501"/>
      <c r="U461" s="501"/>
      <c r="V461" s="501"/>
      <c r="W461" s="501"/>
      <c r="X461" s="501"/>
      <c r="AB461" s="534"/>
      <c r="AC461" s="501"/>
      <c r="AF461" s="543"/>
      <c r="AI461" s="543"/>
      <c r="AK461" s="543"/>
      <c r="AM461" s="560"/>
    </row>
    <row r="462" spans="1:39">
      <c r="L462" s="2"/>
      <c r="M462" s="2"/>
      <c r="N462" s="2"/>
      <c r="O462" s="2"/>
      <c r="P462" s="501"/>
      <c r="Q462" s="501"/>
      <c r="T462" s="501"/>
      <c r="U462" s="501"/>
      <c r="V462" s="501"/>
      <c r="W462" s="501"/>
      <c r="X462" s="501"/>
      <c r="AB462" s="501"/>
      <c r="AC462" s="501"/>
      <c r="AF462" s="543"/>
      <c r="AI462" s="543"/>
      <c r="AK462" s="543"/>
      <c r="AM462" s="560"/>
    </row>
    <row r="463" spans="1:39">
      <c r="L463" s="2"/>
      <c r="M463" s="2"/>
      <c r="N463" s="2"/>
      <c r="O463" s="2"/>
      <c r="P463" s="501"/>
      <c r="Q463" s="501"/>
      <c r="T463" s="501"/>
      <c r="U463" s="501"/>
      <c r="V463" s="501"/>
      <c r="W463" s="501"/>
      <c r="X463" s="501"/>
      <c r="AB463" s="501"/>
      <c r="AC463" s="501"/>
      <c r="AF463" s="543"/>
      <c r="AI463" s="543"/>
      <c r="AK463" s="543"/>
      <c r="AM463" s="560"/>
    </row>
    <row r="464" spans="1:39">
      <c r="L464" s="2"/>
      <c r="M464" s="2"/>
      <c r="N464" s="2"/>
      <c r="O464" s="2"/>
      <c r="P464" s="501"/>
      <c r="Q464" s="501"/>
      <c r="T464" s="501"/>
      <c r="U464" s="501"/>
      <c r="V464" s="501"/>
      <c r="W464" s="501"/>
      <c r="X464" s="501"/>
      <c r="AB464" s="501"/>
      <c r="AC464" s="501"/>
      <c r="AF464" s="543"/>
      <c r="AI464" s="543"/>
      <c r="AK464" s="543"/>
      <c r="AM464" s="560"/>
    </row>
    <row r="465" spans="1:39">
      <c r="A465" s="1156" t="s">
        <v>279</v>
      </c>
      <c r="B465" s="1156"/>
      <c r="C465" s="1156"/>
      <c r="D465" s="1156"/>
      <c r="E465" s="1156"/>
      <c r="F465" s="1156"/>
      <c r="G465" s="1156"/>
      <c r="H465" s="1156"/>
      <c r="I465" s="1156"/>
      <c r="J465" s="1156"/>
      <c r="K465" s="1156"/>
      <c r="L465" s="1156"/>
      <c r="M465" s="1156"/>
      <c r="N465" s="1156"/>
      <c r="O465" s="1156"/>
      <c r="P465" s="1156"/>
      <c r="Q465" s="1156"/>
      <c r="R465" s="1156"/>
      <c r="S465" s="1156"/>
      <c r="T465" s="1156"/>
      <c r="U465" s="1156"/>
      <c r="V465" s="1156"/>
      <c r="W465" s="1156"/>
      <c r="X465" s="1156"/>
      <c r="Y465" s="1156"/>
      <c r="Z465" s="1156"/>
      <c r="AA465" s="1156"/>
      <c r="AB465" s="1156"/>
      <c r="AC465" s="1156"/>
      <c r="AD465" s="531"/>
      <c r="AF465" s="543"/>
      <c r="AI465" s="543"/>
      <c r="AK465" s="543"/>
      <c r="AM465" s="560"/>
    </row>
    <row r="466" spans="1:39">
      <c r="A466" s="57"/>
      <c r="B466" s="57"/>
      <c r="C466" s="57"/>
      <c r="D466" s="57"/>
      <c r="E466" s="3"/>
      <c r="F466" s="57"/>
      <c r="G466" s="3"/>
      <c r="H466" s="57"/>
      <c r="I466" s="57"/>
      <c r="J466" s="57"/>
      <c r="K466" s="57"/>
      <c r="L466" s="57"/>
      <c r="M466" s="57"/>
      <c r="N466" s="4"/>
      <c r="O466" s="4"/>
      <c r="P466" s="501"/>
      <c r="Q466" s="501"/>
      <c r="R466" s="57"/>
      <c r="S466" s="57"/>
      <c r="T466" s="501"/>
      <c r="U466" s="501"/>
      <c r="V466" s="501"/>
      <c r="W466" s="501"/>
      <c r="X466" s="501"/>
      <c r="Y466" s="57"/>
      <c r="Z466" s="57"/>
      <c r="AA466" s="57"/>
      <c r="AB466" s="501"/>
      <c r="AC466" s="501"/>
      <c r="AF466" s="543"/>
      <c r="AI466" s="543"/>
      <c r="AK466" s="543"/>
      <c r="AM466" s="560"/>
    </row>
    <row r="467" spans="1:39">
      <c r="A467" s="3"/>
      <c r="B467" s="3"/>
      <c r="C467" s="3"/>
      <c r="D467" s="3"/>
      <c r="E467" s="57"/>
      <c r="F467" s="3"/>
      <c r="G467" s="1152" t="str">
        <f>G8</f>
        <v>Current Approved Revenue</v>
      </c>
      <c r="H467" s="1152"/>
      <c r="I467" s="1152"/>
      <c r="J467" s="1152"/>
      <c r="K467" s="3"/>
      <c r="L467" s="1152" t="str">
        <f>L8</f>
        <v>Adjustments to 2023 Base Rates</v>
      </c>
      <c r="M467" s="1152"/>
      <c r="N467" s="1152"/>
      <c r="O467" s="1152"/>
      <c r="P467" s="1152"/>
      <c r="Q467" s="58"/>
      <c r="R467" s="3"/>
      <c r="S467" s="1152" t="str">
        <f>S8</f>
        <v>Adjustments to 2024 Base Rates</v>
      </c>
      <c r="T467" s="1152"/>
      <c r="U467" s="1152"/>
      <c r="V467" s="1152"/>
      <c r="W467" s="1152"/>
      <c r="X467" s="1152"/>
      <c r="Y467" s="3"/>
      <c r="Z467" s="1152" t="str">
        <f>Z8</f>
        <v>2024 Proposed Revenue</v>
      </c>
      <c r="AA467" s="1152"/>
      <c r="AB467" s="1152"/>
      <c r="AC467" s="1152"/>
      <c r="AD467" s="6"/>
      <c r="AF467" s="543"/>
      <c r="AI467" s="543"/>
      <c r="AK467" s="543"/>
      <c r="AM467" s="560"/>
    </row>
    <row r="468" spans="1:39" ht="37.5">
      <c r="A468" s="5" t="s">
        <v>56</v>
      </c>
      <c r="B468" s="5"/>
      <c r="C468" s="5"/>
      <c r="D468" s="5"/>
      <c r="E468" s="6" t="s">
        <v>233</v>
      </c>
      <c r="F468" s="5"/>
      <c r="G468" s="17" t="s">
        <v>234</v>
      </c>
      <c r="H468" s="5"/>
      <c r="I468" s="17" t="s">
        <v>235</v>
      </c>
      <c r="J468" s="17" t="s">
        <v>101</v>
      </c>
      <c r="K468" s="5"/>
      <c r="L468" s="17" t="s">
        <v>106</v>
      </c>
      <c r="M468" s="17" t="s">
        <v>236</v>
      </c>
      <c r="N468" s="5" t="s">
        <v>237</v>
      </c>
      <c r="O468" s="5" t="s">
        <v>109</v>
      </c>
      <c r="P468" s="5" t="s">
        <v>238</v>
      </c>
      <c r="Q468" s="5" t="s">
        <v>239</v>
      </c>
      <c r="R468" s="5"/>
      <c r="S468" s="5" t="s">
        <v>240</v>
      </c>
      <c r="T468" s="17" t="s">
        <v>106</v>
      </c>
      <c r="U468" s="17" t="s">
        <v>236</v>
      </c>
      <c r="V468" s="5" t="s">
        <v>237</v>
      </c>
      <c r="W468" s="5" t="s">
        <v>109</v>
      </c>
      <c r="X468" s="5" t="s">
        <v>238</v>
      </c>
      <c r="Y468" s="5"/>
      <c r="Z468" s="17" t="s">
        <v>241</v>
      </c>
      <c r="AA468" s="17" t="s">
        <v>242</v>
      </c>
      <c r="AB468" s="17" t="s">
        <v>243</v>
      </c>
      <c r="AC468" s="5" t="s">
        <v>244</v>
      </c>
      <c r="AD468" s="5"/>
      <c r="AF468" s="543"/>
      <c r="AI468" s="543"/>
      <c r="AK468" s="543"/>
      <c r="AM468" s="560"/>
    </row>
    <row r="469" spans="1:39" ht="14.45">
      <c r="A469" s="237" t="s">
        <v>57</v>
      </c>
      <c r="B469" s="58"/>
      <c r="C469" s="59" t="s">
        <v>194</v>
      </c>
      <c r="D469" s="58"/>
      <c r="E469" s="237" t="s">
        <v>245</v>
      </c>
      <c r="F469" s="58"/>
      <c r="G469" s="237" t="s">
        <v>246</v>
      </c>
      <c r="H469" s="58"/>
      <c r="I469" s="237" t="s">
        <v>247</v>
      </c>
      <c r="J469" s="237" t="s">
        <v>248</v>
      </c>
      <c r="K469" s="58"/>
      <c r="L469" s="237" t="s">
        <v>248</v>
      </c>
      <c r="M469" s="237" t="s">
        <v>248</v>
      </c>
      <c r="N469" s="237" t="s">
        <v>248</v>
      </c>
      <c r="O469" s="237" t="s">
        <v>248</v>
      </c>
      <c r="P469" s="237" t="s">
        <v>248</v>
      </c>
      <c r="Q469" s="237" t="s">
        <v>248</v>
      </c>
      <c r="R469" s="58"/>
      <c r="S469" s="237" t="s">
        <v>248</v>
      </c>
      <c r="T469" s="237" t="s">
        <v>248</v>
      </c>
      <c r="U469" s="237" t="s">
        <v>248</v>
      </c>
      <c r="V469" s="237" t="s">
        <v>248</v>
      </c>
      <c r="W469" s="237" t="s">
        <v>248</v>
      </c>
      <c r="X469" s="237" t="s">
        <v>248</v>
      </c>
      <c r="Y469" s="58"/>
      <c r="Z469" s="237" t="s">
        <v>248</v>
      </c>
      <c r="AA469" s="237" t="s">
        <v>247</v>
      </c>
      <c r="AB469" s="237" t="s">
        <v>248</v>
      </c>
      <c r="AC469" s="237" t="s">
        <v>249</v>
      </c>
      <c r="AD469" s="6"/>
      <c r="AF469" s="543"/>
      <c r="AI469" s="543"/>
      <c r="AK469" s="543"/>
      <c r="AM469" s="560"/>
    </row>
    <row r="470" spans="1:39">
      <c r="A470" s="6"/>
      <c r="B470" s="58"/>
      <c r="C470" s="58"/>
      <c r="D470" s="58"/>
      <c r="E470" s="6"/>
      <c r="F470" s="58"/>
      <c r="G470" s="6" t="s">
        <v>9</v>
      </c>
      <c r="H470" s="6"/>
      <c r="I470" s="6" t="s">
        <v>10</v>
      </c>
      <c r="J470" s="6" t="s">
        <v>58</v>
      </c>
      <c r="K470" s="6"/>
      <c r="L470" s="123" t="s">
        <v>12</v>
      </c>
      <c r="M470" s="123" t="s">
        <v>13</v>
      </c>
      <c r="N470" s="123" t="s">
        <v>115</v>
      </c>
      <c r="O470" s="123" t="s">
        <v>209</v>
      </c>
      <c r="P470" s="6" t="s">
        <v>210</v>
      </c>
      <c r="Q470" s="6" t="s">
        <v>250</v>
      </c>
      <c r="R470" s="6"/>
      <c r="S470" s="6" t="s">
        <v>251</v>
      </c>
      <c r="T470" s="6" t="s">
        <v>120</v>
      </c>
      <c r="U470" s="6" t="s">
        <v>121</v>
      </c>
      <c r="V470" s="6" t="s">
        <v>122</v>
      </c>
      <c r="W470" s="6" t="s">
        <v>252</v>
      </c>
      <c r="X470" s="6" t="s">
        <v>253</v>
      </c>
      <c r="Y470" s="6"/>
      <c r="Z470" s="6" t="s">
        <v>254</v>
      </c>
      <c r="AA470" s="6" t="s">
        <v>255</v>
      </c>
      <c r="AB470" s="6" t="s">
        <v>256</v>
      </c>
      <c r="AC470" s="6" t="s">
        <v>257</v>
      </c>
      <c r="AD470" s="6"/>
      <c r="AF470" s="543"/>
      <c r="AI470" s="543"/>
      <c r="AK470" s="543"/>
      <c r="AM470" s="560"/>
    </row>
    <row r="471" spans="1:39">
      <c r="A471" s="6"/>
      <c r="B471" s="58"/>
      <c r="C471" s="10"/>
      <c r="D471" s="58"/>
      <c r="E471" s="30"/>
      <c r="F471" s="58"/>
      <c r="G471" s="536"/>
      <c r="H471" s="539"/>
      <c r="I471" s="680"/>
      <c r="J471" s="539"/>
      <c r="K471" s="539"/>
      <c r="L471" s="564"/>
      <c r="M471" s="564"/>
      <c r="N471" s="564"/>
      <c r="O471" s="564"/>
      <c r="P471" s="564"/>
      <c r="Q471" s="564"/>
      <c r="R471" s="564"/>
      <c r="S471" s="564"/>
      <c r="T471" s="564"/>
      <c r="U471" s="564"/>
      <c r="V471" s="564"/>
      <c r="W471" s="564"/>
      <c r="X471" s="564"/>
      <c r="Y471" s="539"/>
      <c r="Z471" s="539"/>
      <c r="AA471" s="680"/>
      <c r="AB471" s="539"/>
      <c r="AC471" s="630"/>
      <c r="AD471" s="630"/>
      <c r="AF471" s="543"/>
      <c r="AI471" s="543"/>
      <c r="AK471" s="543"/>
      <c r="AM471" s="560"/>
    </row>
    <row r="472" spans="1:39">
      <c r="A472" s="6"/>
      <c r="B472" s="58"/>
      <c r="C472" s="9" t="s">
        <v>147</v>
      </c>
      <c r="D472" s="58"/>
      <c r="E472" s="30"/>
      <c r="F472" s="58"/>
      <c r="G472" s="132"/>
      <c r="H472" s="58"/>
      <c r="I472" s="58"/>
      <c r="J472" s="58"/>
      <c r="K472" s="58"/>
      <c r="L472" s="538"/>
      <c r="M472" s="538"/>
      <c r="N472" s="538"/>
      <c r="O472" s="538"/>
      <c r="P472" s="538"/>
      <c r="Q472" s="538"/>
      <c r="R472" s="564"/>
      <c r="S472" s="564"/>
      <c r="T472" s="538"/>
      <c r="U472" s="538"/>
      <c r="V472" s="538"/>
      <c r="W472" s="538"/>
      <c r="X472" s="538"/>
      <c r="Y472" s="58"/>
      <c r="Z472" s="58"/>
      <c r="AA472" s="58"/>
      <c r="AB472" s="501"/>
      <c r="AC472" s="501"/>
    </row>
    <row r="473" spans="1:39">
      <c r="A473" s="6">
        <v>220</v>
      </c>
      <c r="B473" s="58"/>
      <c r="C473" s="10" t="s">
        <v>258</v>
      </c>
      <c r="D473" s="58"/>
      <c r="E473" s="57" t="s">
        <v>259</v>
      </c>
      <c r="F473" s="58"/>
      <c r="G473" s="536">
        <v>96924.000000000073</v>
      </c>
      <c r="H473" s="616"/>
      <c r="I473" s="537">
        <v>76.58</v>
      </c>
      <c r="J473" s="624">
        <f>G473*I473/1000</f>
        <v>7422.4399200000053</v>
      </c>
      <c r="K473" s="616"/>
      <c r="L473" s="29">
        <v>0</v>
      </c>
      <c r="M473" s="29">
        <v>0</v>
      </c>
      <c r="N473" s="29">
        <v>0</v>
      </c>
      <c r="O473" s="29">
        <v>0</v>
      </c>
      <c r="P473" s="29">
        <v>0</v>
      </c>
      <c r="Q473" s="538">
        <f>J473-L473-M473-N473-O473-P473</f>
        <v>7422.4399200000053</v>
      </c>
      <c r="R473" s="584"/>
      <c r="S473" s="29">
        <v>202.82029763638275</v>
      </c>
      <c r="T473" s="29">
        <v>0</v>
      </c>
      <c r="U473" s="29">
        <v>0</v>
      </c>
      <c r="V473" s="29">
        <v>0</v>
      </c>
      <c r="W473" s="29">
        <v>0</v>
      </c>
      <c r="X473" s="29">
        <v>0</v>
      </c>
      <c r="Y473" s="616"/>
      <c r="Z473" s="624">
        <f>Q473+S473+T473+U473+V473+W473+X473</f>
        <v>7625.260217636388</v>
      </c>
      <c r="AA473" s="537">
        <f>Z473/G473*1000</f>
        <v>78.672570443196548</v>
      </c>
      <c r="AB473" s="534">
        <f>Z473-J473</f>
        <v>202.82029763638275</v>
      </c>
      <c r="AC473" s="541">
        <f>AA473/I473-1</f>
        <v>2.7325286539521487E-2</v>
      </c>
      <c r="AD473" s="542"/>
      <c r="AF473" s="543"/>
      <c r="AI473" s="543"/>
      <c r="AK473" s="543"/>
      <c r="AM473" s="560"/>
    </row>
    <row r="474" spans="1:39">
      <c r="A474" s="6"/>
      <c r="B474" s="58"/>
      <c r="C474" s="521" t="s">
        <v>260</v>
      </c>
      <c r="D474" s="58"/>
      <c r="E474" s="30"/>
      <c r="F474" s="58"/>
      <c r="G474" s="536"/>
      <c r="H474" s="659"/>
      <c r="I474" s="637"/>
      <c r="J474" s="659"/>
      <c r="K474" s="659"/>
      <c r="L474" s="538"/>
      <c r="M474" s="538"/>
      <c r="N474" s="538"/>
      <c r="O474" s="538"/>
      <c r="P474" s="538"/>
      <c r="Q474" s="538"/>
      <c r="R474" s="585"/>
      <c r="S474" s="675"/>
      <c r="T474" s="538"/>
      <c r="U474" s="538"/>
      <c r="V474" s="538"/>
      <c r="W474" s="538"/>
      <c r="X474" s="538"/>
      <c r="Y474" s="659"/>
      <c r="Z474" s="624"/>
      <c r="AA474" s="683"/>
      <c r="AB474" s="534"/>
      <c r="AC474" s="541"/>
      <c r="AD474" s="542"/>
      <c r="AF474" s="543"/>
      <c r="AI474" s="543"/>
      <c r="AK474" s="543"/>
      <c r="AM474" s="560"/>
    </row>
    <row r="475" spans="1:39">
      <c r="A475" s="6">
        <f>MAX(A$472:A474)+1</f>
        <v>221</v>
      </c>
      <c r="B475" s="58"/>
      <c r="C475" s="526" t="s">
        <v>341</v>
      </c>
      <c r="D475" s="58"/>
      <c r="E475" s="522" t="s">
        <v>262</v>
      </c>
      <c r="F475" s="58"/>
      <c r="G475" s="536">
        <v>89658.492055731243</v>
      </c>
      <c r="H475" s="539"/>
      <c r="I475" s="684">
        <v>6.2404000000000002</v>
      </c>
      <c r="J475" s="539">
        <f>G475*I475/100</f>
        <v>5595.0485382458519</v>
      </c>
      <c r="K475" s="539"/>
      <c r="L475" s="29">
        <v>875.694491908327</v>
      </c>
      <c r="M475" s="29">
        <v>177.24151179358938</v>
      </c>
      <c r="N475" s="29">
        <v>11.959678475053126</v>
      </c>
      <c r="O475" s="29">
        <v>35.629899893952611</v>
      </c>
      <c r="P475" s="29">
        <v>33.427483437050917</v>
      </c>
      <c r="Q475" s="538">
        <f>J475-L475-M475-N475-O475-P475</f>
        <v>4461.0954727378785</v>
      </c>
      <c r="R475" s="564"/>
      <c r="S475" s="29">
        <v>121.70378161881854</v>
      </c>
      <c r="T475" s="29">
        <v>511.15731549004573</v>
      </c>
      <c r="U475" s="29">
        <v>172.28932370878272</v>
      </c>
      <c r="V475" s="29">
        <v>11.21068645703521</v>
      </c>
      <c r="W475" s="29">
        <v>43.767908204617527</v>
      </c>
      <c r="X475" s="29">
        <v>33.465158990458427</v>
      </c>
      <c r="Y475" s="539"/>
      <c r="Z475" s="624">
        <f>Q475+S475+T475+U475+V475+W475+X475</f>
        <v>5354.6896472076378</v>
      </c>
      <c r="AA475" s="680">
        <f>Z475/G475*100</f>
        <v>5.9723173170023767</v>
      </c>
      <c r="AB475" s="549">
        <f>Z475-J475</f>
        <v>-240.3588910382141</v>
      </c>
      <c r="AC475" s="541"/>
      <c r="AD475" s="542"/>
      <c r="AF475" s="543"/>
      <c r="AI475" s="543"/>
      <c r="AK475" s="543"/>
      <c r="AM475" s="560"/>
    </row>
    <row r="476" spans="1:39">
      <c r="A476" s="6">
        <f>MAX(A$472:A475)+1</f>
        <v>222</v>
      </c>
      <c r="B476" s="58"/>
      <c r="C476" s="526" t="s">
        <v>342</v>
      </c>
      <c r="D476" s="58"/>
      <c r="E476" s="522" t="s">
        <v>262</v>
      </c>
      <c r="F476" s="58"/>
      <c r="G476" s="536">
        <v>391300.86243960465</v>
      </c>
      <c r="H476" s="539"/>
      <c r="I476" s="684">
        <v>6.1308000000000007</v>
      </c>
      <c r="J476" s="539">
        <f t="shared" ref="J476:J478" si="166">G476*I476/100</f>
        <v>23989.873274447284</v>
      </c>
      <c r="K476" s="539"/>
      <c r="L476" s="29">
        <v>3751.4013682084897</v>
      </c>
      <c r="M476" s="29">
        <v>773.54364137443145</v>
      </c>
      <c r="N476" s="29">
        <v>52.196199093775803</v>
      </c>
      <c r="O476" s="29">
        <v>155.50128311854894</v>
      </c>
      <c r="P476" s="29">
        <v>145.88917121172457</v>
      </c>
      <c r="Q476" s="538">
        <f>J476-L476-M476-N476-O476-P476</f>
        <v>19111.341611440315</v>
      </c>
      <c r="R476" s="564"/>
      <c r="S476" s="29">
        <v>521.36341265035298</v>
      </c>
      <c r="T476" s="29">
        <v>2191.0600209773543</v>
      </c>
      <c r="U476" s="29">
        <v>751.93056910300106</v>
      </c>
      <c r="V476" s="29">
        <v>48.927337261607001</v>
      </c>
      <c r="W476" s="29">
        <v>191.01838359046451</v>
      </c>
      <c r="X476" s="29">
        <v>146.05360043870829</v>
      </c>
      <c r="Y476" s="539"/>
      <c r="Z476" s="624">
        <f>Q476+S476+T476+U476+V476+W476+X476</f>
        <v>22961.694935461805</v>
      </c>
      <c r="AA476" s="680">
        <f>Z476/G476*100</f>
        <v>5.8680409729497667</v>
      </c>
      <c r="AB476" s="549">
        <f>Z476-J476</f>
        <v>-1028.1783389854791</v>
      </c>
      <c r="AC476" s="541"/>
      <c r="AD476" s="542"/>
      <c r="AF476" s="543"/>
      <c r="AI476" s="543"/>
      <c r="AK476" s="543"/>
      <c r="AM476" s="560"/>
    </row>
    <row r="477" spans="1:39">
      <c r="A477" s="6">
        <f>MAX(A$472:A476)+1</f>
        <v>223</v>
      </c>
      <c r="B477" s="58"/>
      <c r="C477" s="526" t="s">
        <v>343</v>
      </c>
      <c r="D477" s="58"/>
      <c r="E477" s="522" t="s">
        <v>262</v>
      </c>
      <c r="F477" s="58"/>
      <c r="G477" s="536">
        <v>373385.94021697668</v>
      </c>
      <c r="H477" s="539"/>
      <c r="I477" s="684">
        <v>5.7571000000000003</v>
      </c>
      <c r="J477" s="539">
        <f t="shared" si="166"/>
        <v>21496.201964231568</v>
      </c>
      <c r="K477" s="539"/>
      <c r="L477" s="29">
        <v>3357.4863744310546</v>
      </c>
      <c r="M477" s="29">
        <v>738.12850304677124</v>
      </c>
      <c r="N477" s="29">
        <v>49.806501199291546</v>
      </c>
      <c r="O477" s="29">
        <v>148.38196992506568</v>
      </c>
      <c r="P477" s="29">
        <v>139.20992921085855</v>
      </c>
      <c r="Q477" s="538">
        <f>J477-L477-M477-N477-O477-P477</f>
        <v>17063.188686418529</v>
      </c>
      <c r="R477" s="564"/>
      <c r="S477" s="29">
        <v>465.4363963400865</v>
      </c>
      <c r="T477" s="29">
        <v>1961.2274763357125</v>
      </c>
      <c r="U477" s="29">
        <v>717.50494177800169</v>
      </c>
      <c r="V477" s="29">
        <v>46.687297625258736</v>
      </c>
      <c r="W477" s="29">
        <v>182.27299145465375</v>
      </c>
      <c r="X477" s="29">
        <v>139.36683037671258</v>
      </c>
      <c r="Y477" s="539"/>
      <c r="Z477" s="624">
        <f>Q477+S477+T477+U477+V477+W477+X477</f>
        <v>20575.684620328957</v>
      </c>
      <c r="AA477" s="680">
        <f>Z477/G477*100</f>
        <v>5.510567593512576</v>
      </c>
      <c r="AB477" s="549">
        <f>Z477-J477</f>
        <v>-920.51734390261117</v>
      </c>
      <c r="AC477" s="541"/>
      <c r="AD477" s="542"/>
      <c r="AF477" s="543"/>
      <c r="AI477" s="543"/>
      <c r="AK477" s="543"/>
      <c r="AM477" s="560"/>
    </row>
    <row r="478" spans="1:39">
      <c r="A478" s="6">
        <f>MAX(A$472:A477)+1</f>
        <v>224</v>
      </c>
      <c r="B478" s="58"/>
      <c r="C478" s="526" t="s">
        <v>344</v>
      </c>
      <c r="D478" s="58"/>
      <c r="E478" s="522" t="s">
        <v>262</v>
      </c>
      <c r="F478" s="58"/>
      <c r="G478" s="536">
        <v>488968.96402614162</v>
      </c>
      <c r="H478" s="539"/>
      <c r="I478" s="684">
        <v>5.3672000000000004</v>
      </c>
      <c r="J478" s="539">
        <f t="shared" si="166"/>
        <v>26243.942237211075</v>
      </c>
      <c r="K478" s="539"/>
      <c r="L478" s="29">
        <v>4083.3798185823084</v>
      </c>
      <c r="M478" s="29">
        <v>966.61896064756138</v>
      </c>
      <c r="N478" s="29">
        <v>65.22429119594652</v>
      </c>
      <c r="O478" s="29">
        <v>194.31416745969554</v>
      </c>
      <c r="P478" s="29">
        <v>182.3028870043434</v>
      </c>
      <c r="Q478" s="538">
        <f>J478-L478-M478-N478-O478-P478</f>
        <v>20752.102112321223</v>
      </c>
      <c r="R478" s="564"/>
      <c r="S478" s="29">
        <v>565.98314031361951</v>
      </c>
      <c r="T478" s="29">
        <v>2391.3676282228366</v>
      </c>
      <c r="U478" s="29">
        <v>939.61129832835377</v>
      </c>
      <c r="V478" s="29">
        <v>61.139526409958151</v>
      </c>
      <c r="W478" s="29">
        <v>238.69628232315412</v>
      </c>
      <c r="X478" s="29">
        <v>182.50835751691162</v>
      </c>
      <c r="Y478" s="539"/>
      <c r="Z478" s="624">
        <f>Q478+S478+T478+U478+V478+W478+X478</f>
        <v>25131.408345436059</v>
      </c>
      <c r="AA478" s="680">
        <f>Z478/G478*100</f>
        <v>5.1396735159846392</v>
      </c>
      <c r="AB478" s="549">
        <f>Z478-J478</f>
        <v>-1112.5338917750159</v>
      </c>
      <c r="AC478" s="541"/>
      <c r="AD478" s="542"/>
      <c r="AF478" s="543"/>
      <c r="AI478" s="543"/>
      <c r="AK478" s="543"/>
      <c r="AM478" s="560"/>
    </row>
    <row r="479" spans="1:39">
      <c r="A479" s="6">
        <f>MAX(A$472:A478)+1</f>
        <v>225</v>
      </c>
      <c r="C479" s="521" t="s">
        <v>260</v>
      </c>
      <c r="G479" s="550">
        <f>SUM(G475:G478)</f>
        <v>1343314.2587384542</v>
      </c>
      <c r="H479" s="539"/>
      <c r="I479" s="556">
        <f>J479/G479*100</f>
        <v>5.7562901243044955</v>
      </c>
      <c r="J479" s="554">
        <f>SUM(J475:J478)</f>
        <v>77325.06601413578</v>
      </c>
      <c r="K479" s="539"/>
      <c r="L479" s="555">
        <f t="shared" ref="L479:P479" si="167">SUM(L475:L478)</f>
        <v>12067.962053130181</v>
      </c>
      <c r="M479" s="555">
        <f t="shared" si="167"/>
        <v>2655.5326168623533</v>
      </c>
      <c r="N479" s="555">
        <f t="shared" si="167"/>
        <v>179.18666996406699</v>
      </c>
      <c r="O479" s="555">
        <f t="shared" si="167"/>
        <v>533.82732039726272</v>
      </c>
      <c r="P479" s="555">
        <f t="shared" si="167"/>
        <v>500.82947086397741</v>
      </c>
      <c r="Q479" s="555">
        <f>SUM(Q475:Q478)</f>
        <v>61387.727882917941</v>
      </c>
      <c r="R479" s="538"/>
      <c r="S479" s="555">
        <f t="shared" ref="S479:X479" si="168">SUM(S475:S478)</f>
        <v>1674.4867309228775</v>
      </c>
      <c r="T479" s="555">
        <f t="shared" si="168"/>
        <v>7054.8124410259497</v>
      </c>
      <c r="U479" s="555">
        <f t="shared" si="168"/>
        <v>2581.3361329181394</v>
      </c>
      <c r="V479" s="555">
        <f t="shared" si="168"/>
        <v>167.96484775385909</v>
      </c>
      <c r="W479" s="555">
        <f t="shared" si="168"/>
        <v>655.75556557288996</v>
      </c>
      <c r="X479" s="555">
        <f t="shared" si="168"/>
        <v>501.39394732279095</v>
      </c>
      <c r="Y479" s="538"/>
      <c r="Z479" s="554">
        <f>SUM(Z475:Z478)</f>
        <v>74023.477548434457</v>
      </c>
      <c r="AA479" s="677">
        <f>Z479/G479*100</f>
        <v>5.5105108180681466</v>
      </c>
      <c r="AB479" s="557">
        <f>SUM(AB475:AB478)</f>
        <v>-3301.5884657013203</v>
      </c>
      <c r="AC479" s="558">
        <f>AA479/I479-1</f>
        <v>-4.2697518875674301E-2</v>
      </c>
      <c r="AD479" s="559"/>
      <c r="AF479" s="543"/>
      <c r="AI479" s="543"/>
      <c r="AK479" s="543"/>
      <c r="AM479" s="560"/>
    </row>
    <row r="480" spans="1:39">
      <c r="A480" s="6"/>
      <c r="B480" s="58"/>
      <c r="C480" s="10"/>
      <c r="D480" s="58"/>
      <c r="E480" s="30"/>
      <c r="F480" s="58"/>
      <c r="G480" s="536"/>
      <c r="H480" s="539"/>
      <c r="I480" s="548"/>
      <c r="J480" s="539"/>
      <c r="K480" s="539"/>
      <c r="L480" s="538"/>
      <c r="M480" s="538"/>
      <c r="N480" s="538"/>
      <c r="O480" s="538"/>
      <c r="P480" s="538"/>
      <c r="Q480" s="538"/>
      <c r="R480" s="564"/>
      <c r="S480" s="564"/>
      <c r="T480" s="538"/>
      <c r="U480" s="538"/>
      <c r="V480" s="538"/>
      <c r="W480" s="538"/>
      <c r="X480" s="538"/>
      <c r="Y480" s="539"/>
      <c r="Z480" s="539"/>
      <c r="AA480" s="539"/>
      <c r="AB480" s="534"/>
      <c r="AC480" s="534"/>
      <c r="AD480" s="530"/>
      <c r="AF480" s="543"/>
      <c r="AI480" s="543"/>
      <c r="AK480" s="543"/>
      <c r="AM480" s="560"/>
    </row>
    <row r="481" spans="1:39">
      <c r="A481" s="6">
        <f>MAX(A$472:A480)+1</f>
        <v>226</v>
      </c>
      <c r="B481" s="58"/>
      <c r="C481" s="10" t="s">
        <v>266</v>
      </c>
      <c r="D481" s="58"/>
      <c r="E481" s="522"/>
      <c r="F481" s="58"/>
      <c r="G481" s="553">
        <f>G479</f>
        <v>1343314.2587384542</v>
      </c>
      <c r="H481" s="539"/>
      <c r="I481" s="556">
        <f>J481/G481*100</f>
        <v>6.3088369220263214</v>
      </c>
      <c r="J481" s="554">
        <f>J473+J479</f>
        <v>84747.505934135785</v>
      </c>
      <c r="K481" s="539"/>
      <c r="L481" s="619">
        <f>L473+L479</f>
        <v>12067.962053130181</v>
      </c>
      <c r="M481" s="619">
        <f t="shared" ref="M481:W481" si="169">M473+M479</f>
        <v>2655.5326168623533</v>
      </c>
      <c r="N481" s="619">
        <f t="shared" si="169"/>
        <v>179.18666996406699</v>
      </c>
      <c r="O481" s="619">
        <f t="shared" si="169"/>
        <v>533.82732039726272</v>
      </c>
      <c r="P481" s="619">
        <f t="shared" si="169"/>
        <v>500.82947086397741</v>
      </c>
      <c r="Q481" s="619">
        <f>Q473+Q479</f>
        <v>68810.167802917946</v>
      </c>
      <c r="R481" s="564"/>
      <c r="S481" s="619">
        <f>S473+S479</f>
        <v>1877.3070285592603</v>
      </c>
      <c r="T481" s="619">
        <f>T473+T479</f>
        <v>7054.8124410259497</v>
      </c>
      <c r="U481" s="619">
        <f t="shared" si="169"/>
        <v>2581.3361329181394</v>
      </c>
      <c r="V481" s="619">
        <f t="shared" si="169"/>
        <v>167.96484775385909</v>
      </c>
      <c r="W481" s="619">
        <f t="shared" si="169"/>
        <v>655.75556557288996</v>
      </c>
      <c r="X481" s="619">
        <f>X473+X479</f>
        <v>501.39394732279095</v>
      </c>
      <c r="Y481" s="539"/>
      <c r="Z481" s="554">
        <f>Z473+Z479</f>
        <v>81648.737766070844</v>
      </c>
      <c r="AA481" s="677">
        <f>Z481/G481*100</f>
        <v>6.0781561153642159</v>
      </c>
      <c r="AB481" s="685">
        <f>AB473+AB479</f>
        <v>-3098.7681680649375</v>
      </c>
      <c r="AC481" s="558">
        <f>AA481/I481-1</f>
        <v>-3.6564712246201725E-2</v>
      </c>
      <c r="AD481" s="559"/>
      <c r="AF481" s="543"/>
      <c r="AI481" s="543"/>
      <c r="AK481" s="543"/>
      <c r="AM481" s="560"/>
    </row>
    <row r="482" spans="1:39">
      <c r="A482" s="6"/>
      <c r="B482" s="58"/>
      <c r="C482" s="526"/>
      <c r="D482" s="58"/>
      <c r="E482" s="522"/>
      <c r="F482" s="58"/>
      <c r="G482" s="29"/>
      <c r="H482" s="58"/>
      <c r="I482" s="58"/>
      <c r="J482" s="58"/>
      <c r="K482" s="58"/>
      <c r="L482" s="538"/>
      <c r="M482" s="538"/>
      <c r="N482" s="538"/>
      <c r="O482" s="538"/>
      <c r="P482" s="538"/>
      <c r="Q482" s="538"/>
      <c r="R482" s="564"/>
      <c r="S482" s="564"/>
      <c r="T482" s="538"/>
      <c r="U482" s="538"/>
      <c r="V482" s="538"/>
      <c r="W482" s="538"/>
      <c r="X482" s="538"/>
      <c r="Y482" s="58"/>
      <c r="Z482" s="58"/>
      <c r="AA482" s="58"/>
      <c r="AB482" s="501"/>
      <c r="AC482" s="501"/>
      <c r="AF482" s="543"/>
      <c r="AI482" s="543"/>
      <c r="AK482" s="543"/>
      <c r="AM482" s="560"/>
    </row>
    <row r="483" spans="1:39">
      <c r="A483" s="6">
        <f>MAX(A$472:A482)+1</f>
        <v>227</v>
      </c>
      <c r="B483" s="58"/>
      <c r="C483" s="521" t="s">
        <v>339</v>
      </c>
      <c r="D483" s="58"/>
      <c r="E483" s="522" t="s">
        <v>262</v>
      </c>
      <c r="F483" s="58"/>
      <c r="G483" s="536">
        <v>1343314.2587384542</v>
      </c>
      <c r="H483" s="539"/>
      <c r="I483" s="684">
        <v>0.85109999999999997</v>
      </c>
      <c r="J483" s="539">
        <f>G483*I483/100</f>
        <v>11432.947656122984</v>
      </c>
      <c r="K483" s="539"/>
      <c r="L483" s="29">
        <v>0</v>
      </c>
      <c r="M483" s="29">
        <v>0</v>
      </c>
      <c r="N483" s="29">
        <v>0</v>
      </c>
      <c r="O483" s="29">
        <v>242.14129757484648</v>
      </c>
      <c r="P483" s="29">
        <v>384.16213010551439</v>
      </c>
      <c r="Q483" s="538">
        <f>J483-L483-M483-N483-O483-P483</f>
        <v>10806.644228442623</v>
      </c>
      <c r="R483" s="564"/>
      <c r="S483" s="29">
        <v>295.30336637769506</v>
      </c>
      <c r="T483" s="29">
        <v>0</v>
      </c>
      <c r="U483" s="29">
        <v>0</v>
      </c>
      <c r="V483" s="29">
        <v>0</v>
      </c>
      <c r="W483" s="29">
        <v>297.44731577541239</v>
      </c>
      <c r="X483" s="29">
        <v>384.59511277012899</v>
      </c>
      <c r="Y483" s="539"/>
      <c r="Z483" s="539">
        <f>Q483+S483+T483+U483+V483+W483+X483</f>
        <v>11783.990023365859</v>
      </c>
      <c r="AA483" s="680">
        <f>Z483/G483*100</f>
        <v>0.87723255721505922</v>
      </c>
      <c r="AB483" s="534">
        <f>Z483-J483</f>
        <v>351.04236724287512</v>
      </c>
      <c r="AC483" s="541">
        <f>AA483/I483-1</f>
        <v>3.0704449788578669E-2</v>
      </c>
      <c r="AD483" s="542"/>
      <c r="AF483" s="543"/>
      <c r="AI483" s="543"/>
      <c r="AK483" s="543"/>
      <c r="AM483" s="560"/>
    </row>
    <row r="484" spans="1:39">
      <c r="A484" s="6"/>
      <c r="B484" s="58"/>
      <c r="C484" s="10"/>
      <c r="D484" s="58"/>
      <c r="E484" s="30"/>
      <c r="F484" s="58"/>
      <c r="G484" s="624"/>
      <c r="H484" s="539"/>
      <c r="I484" s="548"/>
      <c r="J484" s="539"/>
      <c r="K484" s="539"/>
      <c r="L484" s="538"/>
      <c r="M484" s="538"/>
      <c r="N484" s="538"/>
      <c r="O484" s="538"/>
      <c r="P484" s="538"/>
      <c r="Q484" s="538"/>
      <c r="R484" s="564"/>
      <c r="S484" s="564"/>
      <c r="T484" s="538"/>
      <c r="U484" s="538"/>
      <c r="V484" s="538"/>
      <c r="W484" s="538"/>
      <c r="X484" s="538"/>
      <c r="Y484" s="539"/>
      <c r="Z484" s="539"/>
      <c r="AA484" s="680"/>
      <c r="AB484" s="534"/>
      <c r="AC484" s="541"/>
      <c r="AD484" s="542"/>
      <c r="AF484" s="543"/>
      <c r="AI484" s="543"/>
      <c r="AK484" s="543"/>
      <c r="AM484" s="560"/>
    </row>
    <row r="485" spans="1:39">
      <c r="A485" s="6">
        <f>MAX(A$472:A484)+1</f>
        <v>228</v>
      </c>
      <c r="B485" s="58"/>
      <c r="C485" s="10" t="s">
        <v>270</v>
      </c>
      <c r="D485" s="58"/>
      <c r="E485" s="522" t="s">
        <v>262</v>
      </c>
      <c r="F485" s="58"/>
      <c r="G485" s="536">
        <v>712317.1393682817</v>
      </c>
      <c r="H485" s="539"/>
      <c r="I485" s="684">
        <v>20.538400000000003</v>
      </c>
      <c r="J485" s="539">
        <f t="shared" ref="J485" si="170">G485*I485/100</f>
        <v>146298.5433520152</v>
      </c>
      <c r="K485" s="539"/>
      <c r="L485" s="29">
        <v>0</v>
      </c>
      <c r="M485" s="29">
        <v>0</v>
      </c>
      <c r="N485" s="29">
        <v>0</v>
      </c>
      <c r="O485" s="29">
        <v>0</v>
      </c>
      <c r="P485" s="29">
        <v>0</v>
      </c>
      <c r="Q485" s="538">
        <f>J485-L485-M485-N485-O485-P485</f>
        <v>146298.5433520152</v>
      </c>
      <c r="R485" s="564"/>
      <c r="S485" s="29">
        <v>-14.384095485845137</v>
      </c>
      <c r="T485" s="29">
        <v>0</v>
      </c>
      <c r="U485" s="29">
        <v>0</v>
      </c>
      <c r="V485" s="29">
        <v>0</v>
      </c>
      <c r="W485" s="29">
        <v>0</v>
      </c>
      <c r="X485" s="29">
        <v>0</v>
      </c>
      <c r="Y485" s="539"/>
      <c r="Z485" s="539">
        <f>Q485+S485+T485+U485+V485+W485+X485</f>
        <v>146284.15925652935</v>
      </c>
      <c r="AA485" s="680">
        <f>Z485/G485*100</f>
        <v>20.536380661324731</v>
      </c>
      <c r="AB485" s="549">
        <f>Z485-J485</f>
        <v>-14.384095485846046</v>
      </c>
      <c r="AC485" s="541">
        <f>AA485/I485-1</f>
        <v>-9.8320155185960267E-5</v>
      </c>
      <c r="AD485" s="542"/>
      <c r="AF485" s="543"/>
      <c r="AI485" s="543"/>
      <c r="AK485" s="543"/>
      <c r="AM485" s="560"/>
    </row>
    <row r="486" spans="1:39">
      <c r="A486" s="6"/>
      <c r="B486" s="58"/>
      <c r="C486" s="10"/>
      <c r="D486" s="58"/>
      <c r="E486" s="30"/>
      <c r="F486" s="58"/>
      <c r="G486" s="536"/>
      <c r="H486" s="539"/>
      <c r="I486" s="539"/>
      <c r="J486" s="539"/>
      <c r="K486" s="539"/>
      <c r="L486" s="538"/>
      <c r="M486" s="538"/>
      <c r="N486" s="538"/>
      <c r="O486" s="538"/>
      <c r="P486" s="538"/>
      <c r="Q486" s="538"/>
      <c r="R486" s="564"/>
      <c r="S486" s="564"/>
      <c r="T486" s="538"/>
      <c r="U486" s="538"/>
      <c r="V486" s="538"/>
      <c r="W486" s="29"/>
      <c r="X486" s="538"/>
      <c r="Y486" s="539"/>
      <c r="Z486" s="539"/>
      <c r="AA486" s="539"/>
      <c r="AB486" s="534"/>
      <c r="AC486" s="534"/>
      <c r="AD486" s="530"/>
      <c r="AF486" s="543"/>
      <c r="AI486" s="543"/>
      <c r="AK486" s="543"/>
      <c r="AM486" s="560"/>
    </row>
    <row r="487" spans="1:39" ht="12.95" thickBot="1">
      <c r="A487" s="6">
        <f>MAX(A$472:A486)+1</f>
        <v>229</v>
      </c>
      <c r="B487" s="58"/>
      <c r="C487" s="10" t="s">
        <v>345</v>
      </c>
      <c r="D487" s="58"/>
      <c r="E487" s="30"/>
      <c r="F487" s="58"/>
      <c r="G487" s="588">
        <f>G479</f>
        <v>1343314.2587384542</v>
      </c>
      <c r="H487" s="539"/>
      <c r="I487" s="651">
        <f>J487/G487*100</f>
        <v>18.050801989550315</v>
      </c>
      <c r="J487" s="627">
        <f>J481+J483+J485</f>
        <v>242478.99694227398</v>
      </c>
      <c r="K487" s="539"/>
      <c r="L487" s="628">
        <f>L481+L483+L485</f>
        <v>12067.962053130181</v>
      </c>
      <c r="M487" s="628">
        <f t="shared" ref="M487:W487" si="171">M481+M483+M485</f>
        <v>2655.5326168623533</v>
      </c>
      <c r="N487" s="628">
        <f t="shared" si="171"/>
        <v>179.18666996406699</v>
      </c>
      <c r="O487" s="628">
        <f t="shared" si="171"/>
        <v>775.9686179721092</v>
      </c>
      <c r="P487" s="628">
        <f t="shared" si="171"/>
        <v>884.99160096949186</v>
      </c>
      <c r="Q487" s="628">
        <f t="shared" si="171"/>
        <v>225915.35538337578</v>
      </c>
      <c r="R487" s="564"/>
      <c r="S487" s="628">
        <f t="shared" si="171"/>
        <v>2158.2262994511102</v>
      </c>
      <c r="T487" s="628">
        <f t="shared" si="171"/>
        <v>7054.8124410259497</v>
      </c>
      <c r="U487" s="628">
        <f t="shared" si="171"/>
        <v>2581.3361329181394</v>
      </c>
      <c r="V487" s="628">
        <f t="shared" si="171"/>
        <v>167.96484775385909</v>
      </c>
      <c r="W487" s="628">
        <f t="shared" si="171"/>
        <v>953.2028813483023</v>
      </c>
      <c r="X487" s="628">
        <f>X481+X483+X485</f>
        <v>885.98906009292</v>
      </c>
      <c r="Y487" s="539"/>
      <c r="Z487" s="627">
        <f>Z481+Z483+Z485</f>
        <v>239716.88704596605</v>
      </c>
      <c r="AA487" s="651">
        <f>Z487/G487*100</f>
        <v>17.845182948559721</v>
      </c>
      <c r="AB487" s="638">
        <f>AB481+AB483+AB485</f>
        <v>-2762.1098963079085</v>
      </c>
      <c r="AC487" s="602">
        <f>AA487/I487-1</f>
        <v>-1.1391130494347479E-2</v>
      </c>
      <c r="AD487" s="559"/>
      <c r="AF487" s="543"/>
      <c r="AI487" s="543"/>
      <c r="AK487" s="543"/>
      <c r="AM487" s="560"/>
    </row>
    <row r="488" spans="1:39" ht="12.95" thickTop="1">
      <c r="A488" s="6"/>
      <c r="B488" s="58"/>
      <c r="C488" s="10"/>
      <c r="D488" s="58"/>
      <c r="E488" s="30"/>
      <c r="F488" s="58"/>
      <c r="G488" s="129"/>
      <c r="H488" s="58"/>
      <c r="I488" s="58"/>
      <c r="J488" s="58"/>
      <c r="K488" s="58"/>
      <c r="L488" s="538"/>
      <c r="M488" s="538"/>
      <c r="N488" s="538"/>
      <c r="O488" s="538"/>
      <c r="P488" s="538"/>
      <c r="Q488" s="538"/>
      <c r="R488" s="564"/>
      <c r="S488" s="564"/>
      <c r="T488" s="538"/>
      <c r="U488" s="538"/>
      <c r="V488" s="538"/>
      <c r="W488" s="538"/>
      <c r="X488" s="538"/>
      <c r="Y488" s="58"/>
      <c r="Z488" s="58"/>
      <c r="AA488" s="58"/>
      <c r="AB488" s="534"/>
      <c r="AC488" s="501"/>
    </row>
    <row r="489" spans="1:39">
      <c r="A489" s="6"/>
      <c r="B489" s="58"/>
      <c r="C489" s="9" t="s">
        <v>148</v>
      </c>
      <c r="D489" s="58"/>
      <c r="E489" s="30"/>
      <c r="F489" s="58"/>
      <c r="G489" s="29"/>
      <c r="H489" s="58"/>
      <c r="I489" s="58"/>
      <c r="J489" s="58"/>
      <c r="K489" s="58"/>
      <c r="L489" s="538"/>
      <c r="M489" s="538"/>
      <c r="N489" s="538"/>
      <c r="O489" s="538"/>
      <c r="P489" s="538"/>
      <c r="Q489" s="538"/>
      <c r="R489" s="564"/>
      <c r="S489" s="564"/>
      <c r="T489" s="538"/>
      <c r="U489" s="538"/>
      <c r="V489" s="538"/>
      <c r="W489" s="538"/>
      <c r="X489" s="538"/>
      <c r="Y489" s="58"/>
      <c r="Z489" s="58"/>
      <c r="AA489" s="58"/>
      <c r="AB489" s="501"/>
      <c r="AC489" s="501"/>
    </row>
    <row r="490" spans="1:39">
      <c r="A490" s="6"/>
      <c r="B490" s="58"/>
      <c r="C490" s="521" t="s">
        <v>280</v>
      </c>
      <c r="D490" s="58"/>
      <c r="E490" s="30"/>
      <c r="F490" s="58"/>
      <c r="G490" s="29"/>
      <c r="H490" s="58"/>
      <c r="I490" s="58"/>
      <c r="J490" s="58"/>
      <c r="K490" s="58"/>
      <c r="L490" s="538"/>
      <c r="M490" s="538"/>
      <c r="N490" s="538"/>
      <c r="O490" s="538"/>
      <c r="P490" s="538"/>
      <c r="Q490" s="538"/>
      <c r="R490" s="564"/>
      <c r="S490" s="564"/>
      <c r="T490" s="538"/>
      <c r="U490" s="538"/>
      <c r="V490" s="538"/>
      <c r="W490" s="538"/>
      <c r="X490" s="538"/>
      <c r="Y490" s="58"/>
      <c r="Z490" s="58"/>
      <c r="AA490" s="58"/>
      <c r="AB490" s="501"/>
      <c r="AC490" s="501"/>
    </row>
    <row r="491" spans="1:39">
      <c r="A491" s="6">
        <f>MAX(A$472:A490)+1</f>
        <v>230</v>
      </c>
      <c r="B491" s="58"/>
      <c r="C491" s="526" t="s">
        <v>346</v>
      </c>
      <c r="D491" s="58"/>
      <c r="E491" s="522" t="s">
        <v>281</v>
      </c>
      <c r="F491" s="58"/>
      <c r="G491" s="29">
        <v>20879.34</v>
      </c>
      <c r="H491" s="58"/>
      <c r="I491" s="684">
        <v>69.394599999999997</v>
      </c>
      <c r="J491" s="539">
        <f>G491*I491/100</f>
        <v>14489.134475639999</v>
      </c>
      <c r="K491" s="58"/>
      <c r="L491" s="29">
        <v>1995.4594031400002</v>
      </c>
      <c r="M491" s="29">
        <v>0</v>
      </c>
      <c r="N491" s="29">
        <v>0</v>
      </c>
      <c r="O491" s="29">
        <v>0</v>
      </c>
      <c r="P491" s="29">
        <v>0</v>
      </c>
      <c r="Q491" s="538">
        <f>J491-L491-M491-N491-O491-P491</f>
        <v>12493.675072499998</v>
      </c>
      <c r="R491" s="564"/>
      <c r="S491" s="29">
        <v>341.39325128773999</v>
      </c>
      <c r="T491" s="29">
        <v>2105.7548294816397</v>
      </c>
      <c r="U491" s="29">
        <v>0</v>
      </c>
      <c r="V491" s="29">
        <v>0</v>
      </c>
      <c r="W491" s="29">
        <v>0</v>
      </c>
      <c r="X491" s="29">
        <v>0</v>
      </c>
      <c r="Y491" s="539"/>
      <c r="Z491" s="539">
        <f>Q491+S491+T491+U491+V491+W491+X491</f>
        <v>14940.823153269379</v>
      </c>
      <c r="AA491" s="548">
        <f>Z491/G491*100</f>
        <v>71.55792833140022</v>
      </c>
      <c r="AB491" s="534">
        <f>Z491-J491</f>
        <v>451.68867762937953</v>
      </c>
      <c r="AC491" s="541"/>
      <c r="AD491" s="542"/>
      <c r="AF491" s="543"/>
      <c r="AI491" s="543"/>
      <c r="AK491" s="543"/>
      <c r="AM491" s="560"/>
    </row>
    <row r="492" spans="1:39">
      <c r="A492" s="6">
        <f>MAX(A$472:A491)+1</f>
        <v>231</v>
      </c>
      <c r="B492" s="58"/>
      <c r="C492" s="526" t="s">
        <v>347</v>
      </c>
      <c r="D492" s="58"/>
      <c r="E492" s="522" t="s">
        <v>281</v>
      </c>
      <c r="F492" s="58"/>
      <c r="G492" s="29">
        <v>20175.232</v>
      </c>
      <c r="H492" s="58"/>
      <c r="I492" s="684">
        <v>33.057699999999997</v>
      </c>
      <c r="J492" s="539">
        <f t="shared" ref="J492:J493" si="172">G492*I492/100</f>
        <v>6669.4676688639993</v>
      </c>
      <c r="K492" s="58"/>
      <c r="L492" s="29">
        <v>864.54904166400001</v>
      </c>
      <c r="M492" s="29">
        <v>0</v>
      </c>
      <c r="N492" s="29">
        <v>0</v>
      </c>
      <c r="O492" s="29">
        <v>0</v>
      </c>
      <c r="P492" s="29">
        <v>0</v>
      </c>
      <c r="Q492" s="538">
        <f>J492-L492-M492-N492-O492-P492</f>
        <v>5804.9186271999988</v>
      </c>
      <c r="R492" s="564"/>
      <c r="S492" s="29">
        <v>158.62106482684612</v>
      </c>
      <c r="T492" s="29">
        <v>969.29625281579604</v>
      </c>
      <c r="U492" s="29">
        <v>0</v>
      </c>
      <c r="V492" s="29">
        <v>0</v>
      </c>
      <c r="W492" s="29">
        <v>0</v>
      </c>
      <c r="X492" s="29">
        <v>0</v>
      </c>
      <c r="Y492" s="539"/>
      <c r="Z492" s="539">
        <f>Q492+S492+T492+U492+V492+W492+X492</f>
        <v>6932.8359448426409</v>
      </c>
      <c r="AA492" s="548">
        <f>Z492/G492*100</f>
        <v>34.363103952621913</v>
      </c>
      <c r="AB492" s="534">
        <f>Z492-J492</f>
        <v>263.36827597864158</v>
      </c>
      <c r="AC492" s="541"/>
      <c r="AD492" s="542"/>
      <c r="AF492" s="543"/>
      <c r="AI492" s="543"/>
      <c r="AK492" s="543"/>
      <c r="AM492" s="560"/>
    </row>
    <row r="493" spans="1:39">
      <c r="A493" s="6">
        <f>MAX(A$472:A492)+1</f>
        <v>232</v>
      </c>
      <c r="C493" s="526" t="s">
        <v>348</v>
      </c>
      <c r="E493" s="522" t="s">
        <v>281</v>
      </c>
      <c r="G493" s="29">
        <v>5781.4719999999998</v>
      </c>
      <c r="I493" s="684">
        <v>28.335999999999999</v>
      </c>
      <c r="J493" s="539">
        <f t="shared" si="172"/>
        <v>1638.2379059199998</v>
      </c>
      <c r="L493" s="29">
        <v>208.138773472</v>
      </c>
      <c r="M493" s="29">
        <v>0</v>
      </c>
      <c r="N493" s="29">
        <v>0</v>
      </c>
      <c r="O493" s="29">
        <v>0</v>
      </c>
      <c r="P493" s="29">
        <v>0</v>
      </c>
      <c r="Q493" s="538">
        <f>J493-L493-M493-N493-O493-P493</f>
        <v>1430.0991324479999</v>
      </c>
      <c r="R493" s="64"/>
      <c r="S493" s="29">
        <v>39.077868574062677</v>
      </c>
      <c r="T493" s="29">
        <v>238.09064565111296</v>
      </c>
      <c r="U493" s="29">
        <v>0</v>
      </c>
      <c r="V493" s="29">
        <v>0</v>
      </c>
      <c r="W493" s="29">
        <v>0</v>
      </c>
      <c r="X493" s="29">
        <v>0</v>
      </c>
      <c r="Y493" s="567"/>
      <c r="Z493" s="539">
        <f>Q493+S493+T493+U493+V493+W493+X493</f>
        <v>1707.2676466731755</v>
      </c>
      <c r="AA493" s="548">
        <f>Z493/G493*100</f>
        <v>29.529982099250425</v>
      </c>
      <c r="AB493" s="534">
        <f>Z493-J493</f>
        <v>69.029740753175702</v>
      </c>
      <c r="AC493" s="541"/>
      <c r="AD493" s="542"/>
      <c r="AF493" s="543"/>
      <c r="AI493" s="543"/>
      <c r="AK493" s="543"/>
      <c r="AM493" s="560"/>
    </row>
    <row r="494" spans="1:39">
      <c r="A494" s="6">
        <f>MAX(A$472:A493)+1</f>
        <v>233</v>
      </c>
      <c r="B494" s="58"/>
      <c r="C494" s="521" t="s">
        <v>280</v>
      </c>
      <c r="D494" s="58"/>
      <c r="E494" s="574"/>
      <c r="F494" s="58"/>
      <c r="G494" s="411">
        <f>SUM(G491:G493)</f>
        <v>46836.044000000002</v>
      </c>
      <c r="H494" s="58"/>
      <c r="I494" s="556">
        <f>J494/G494*100</f>
        <v>48.673709612246498</v>
      </c>
      <c r="J494" s="554">
        <f>SUM(J491:J493)</f>
        <v>22796.840050423998</v>
      </c>
      <c r="K494" s="58"/>
      <c r="L494" s="619">
        <f>SUM(L491:L493)</f>
        <v>3068.1472182760003</v>
      </c>
      <c r="M494" s="619">
        <f t="shared" ref="M494:Q494" si="173">SUM(M491:M493)</f>
        <v>0</v>
      </c>
      <c r="N494" s="619">
        <f t="shared" si="173"/>
        <v>0</v>
      </c>
      <c r="O494" s="619">
        <f t="shared" si="173"/>
        <v>0</v>
      </c>
      <c r="P494" s="619">
        <f t="shared" si="173"/>
        <v>0</v>
      </c>
      <c r="Q494" s="619">
        <f t="shared" si="173"/>
        <v>19728.692832147994</v>
      </c>
      <c r="R494" s="564"/>
      <c r="S494" s="619">
        <f>SUM(S491:S493)</f>
        <v>539.09218468864879</v>
      </c>
      <c r="T494" s="619">
        <f t="shared" ref="T494:X494" si="174">SUM(T491:T493)</f>
        <v>3313.1417279485486</v>
      </c>
      <c r="U494" s="619">
        <f t="shared" si="174"/>
        <v>0</v>
      </c>
      <c r="V494" s="619">
        <f t="shared" si="174"/>
        <v>0</v>
      </c>
      <c r="W494" s="619">
        <f t="shared" si="174"/>
        <v>0</v>
      </c>
      <c r="X494" s="619">
        <f t="shared" si="174"/>
        <v>0</v>
      </c>
      <c r="Y494" s="686"/>
      <c r="Z494" s="554">
        <f>SUM(Z491:Z493)</f>
        <v>23580.926744785196</v>
      </c>
      <c r="AA494" s="556">
        <f>Z494/G494*100</f>
        <v>50.347819181280975</v>
      </c>
      <c r="AB494" s="552">
        <f>SUM(AB491:AB493)</f>
        <v>784.08669436119681</v>
      </c>
      <c r="AC494" s="562">
        <f>AA494/I494-1</f>
        <v>3.4394534182232706E-2</v>
      </c>
      <c r="AD494" s="542"/>
      <c r="AF494" s="543"/>
      <c r="AI494" s="543"/>
      <c r="AK494" s="543"/>
      <c r="AM494" s="560"/>
    </row>
    <row r="495" spans="1:39">
      <c r="A495" s="6"/>
      <c r="B495" s="58"/>
      <c r="C495" s="10"/>
      <c r="D495" s="58"/>
      <c r="E495" s="30"/>
      <c r="F495" s="58"/>
      <c r="G495" s="129"/>
      <c r="H495" s="58"/>
      <c r="I495" s="548"/>
      <c r="J495" s="539"/>
      <c r="K495" s="58"/>
      <c r="L495" s="501"/>
      <c r="M495" s="501"/>
      <c r="N495" s="501"/>
      <c r="O495" s="501"/>
      <c r="P495" s="501"/>
      <c r="Q495" s="534"/>
      <c r="R495" s="58"/>
      <c r="S495" s="539"/>
      <c r="T495" s="534"/>
      <c r="U495" s="534"/>
      <c r="V495" s="534"/>
      <c r="W495" s="534"/>
      <c r="X495" s="534"/>
      <c r="Y495" s="539"/>
      <c r="Z495" s="539"/>
      <c r="AA495" s="548"/>
      <c r="AB495" s="534"/>
      <c r="AC495" s="541"/>
      <c r="AD495" s="542"/>
      <c r="AF495" s="543"/>
      <c r="AI495" s="543"/>
      <c r="AK495" s="543"/>
      <c r="AM495" s="560"/>
    </row>
    <row r="496" spans="1:39">
      <c r="A496" s="6"/>
      <c r="B496" s="58"/>
      <c r="C496" s="521" t="s">
        <v>260</v>
      </c>
      <c r="D496" s="58"/>
      <c r="E496" s="30"/>
      <c r="F496" s="58"/>
      <c r="G496" s="29"/>
      <c r="H496" s="58"/>
      <c r="I496" s="548"/>
      <c r="J496" s="539"/>
      <c r="K496" s="58"/>
      <c r="L496" s="534"/>
      <c r="M496" s="534"/>
      <c r="N496" s="534"/>
      <c r="O496" s="534"/>
      <c r="P496" s="534"/>
      <c r="Q496" s="534"/>
      <c r="R496" s="539"/>
      <c r="S496" s="539"/>
      <c r="T496" s="534"/>
      <c r="U496" s="534"/>
      <c r="V496" s="534"/>
      <c r="W496" s="534"/>
      <c r="X496" s="534"/>
      <c r="Y496" s="539"/>
      <c r="Z496" s="539"/>
      <c r="AA496" s="548"/>
      <c r="AB496" s="534"/>
      <c r="AC496" s="541"/>
      <c r="AD496" s="542"/>
      <c r="AF496" s="543"/>
      <c r="AI496" s="543"/>
      <c r="AK496" s="543"/>
      <c r="AM496" s="560"/>
    </row>
    <row r="497" spans="1:39">
      <c r="A497" s="6">
        <f>MAX(A$472:A496)+1</f>
        <v>234</v>
      </c>
      <c r="B497" s="58"/>
      <c r="C497" s="526" t="s">
        <v>349</v>
      </c>
      <c r="D497" s="58"/>
      <c r="E497" s="522" t="s">
        <v>262</v>
      </c>
      <c r="F497" s="58"/>
      <c r="G497" s="29">
        <v>592384.97535999969</v>
      </c>
      <c r="H497" s="58"/>
      <c r="I497" s="684">
        <v>2.0339</v>
      </c>
      <c r="J497" s="539">
        <f>G497*I497/100</f>
        <v>12048.518013847035</v>
      </c>
      <c r="K497" s="58"/>
      <c r="L497" s="29">
        <v>1883.7842216447991</v>
      </c>
      <c r="M497" s="29">
        <v>353.88968430340589</v>
      </c>
      <c r="N497" s="29">
        <v>107.08991532537287</v>
      </c>
      <c r="O497" s="29">
        <v>512.53547882408759</v>
      </c>
      <c r="P497" s="29">
        <v>591.50700239859066</v>
      </c>
      <c r="Q497" s="538">
        <f>J497-L497-M497-N497-O497-P497</f>
        <v>8599.7117113507811</v>
      </c>
      <c r="R497" s="564"/>
      <c r="S497" s="29">
        <v>232.87720744722355</v>
      </c>
      <c r="T497" s="29">
        <v>2009.0744229661855</v>
      </c>
      <c r="U497" s="29">
        <v>344.07938554043716</v>
      </c>
      <c r="V497" s="29">
        <v>100.38325578128658</v>
      </c>
      <c r="W497" s="29">
        <v>629.60058421578094</v>
      </c>
      <c r="X497" s="29">
        <v>592.17367997549388</v>
      </c>
      <c r="Y497" s="564"/>
      <c r="Z497" s="564">
        <f>Q497+S497+T497+U497+V497+W497+X497</f>
        <v>12507.900247277188</v>
      </c>
      <c r="AA497" s="548">
        <f>Z497/G497*100</f>
        <v>2.1114479211218993</v>
      </c>
      <c r="AB497" s="534">
        <f>Z497-J497</f>
        <v>459.38223343015306</v>
      </c>
      <c r="AC497" s="541"/>
      <c r="AD497" s="542"/>
      <c r="AF497" s="543"/>
      <c r="AI497" s="543"/>
      <c r="AK497" s="543"/>
      <c r="AM497" s="560"/>
    </row>
    <row r="498" spans="1:39">
      <c r="A498" s="6">
        <f>MAX(A$472:A497)+1</f>
        <v>235</v>
      </c>
      <c r="B498" s="58"/>
      <c r="C498" s="526" t="s">
        <v>350</v>
      </c>
      <c r="D498" s="58"/>
      <c r="E498" s="522" t="s">
        <v>262</v>
      </c>
      <c r="F498" s="58"/>
      <c r="G498" s="132">
        <v>0</v>
      </c>
      <c r="H498" s="58"/>
      <c r="I498" s="684">
        <v>0.87250000000000005</v>
      </c>
      <c r="J498" s="132">
        <f>G498*I498/100</f>
        <v>0</v>
      </c>
      <c r="K498" s="58"/>
      <c r="L498" s="538">
        <v>0</v>
      </c>
      <c r="M498" s="538">
        <v>0</v>
      </c>
      <c r="N498" s="538">
        <v>0</v>
      </c>
      <c r="O498" s="538">
        <v>0</v>
      </c>
      <c r="P498" s="538">
        <v>0</v>
      </c>
      <c r="Q498" s="538">
        <f>J498-L498-M498-N498-O498-P498</f>
        <v>0</v>
      </c>
      <c r="R498" s="564"/>
      <c r="S498" s="564">
        <v>0</v>
      </c>
      <c r="T498" s="538">
        <v>0</v>
      </c>
      <c r="U498" s="538">
        <v>0</v>
      </c>
      <c r="V498" s="538">
        <v>0</v>
      </c>
      <c r="W498" s="538">
        <v>0</v>
      </c>
      <c r="X498" s="538">
        <v>0</v>
      </c>
      <c r="Y498" s="564"/>
      <c r="Z498" s="564">
        <f>Q498+S498+T498+U498+V498+W498+X498</f>
        <v>0</v>
      </c>
      <c r="AA498" s="564" t="str">
        <f>IFERROR(Z498/G498*100,"-")</f>
        <v>-</v>
      </c>
      <c r="AB498" s="538">
        <f>Z498-J498</f>
        <v>0</v>
      </c>
      <c r="AC498" s="541"/>
      <c r="AD498" s="542"/>
      <c r="AF498" s="543"/>
      <c r="AI498" s="543"/>
      <c r="AK498" s="543"/>
      <c r="AM498" s="560"/>
    </row>
    <row r="499" spans="1:39">
      <c r="A499" s="6">
        <f>MAX(A$472:A498)+1</f>
        <v>236</v>
      </c>
      <c r="B499" s="58"/>
      <c r="C499" s="521" t="s">
        <v>260</v>
      </c>
      <c r="D499" s="58"/>
      <c r="E499" s="574"/>
      <c r="F499" s="58"/>
      <c r="G499" s="411">
        <f>SUM(G497:G498)</f>
        <v>592384.97535999969</v>
      </c>
      <c r="H499" s="58"/>
      <c r="I499" s="556">
        <f>J499/G499*100</f>
        <v>2.0339000000000005</v>
      </c>
      <c r="J499" s="554">
        <f>SUM(J497:J498)</f>
        <v>12048.518013847035</v>
      </c>
      <c r="K499" s="58"/>
      <c r="L499" s="555">
        <f>SUM(L497:L498)</f>
        <v>1883.7842216447991</v>
      </c>
      <c r="M499" s="555">
        <f t="shared" ref="M499:Q499" si="175">SUM(M497:M498)</f>
        <v>353.88968430340589</v>
      </c>
      <c r="N499" s="555">
        <f t="shared" si="175"/>
        <v>107.08991532537287</v>
      </c>
      <c r="O499" s="555">
        <f t="shared" si="175"/>
        <v>512.53547882408759</v>
      </c>
      <c r="P499" s="555">
        <f t="shared" si="175"/>
        <v>591.50700239859066</v>
      </c>
      <c r="Q499" s="555">
        <f t="shared" si="175"/>
        <v>8599.7117113507811</v>
      </c>
      <c r="R499" s="564"/>
      <c r="S499" s="619">
        <f>SUM(S497:S498)</f>
        <v>232.87720744722355</v>
      </c>
      <c r="T499" s="619">
        <f t="shared" ref="T499:X499" si="176">SUM(T497:T498)</f>
        <v>2009.0744229661855</v>
      </c>
      <c r="U499" s="619">
        <f t="shared" si="176"/>
        <v>344.07938554043716</v>
      </c>
      <c r="V499" s="619">
        <f t="shared" si="176"/>
        <v>100.38325578128658</v>
      </c>
      <c r="W499" s="619">
        <f t="shared" si="176"/>
        <v>629.60058421578094</v>
      </c>
      <c r="X499" s="619">
        <f t="shared" si="176"/>
        <v>592.17367997549388</v>
      </c>
      <c r="Y499" s="564"/>
      <c r="Z499" s="619">
        <f>SUM(Z497:Z498)</f>
        <v>12507.900247277188</v>
      </c>
      <c r="AA499" s="556">
        <f>Z499/G499*100</f>
        <v>2.1114479211218993</v>
      </c>
      <c r="AB499" s="552">
        <f>SUM(AB497:AB498)</f>
        <v>459.38223343015306</v>
      </c>
      <c r="AC499" s="562">
        <f>AA499/I499-1</f>
        <v>3.8127696111853515E-2</v>
      </c>
      <c r="AD499" s="542"/>
      <c r="AF499" s="543"/>
      <c r="AI499" s="543"/>
      <c r="AK499" s="543"/>
      <c r="AM499" s="560"/>
    </row>
    <row r="500" spans="1:39">
      <c r="A500" s="6"/>
      <c r="B500" s="58"/>
      <c r="C500" s="10"/>
      <c r="D500" s="58"/>
      <c r="E500" s="30"/>
      <c r="F500" s="58"/>
      <c r="G500" s="129"/>
      <c r="H500" s="58"/>
      <c r="I500" s="548"/>
      <c r="J500" s="539"/>
      <c r="K500" s="58"/>
      <c r="L500" s="538"/>
      <c r="M500" s="538"/>
      <c r="N500" s="538"/>
      <c r="O500" s="538"/>
      <c r="P500" s="538"/>
      <c r="Q500" s="538"/>
      <c r="R500" s="564"/>
      <c r="S500" s="564"/>
      <c r="T500" s="538"/>
      <c r="U500" s="538"/>
      <c r="V500" s="538"/>
      <c r="W500" s="538"/>
      <c r="X500" s="538"/>
      <c r="Y500" s="564"/>
      <c r="Z500" s="564"/>
      <c r="AA500" s="564"/>
      <c r="AB500" s="538"/>
      <c r="AC500" s="541"/>
      <c r="AD500" s="542"/>
      <c r="AF500" s="543"/>
      <c r="AI500" s="543"/>
      <c r="AK500" s="543"/>
      <c r="AM500" s="560"/>
    </row>
    <row r="501" spans="1:39">
      <c r="A501" s="6">
        <f>MAX(A$472:A500)+1</f>
        <v>237</v>
      </c>
      <c r="B501" s="58"/>
      <c r="C501" s="526" t="s">
        <v>351</v>
      </c>
      <c r="D501" s="58"/>
      <c r="E501" s="522" t="s">
        <v>262</v>
      </c>
      <c r="F501" s="58"/>
      <c r="G501" s="29">
        <v>57602.159589999996</v>
      </c>
      <c r="H501" s="58"/>
      <c r="I501" s="684">
        <v>2.2423999999999999</v>
      </c>
      <c r="J501" s="539">
        <f>G501*I501/100</f>
        <v>1291.6708266461599</v>
      </c>
      <c r="K501" s="58"/>
      <c r="L501" s="29">
        <v>183.17486749619999</v>
      </c>
      <c r="M501" s="29">
        <v>34.411423179852598</v>
      </c>
      <c r="N501" s="29">
        <v>10.413178337791187</v>
      </c>
      <c r="O501" s="29">
        <v>49.837777247507958</v>
      </c>
      <c r="P501" s="29">
        <v>57.51678750808982</v>
      </c>
      <c r="Q501" s="538">
        <f>J501-L501-M501-N501-O501-P501</f>
        <v>956.31679287671841</v>
      </c>
      <c r="R501" s="564"/>
      <c r="S501" s="29">
        <v>25.926227465552074</v>
      </c>
      <c r="T501" s="29">
        <v>195.35780000084677</v>
      </c>
      <c r="U501" s="29">
        <v>33.457492174720862</v>
      </c>
      <c r="V501" s="29">
        <v>9.7610381089822358</v>
      </c>
      <c r="W501" s="29">
        <v>61.22092024348715</v>
      </c>
      <c r="X501" s="29">
        <v>57.581613710267753</v>
      </c>
      <c r="Y501" s="564"/>
      <c r="Z501" s="564">
        <f>Q501+S501+T501+U501+V501+W501+X501</f>
        <v>1339.6218845805752</v>
      </c>
      <c r="AA501" s="548">
        <f>Z501/G501*100</f>
        <v>2.3256452433653889</v>
      </c>
      <c r="AB501" s="534">
        <f>Z501-J501</f>
        <v>47.951057934415303</v>
      </c>
      <c r="AC501" s="541"/>
      <c r="AD501" s="542"/>
      <c r="AF501" s="543"/>
      <c r="AI501" s="543"/>
      <c r="AK501" s="543"/>
      <c r="AM501" s="560"/>
    </row>
    <row r="502" spans="1:39">
      <c r="A502" s="6">
        <f>MAX(A$472:A501)+1</f>
        <v>238</v>
      </c>
      <c r="B502" s="58"/>
      <c r="C502" s="526" t="s">
        <v>352</v>
      </c>
      <c r="D502" s="58"/>
      <c r="E502" s="522" t="s">
        <v>262</v>
      </c>
      <c r="F502" s="58"/>
      <c r="G502" s="29">
        <v>1276.4049299999999</v>
      </c>
      <c r="H502" s="58"/>
      <c r="I502" s="684">
        <v>7.4368999999999996</v>
      </c>
      <c r="J502" s="539">
        <f>G502*I502/100</f>
        <v>94.924958239169996</v>
      </c>
      <c r="K502" s="58"/>
      <c r="L502" s="29">
        <v>4.0589676774000001</v>
      </c>
      <c r="M502" s="29">
        <v>0</v>
      </c>
      <c r="N502" s="29">
        <v>0.65508486657600595</v>
      </c>
      <c r="O502" s="29">
        <v>0.80120681594156196</v>
      </c>
      <c r="P502" s="29">
        <v>0.86032447809677703</v>
      </c>
      <c r="Q502" s="538">
        <f>J502-L502-M502-N502-O502-P502</f>
        <v>88.54937440115566</v>
      </c>
      <c r="R502" s="564"/>
      <c r="S502" s="29">
        <v>2.4166010246767655</v>
      </c>
      <c r="T502" s="29">
        <v>4.328928998667684</v>
      </c>
      <c r="U502" s="29">
        <v>0</v>
      </c>
      <c r="V502" s="29">
        <v>0.6140592372321052</v>
      </c>
      <c r="W502" s="29">
        <v>0.98420558231756494</v>
      </c>
      <c r="X502" s="29">
        <v>0.86129413532159815</v>
      </c>
      <c r="Y502" s="564"/>
      <c r="Z502" s="564">
        <f>Q502+S502+T502+U502+V502+W502+X502</f>
        <v>97.754463379371373</v>
      </c>
      <c r="AA502" s="548">
        <f>Z502/G502*100</f>
        <v>7.6585777038146796</v>
      </c>
      <c r="AB502" s="534">
        <f>Z502-J502</f>
        <v>2.8295051402013769</v>
      </c>
      <c r="AC502" s="541"/>
      <c r="AD502" s="542"/>
      <c r="AF502" s="543"/>
      <c r="AI502" s="543"/>
      <c r="AK502" s="543"/>
      <c r="AM502" s="560"/>
    </row>
    <row r="503" spans="1:39">
      <c r="A503" s="6"/>
      <c r="B503" s="58"/>
      <c r="C503" s="10"/>
      <c r="D503" s="58"/>
      <c r="E503" s="30"/>
      <c r="F503" s="58"/>
      <c r="G503" s="132"/>
      <c r="H503" s="58"/>
      <c r="I503" s="548"/>
      <c r="J503" s="539"/>
      <c r="K503" s="58"/>
      <c r="L503" s="538"/>
      <c r="M503" s="538"/>
      <c r="N503" s="538"/>
      <c r="O503" s="538"/>
      <c r="P503" s="538"/>
      <c r="Q503" s="538"/>
      <c r="R503" s="564"/>
      <c r="S503" s="564"/>
      <c r="T503" s="538"/>
      <c r="U503" s="538"/>
      <c r="V503" s="538"/>
      <c r="W503" s="538"/>
      <c r="X503" s="538"/>
      <c r="Y503" s="564"/>
      <c r="Z503" s="564"/>
      <c r="AA503" s="564"/>
      <c r="AB503" s="538"/>
      <c r="AC503" s="541"/>
      <c r="AD503" s="542"/>
      <c r="AF503" s="543"/>
      <c r="AI503" s="543"/>
      <c r="AK503" s="543"/>
      <c r="AM503" s="560"/>
    </row>
    <row r="504" spans="1:39">
      <c r="A504" s="6">
        <f>MAX(A$472:A503)+1</f>
        <v>239</v>
      </c>
      <c r="B504" s="58"/>
      <c r="C504" s="10" t="s">
        <v>353</v>
      </c>
      <c r="D504" s="58"/>
      <c r="E504" s="30"/>
      <c r="F504" s="58"/>
      <c r="G504" s="411">
        <f>G499</f>
        <v>592384.97535999969</v>
      </c>
      <c r="H504" s="58"/>
      <c r="I504" s="556">
        <f>J504/G504*100</f>
        <v>6.1162850774764754</v>
      </c>
      <c r="J504" s="554">
        <f>J494+J499+J501+J502</f>
        <v>36231.953849156358</v>
      </c>
      <c r="K504" s="539"/>
      <c r="L504" s="619">
        <f t="shared" ref="L504:X504" si="177">L494+L499+L501+L502</f>
        <v>5139.1652750943995</v>
      </c>
      <c r="M504" s="619">
        <f t="shared" si="177"/>
        <v>388.30110748325848</v>
      </c>
      <c r="N504" s="619">
        <f t="shared" si="177"/>
        <v>118.15817852974007</v>
      </c>
      <c r="O504" s="619">
        <f t="shared" si="177"/>
        <v>563.17446288753706</v>
      </c>
      <c r="P504" s="619">
        <f t="shared" si="177"/>
        <v>649.88411438477726</v>
      </c>
      <c r="Q504" s="619">
        <f>Q494+Q499+Q501+Q502</f>
        <v>29373.270710776647</v>
      </c>
      <c r="R504" s="564"/>
      <c r="S504" s="619">
        <f>S494+S499+S501+S502</f>
        <v>800.31222062610118</v>
      </c>
      <c r="T504" s="619">
        <f t="shared" si="177"/>
        <v>5521.9028799142479</v>
      </c>
      <c r="U504" s="619">
        <f t="shared" si="177"/>
        <v>377.53687771515803</v>
      </c>
      <c r="V504" s="619">
        <f t="shared" si="177"/>
        <v>110.75835312750092</v>
      </c>
      <c r="W504" s="619">
        <f t="shared" si="177"/>
        <v>691.80571004158571</v>
      </c>
      <c r="X504" s="619">
        <f t="shared" si="177"/>
        <v>650.61658782108327</v>
      </c>
      <c r="Y504" s="564"/>
      <c r="Z504" s="619">
        <f>Z494+Z499+Z501+Z502</f>
        <v>37526.203340022337</v>
      </c>
      <c r="AA504" s="556">
        <f>Z504/G504*100</f>
        <v>6.3347662248214851</v>
      </c>
      <c r="AB504" s="552">
        <f>AB494+AB499+AB501+AB502</f>
        <v>1294.2494908659664</v>
      </c>
      <c r="AC504" s="656">
        <f>AA504/I504-1</f>
        <v>3.5721217140381123E-2</v>
      </c>
      <c r="AD504" s="630"/>
      <c r="AF504" s="543"/>
      <c r="AI504" s="543"/>
      <c r="AK504" s="543"/>
      <c r="AM504" s="560"/>
    </row>
    <row r="505" spans="1:39">
      <c r="A505" s="6"/>
      <c r="B505" s="58"/>
      <c r="D505" s="58"/>
      <c r="E505" s="30"/>
      <c r="F505" s="58"/>
      <c r="G505" s="132"/>
      <c r="H505" s="58"/>
      <c r="I505" s="548"/>
      <c r="J505" s="539"/>
      <c r="K505" s="58"/>
      <c r="L505" s="538"/>
      <c r="M505" s="538"/>
      <c r="N505" s="538"/>
      <c r="O505" s="538"/>
      <c r="P505" s="538"/>
      <c r="Q505" s="538"/>
      <c r="R505" s="564"/>
      <c r="S505" s="564"/>
      <c r="T505" s="538"/>
      <c r="U505" s="538"/>
      <c r="V505" s="538"/>
      <c r="W505" s="538"/>
      <c r="X505" s="538"/>
      <c r="Y505" s="564"/>
      <c r="Z505" s="564"/>
      <c r="AA505" s="564"/>
      <c r="AB505" s="538"/>
      <c r="AC505" s="541"/>
      <c r="AD505" s="542"/>
      <c r="AF505" s="543"/>
      <c r="AI505" s="543"/>
      <c r="AK505" s="543"/>
      <c r="AM505" s="560"/>
    </row>
    <row r="506" spans="1:39">
      <c r="A506" s="6"/>
      <c r="B506" s="58"/>
      <c r="C506" s="10" t="s">
        <v>354</v>
      </c>
      <c r="D506" s="58"/>
      <c r="E506" s="574"/>
      <c r="F506" s="58"/>
      <c r="G506" s="132"/>
      <c r="H506" s="58"/>
      <c r="I506" s="548"/>
      <c r="J506" s="539"/>
      <c r="K506" s="58"/>
      <c r="L506" s="538"/>
      <c r="M506" s="538"/>
      <c r="N506" s="538"/>
      <c r="O506" s="538"/>
      <c r="P506" s="538"/>
      <c r="Q506" s="538"/>
      <c r="R506" s="564"/>
      <c r="S506" s="564"/>
      <c r="T506" s="538"/>
      <c r="U506" s="538"/>
      <c r="V506" s="538"/>
      <c r="W506" s="538"/>
      <c r="X506" s="538"/>
      <c r="Y506" s="564"/>
      <c r="Z506" s="564"/>
      <c r="AA506" s="564"/>
      <c r="AB506" s="538"/>
      <c r="AC506" s="541"/>
      <c r="AD506" s="542"/>
      <c r="AF506" s="543"/>
      <c r="AI506" s="543"/>
      <c r="AK506" s="543"/>
      <c r="AM506" s="560"/>
    </row>
    <row r="507" spans="1:39">
      <c r="A507" s="6">
        <f>MAX(A$472:A506)+1</f>
        <v>240</v>
      </c>
      <c r="B507" s="58"/>
      <c r="C507" s="12" t="s">
        <v>258</v>
      </c>
      <c r="D507" s="58"/>
      <c r="E507" s="6" t="s">
        <v>259</v>
      </c>
      <c r="F507" s="58"/>
      <c r="G507" s="29">
        <v>36.000000000000014</v>
      </c>
      <c r="H507" s="58"/>
      <c r="I507" s="537">
        <v>755.88</v>
      </c>
      <c r="J507" s="539">
        <f>G507*I507/1000</f>
        <v>27.211680000000012</v>
      </c>
      <c r="K507" s="58"/>
      <c r="L507" s="29">
        <v>0</v>
      </c>
      <c r="M507" s="29">
        <v>0</v>
      </c>
      <c r="N507" s="29">
        <v>0</v>
      </c>
      <c r="O507" s="29">
        <v>0</v>
      </c>
      <c r="P507" s="29">
        <v>0</v>
      </c>
      <c r="Q507" s="538">
        <f>J507-L507-M507-N507-O507-P507</f>
        <v>27.211680000000012</v>
      </c>
      <c r="R507" s="564"/>
      <c r="S507" s="29">
        <v>0.74356695322176591</v>
      </c>
      <c r="T507" s="29">
        <v>0</v>
      </c>
      <c r="U507" s="29">
        <v>0</v>
      </c>
      <c r="V507" s="29">
        <v>0</v>
      </c>
      <c r="W507" s="29">
        <v>0</v>
      </c>
      <c r="X507" s="29">
        <v>0</v>
      </c>
      <c r="Y507" s="564"/>
      <c r="Z507" s="564">
        <f>Q507+S507+T507+U507+V507+W507+X507</f>
        <v>27.955246953221778</v>
      </c>
      <c r="AA507" s="537">
        <f>Z507/G507*1000</f>
        <v>776.53463758949351</v>
      </c>
      <c r="AB507" s="534">
        <f>Z507-J507</f>
        <v>0.74356695322176591</v>
      </c>
      <c r="AC507" s="541">
        <f>AA507/I507-1</f>
        <v>2.7325286539521487E-2</v>
      </c>
      <c r="AD507" s="542"/>
      <c r="AF507" s="543"/>
      <c r="AI507" s="543"/>
      <c r="AK507" s="543"/>
      <c r="AM507" s="560"/>
    </row>
    <row r="508" spans="1:39">
      <c r="A508" s="6">
        <f>MAX(A$472:A507)+1</f>
        <v>241</v>
      </c>
      <c r="B508" s="58"/>
      <c r="C508" s="526" t="s">
        <v>260</v>
      </c>
      <c r="D508" s="58"/>
      <c r="E508" s="522" t="s">
        <v>262</v>
      </c>
      <c r="F508" s="58"/>
      <c r="G508" s="29">
        <v>238.00964000000002</v>
      </c>
      <c r="H508" s="58"/>
      <c r="I508" s="684">
        <v>3.5886</v>
      </c>
      <c r="J508" s="539">
        <f>G508*I508/100</f>
        <v>8.5412139410400005</v>
      </c>
      <c r="K508" s="58"/>
      <c r="L508" s="29">
        <v>1.7641274516800001</v>
      </c>
      <c r="M508" s="29">
        <v>1.85773206127288</v>
      </c>
      <c r="N508" s="29">
        <v>2.9490087921875002E-2</v>
      </c>
      <c r="O508" s="29">
        <v>0.17679428565583963</v>
      </c>
      <c r="P508" s="29">
        <v>0.13488452849963448</v>
      </c>
      <c r="Q508" s="538">
        <f>J508-L508-M508-N508-O508-P508</f>
        <v>4.5781855260097704</v>
      </c>
      <c r="R508" s="564"/>
      <c r="S508" s="29">
        <v>0.12509648990509525</v>
      </c>
      <c r="T508" s="29">
        <v>1.2722303705276734</v>
      </c>
      <c r="U508" s="29">
        <v>1.8062332260397864</v>
      </c>
      <c r="V508" s="29">
        <v>2.7643228868748766E-2</v>
      </c>
      <c r="W508" s="29">
        <v>0.21717479108042784</v>
      </c>
      <c r="X508" s="29">
        <v>0.1350365545792197</v>
      </c>
      <c r="Y508" s="564"/>
      <c r="Z508" s="564">
        <f>Q508+S508+T508+U508+V508+W508+X508</f>
        <v>8.1616001870107215</v>
      </c>
      <c r="AA508" s="684">
        <v>3.2719052054076672</v>
      </c>
      <c r="AB508" s="538">
        <f>Z508-J508</f>
        <v>-0.37961375402927899</v>
      </c>
      <c r="AC508" s="559">
        <f>AA508/I508-1</f>
        <v>-8.8250235354269901E-2</v>
      </c>
      <c r="AD508" s="559"/>
      <c r="AF508" s="543"/>
      <c r="AI508" s="543"/>
      <c r="AK508" s="543"/>
      <c r="AM508" s="560"/>
    </row>
    <row r="509" spans="1:39">
      <c r="A509" s="6">
        <f>MAX(A$472:A508)+1</f>
        <v>242</v>
      </c>
      <c r="B509" s="58"/>
      <c r="C509" s="12" t="s">
        <v>355</v>
      </c>
      <c r="D509" s="58"/>
      <c r="E509" s="522" t="s">
        <v>262</v>
      </c>
      <c r="F509" s="58"/>
      <c r="G509" s="29">
        <v>2278.64</v>
      </c>
      <c r="H509" s="58"/>
      <c r="I509" s="684">
        <v>3.7970999999999999</v>
      </c>
      <c r="J509" s="539">
        <f>G509*I509/100</f>
        <v>86.522239439999993</v>
      </c>
      <c r="K509" s="58"/>
      <c r="L509" s="29">
        <v>16.889279679999998</v>
      </c>
      <c r="M509" s="29">
        <v>17.785424926901428</v>
      </c>
      <c r="N509" s="29">
        <v>0</v>
      </c>
      <c r="O509" s="29">
        <v>0</v>
      </c>
      <c r="P509" s="29">
        <v>0</v>
      </c>
      <c r="Q509" s="538">
        <f>J509-L509-M509-N509-O509-P509</f>
        <v>51.847534833098564</v>
      </c>
      <c r="R509" s="564"/>
      <c r="S509" s="29">
        <v>1.3274614657023633</v>
      </c>
      <c r="T509" s="29">
        <v>12.179989900825769</v>
      </c>
      <c r="U509" s="29">
        <v>17.292388989720326</v>
      </c>
      <c r="V509" s="29">
        <v>0</v>
      </c>
      <c r="W509" s="29">
        <v>0</v>
      </c>
      <c r="X509" s="29">
        <v>0</v>
      </c>
      <c r="Y509" s="564"/>
      <c r="Z509" s="564">
        <f>Q509+S509+T509+U509+V509+W509+X509</f>
        <v>82.647375189347017</v>
      </c>
      <c r="AA509" s="548">
        <f>Z509/G509*100</f>
        <v>3.6270483792677659</v>
      </c>
      <c r="AB509" s="671">
        <f>Z509-J509</f>
        <v>-3.8748642506529762</v>
      </c>
      <c r="AC509" s="559">
        <f>AA509/I509-1</f>
        <v>-4.4784604232765535E-2</v>
      </c>
      <c r="AD509" s="559"/>
      <c r="AF509" s="543"/>
      <c r="AI509" s="543"/>
      <c r="AK509" s="543"/>
      <c r="AM509" s="560"/>
    </row>
    <row r="510" spans="1:39">
      <c r="A510" s="6"/>
      <c r="B510" s="58"/>
      <c r="C510" s="10"/>
      <c r="D510" s="58"/>
      <c r="E510" s="30"/>
      <c r="F510" s="58"/>
      <c r="G510" s="29"/>
      <c r="H510" s="58"/>
      <c r="I510" s="548"/>
      <c r="J510" s="539"/>
      <c r="K510" s="58"/>
      <c r="L510" s="538"/>
      <c r="M510" s="538"/>
      <c r="N510" s="538"/>
      <c r="O510" s="538"/>
      <c r="P510" s="538"/>
      <c r="Q510" s="538">
        <f>J510-L510-M510-N510-O510-P510</f>
        <v>0</v>
      </c>
      <c r="R510" s="564"/>
      <c r="S510" s="564"/>
      <c r="T510" s="538"/>
      <c r="U510" s="538"/>
      <c r="V510" s="538"/>
      <c r="W510" s="538"/>
      <c r="X510" s="538"/>
      <c r="Y510" s="564"/>
      <c r="Z510" s="564"/>
      <c r="AA510" s="564"/>
      <c r="AB510" s="538"/>
      <c r="AC510" s="541"/>
      <c r="AD510" s="542"/>
      <c r="AF510" s="543"/>
      <c r="AI510" s="543"/>
      <c r="AK510" s="543"/>
      <c r="AM510" s="560"/>
    </row>
    <row r="511" spans="1:39">
      <c r="A511" s="6">
        <f>MAX(A$472:A510)+1</f>
        <v>243</v>
      </c>
      <c r="B511" s="58"/>
      <c r="C511" s="10" t="s">
        <v>356</v>
      </c>
      <c r="D511" s="58"/>
      <c r="E511" s="30"/>
      <c r="F511" s="58"/>
      <c r="G511" s="411">
        <f>G508</f>
        <v>238.00964000000002</v>
      </c>
      <c r="H511" s="58"/>
      <c r="I511" s="556">
        <f>J511/G511*100</f>
        <v>51.374025598727847</v>
      </c>
      <c r="J511" s="554">
        <f>J507+J508+J509</f>
        <v>122.27513338104001</v>
      </c>
      <c r="K511" s="58"/>
      <c r="L511" s="555">
        <f>SUM(L507:L510)</f>
        <v>18.653407131679998</v>
      </c>
      <c r="M511" s="555">
        <f t="shared" ref="M511:Q511" si="178">SUM(M507:M510)</f>
        <v>19.643156988174308</v>
      </c>
      <c r="N511" s="555">
        <f t="shared" si="178"/>
        <v>2.9490087921875002E-2</v>
      </c>
      <c r="O511" s="555">
        <f t="shared" si="178"/>
        <v>0.17679428565583963</v>
      </c>
      <c r="P511" s="555">
        <f t="shared" si="178"/>
        <v>0.13488452849963448</v>
      </c>
      <c r="Q511" s="555">
        <f t="shared" si="178"/>
        <v>83.637400359108341</v>
      </c>
      <c r="R511" s="564"/>
      <c r="S511" s="619">
        <f>SUM(S507:S510)</f>
        <v>2.1961249088292245</v>
      </c>
      <c r="T511" s="619">
        <f t="shared" ref="T511:X511" si="179">SUM(T507:T510)</f>
        <v>13.452220271353442</v>
      </c>
      <c r="U511" s="619">
        <f t="shared" si="179"/>
        <v>19.098622215760113</v>
      </c>
      <c r="V511" s="619">
        <f t="shared" si="179"/>
        <v>2.7643228868748766E-2</v>
      </c>
      <c r="W511" s="619">
        <f t="shared" si="179"/>
        <v>0.21717479108042784</v>
      </c>
      <c r="X511" s="619">
        <f t="shared" si="179"/>
        <v>0.1350365545792197</v>
      </c>
      <c r="Y511" s="564"/>
      <c r="Z511" s="619">
        <f t="shared" ref="Z511" si="180">SUM(Z507:Z510)</f>
        <v>118.76422232957952</v>
      </c>
      <c r="AA511" s="556">
        <f>Z511/G511*100</f>
        <v>49.898912636303102</v>
      </c>
      <c r="AB511" s="555">
        <f>SUM(AB507:AB510)</f>
        <v>-3.5109110514604893</v>
      </c>
      <c r="AC511" s="558">
        <f>AA511/I511-1</f>
        <v>-2.8713205656620278E-2</v>
      </c>
      <c r="AD511" s="559"/>
      <c r="AF511" s="543"/>
      <c r="AI511" s="543"/>
      <c r="AK511" s="543"/>
      <c r="AM511" s="560"/>
    </row>
    <row r="512" spans="1:39">
      <c r="A512" s="6"/>
      <c r="B512" s="58"/>
      <c r="D512" s="58"/>
      <c r="E512" s="30"/>
      <c r="F512" s="58"/>
      <c r="G512" s="132"/>
      <c r="H512" s="58"/>
      <c r="I512" s="548"/>
      <c r="J512" s="539"/>
      <c r="K512" s="58"/>
      <c r="L512" s="538"/>
      <c r="M512" s="538"/>
      <c r="N512" s="538"/>
      <c r="O512" s="538"/>
      <c r="P512" s="538"/>
      <c r="Q512" s="538"/>
      <c r="R512" s="564"/>
      <c r="S512" s="564"/>
      <c r="T512" s="538"/>
      <c r="U512" s="538"/>
      <c r="V512" s="538"/>
      <c r="W512" s="538"/>
      <c r="X512" s="538"/>
      <c r="Y512" s="564"/>
      <c r="Z512" s="564"/>
      <c r="AA512" s="564"/>
      <c r="AB512" s="538"/>
      <c r="AC512" s="541"/>
      <c r="AD512" s="542"/>
      <c r="AI512" s="543"/>
      <c r="AK512" s="543"/>
      <c r="AM512" s="560"/>
    </row>
    <row r="513" spans="1:39">
      <c r="A513" s="6">
        <f>MAX(A$472:A512)+1</f>
        <v>244</v>
      </c>
      <c r="B513" s="58"/>
      <c r="C513" s="10" t="s">
        <v>357</v>
      </c>
      <c r="D513" s="58"/>
      <c r="E513" s="522" t="s">
        <v>262</v>
      </c>
      <c r="F513" s="58"/>
      <c r="G513" s="29">
        <v>16020.952840000002</v>
      </c>
      <c r="H513" s="58"/>
      <c r="I513" s="684">
        <v>0.20849999999999999</v>
      </c>
      <c r="J513" s="539">
        <f>G513*I513/100</f>
        <v>33.403686671400003</v>
      </c>
      <c r="K513" s="58"/>
      <c r="L513" s="29">
        <v>0</v>
      </c>
      <c r="M513" s="29">
        <v>0</v>
      </c>
      <c r="N513" s="29">
        <v>0</v>
      </c>
      <c r="O513" s="29">
        <v>0</v>
      </c>
      <c r="P513" s="29">
        <v>0</v>
      </c>
      <c r="Q513" s="538">
        <f>J513-L513-M513-N513-O513-P513</f>
        <v>33.403686671400003</v>
      </c>
      <c r="R513" s="564"/>
      <c r="S513" s="29">
        <v>0.91276530977239645</v>
      </c>
      <c r="T513" s="29">
        <v>0</v>
      </c>
      <c r="U513" s="29">
        <v>0</v>
      </c>
      <c r="V513" s="29">
        <v>0</v>
      </c>
      <c r="W513" s="29">
        <v>0</v>
      </c>
      <c r="X513" s="29">
        <v>0</v>
      </c>
      <c r="Y513" s="564"/>
      <c r="Z513" s="564">
        <f>Q513+S513+T513+U513+V513+W513+X513</f>
        <v>34.316451981172399</v>
      </c>
      <c r="AA513" s="548">
        <f>Z513/G513*100</f>
        <v>0.21419732224349022</v>
      </c>
      <c r="AB513" s="534">
        <f>Z513-J513</f>
        <v>0.91276530977239645</v>
      </c>
      <c r="AC513" s="541">
        <f>AA513/I513-1</f>
        <v>2.7325286539521487E-2</v>
      </c>
      <c r="AD513" s="542"/>
      <c r="AF513" s="543"/>
      <c r="AI513" s="543"/>
      <c r="AK513" s="543"/>
      <c r="AM513" s="560"/>
    </row>
    <row r="514" spans="1:39">
      <c r="A514" s="6">
        <f>MAX(A$472:A513)+1</f>
        <v>245</v>
      </c>
      <c r="B514" s="58"/>
      <c r="C514" s="10" t="s">
        <v>270</v>
      </c>
      <c r="D514" s="58"/>
      <c r="E514" s="522" t="s">
        <v>262</v>
      </c>
      <c r="F514" s="58"/>
      <c r="G514" s="29">
        <v>59361.556339999981</v>
      </c>
      <c r="H514" s="58"/>
      <c r="I514" s="684">
        <v>20.538400000000003</v>
      </c>
      <c r="J514" s="539">
        <f>G514*I514/100</f>
        <v>12191.913887334556</v>
      </c>
      <c r="K514" s="58"/>
      <c r="L514" s="29">
        <v>0</v>
      </c>
      <c r="M514" s="29">
        <v>0</v>
      </c>
      <c r="N514" s="29">
        <v>0</v>
      </c>
      <c r="O514" s="29">
        <v>0</v>
      </c>
      <c r="P514" s="29">
        <v>0</v>
      </c>
      <c r="Q514" s="538">
        <f>J514-L514-M514-N514-O514-P514</f>
        <v>12191.913887334556</v>
      </c>
      <c r="R514" s="564"/>
      <c r="S514" s="29">
        <v>-1.1987108654161887</v>
      </c>
      <c r="T514" s="29">
        <v>0</v>
      </c>
      <c r="U514" s="29">
        <v>0</v>
      </c>
      <c r="V514" s="29">
        <v>0</v>
      </c>
      <c r="W514" s="29">
        <v>0</v>
      </c>
      <c r="X514" s="29">
        <v>0</v>
      </c>
      <c r="Y514" s="564"/>
      <c r="Z514" s="564">
        <f>Q514+S514+T514+U514+V514+W514+X514</f>
        <v>12190.715176469141</v>
      </c>
      <c r="AA514" s="548">
        <f>Z514/G514*100</f>
        <v>20.536380661324731</v>
      </c>
      <c r="AB514" s="671">
        <f>Z514-J514</f>
        <v>-1.1987108654157055</v>
      </c>
      <c r="AC514" s="541">
        <f>AA514/I514-1</f>
        <v>-9.8320155185960267E-5</v>
      </c>
      <c r="AD514" s="542"/>
      <c r="AF514" s="543"/>
      <c r="AI514" s="543"/>
      <c r="AK514" s="543"/>
      <c r="AM514" s="560"/>
    </row>
    <row r="515" spans="1:39">
      <c r="A515" s="6"/>
      <c r="B515" s="58"/>
      <c r="C515" s="10"/>
      <c r="D515" s="58"/>
      <c r="E515" s="574"/>
      <c r="F515" s="58"/>
      <c r="G515" s="132"/>
      <c r="H515" s="58"/>
      <c r="I515" s="684"/>
      <c r="J515" s="539"/>
      <c r="K515" s="58"/>
      <c r="L515" s="538"/>
      <c r="M515" s="538"/>
      <c r="N515" s="538"/>
      <c r="O515" s="538"/>
      <c r="P515" s="538"/>
      <c r="Q515" s="538"/>
      <c r="R515" s="564"/>
      <c r="S515" s="564"/>
      <c r="T515" s="538"/>
      <c r="U515" s="538"/>
      <c r="V515" s="538"/>
      <c r="W515" s="538"/>
      <c r="X515" s="538"/>
      <c r="Y515" s="564"/>
      <c r="Z515" s="564"/>
      <c r="AA515" s="548"/>
      <c r="AB515" s="538"/>
      <c r="AC515" s="671"/>
      <c r="AD515" s="542"/>
      <c r="AF515" s="543"/>
      <c r="AI515" s="543"/>
      <c r="AK515" s="543"/>
      <c r="AM515" s="560"/>
    </row>
    <row r="516" spans="1:39" ht="12.95" thickBot="1">
      <c r="A516" s="6">
        <f>MAX(A$472:A515)+1</f>
        <v>246</v>
      </c>
      <c r="B516" s="58"/>
      <c r="C516" s="10" t="s">
        <v>358</v>
      </c>
      <c r="D516" s="58"/>
      <c r="E516" s="30"/>
      <c r="F516" s="58"/>
      <c r="G516" s="439">
        <f>G504+G511</f>
        <v>592622.98499999964</v>
      </c>
      <c r="H516" s="58"/>
      <c r="I516" s="572">
        <f>J516/G516*100</f>
        <v>8.1973780609510758</v>
      </c>
      <c r="J516" s="627">
        <f>J504+J511+J513+J514</f>
        <v>48579.546556543355</v>
      </c>
      <c r="K516" s="539"/>
      <c r="L516" s="628">
        <f t="shared" ref="L516:Z516" si="181">L504+L511+L513+L514</f>
        <v>5157.8186822260795</v>
      </c>
      <c r="M516" s="628">
        <f t="shared" si="181"/>
        <v>407.9442644714328</v>
      </c>
      <c r="N516" s="628">
        <f t="shared" si="181"/>
        <v>118.18766861766194</v>
      </c>
      <c r="O516" s="628">
        <f t="shared" si="181"/>
        <v>563.35125717319295</v>
      </c>
      <c r="P516" s="628">
        <f t="shared" si="181"/>
        <v>650.01899891327685</v>
      </c>
      <c r="Q516" s="628">
        <f t="shared" si="181"/>
        <v>41682.225685141711</v>
      </c>
      <c r="R516" s="564"/>
      <c r="S516" s="628">
        <f t="shared" si="181"/>
        <v>802.22239997928659</v>
      </c>
      <c r="T516" s="628">
        <f t="shared" si="181"/>
        <v>5535.3551001856013</v>
      </c>
      <c r="U516" s="628">
        <f t="shared" si="181"/>
        <v>396.63549993091812</v>
      </c>
      <c r="V516" s="628">
        <f t="shared" si="181"/>
        <v>110.78599635636968</v>
      </c>
      <c r="W516" s="628">
        <f t="shared" si="181"/>
        <v>692.02288483266614</v>
      </c>
      <c r="X516" s="628">
        <f t="shared" si="181"/>
        <v>650.75162437566246</v>
      </c>
      <c r="Y516" s="564"/>
      <c r="Z516" s="628">
        <f t="shared" si="181"/>
        <v>49869.99919080222</v>
      </c>
      <c r="AA516" s="572">
        <f>Z516/G516*100</f>
        <v>8.4151307750579836</v>
      </c>
      <c r="AB516" s="571">
        <f>AB504+AB511+AB513+AB514</f>
        <v>1290.4526342588626</v>
      </c>
      <c r="AC516" s="573">
        <f>AA516/I516-1</f>
        <v>2.6563702745905138E-2</v>
      </c>
      <c r="AD516" s="542"/>
      <c r="AF516" s="543"/>
      <c r="AI516" s="543"/>
      <c r="AK516" s="543"/>
      <c r="AM516" s="560"/>
    </row>
    <row r="517" spans="1:39" ht="12.95" thickTop="1">
      <c r="L517" s="2"/>
      <c r="M517" s="2"/>
      <c r="N517" s="2"/>
      <c r="O517" s="2"/>
      <c r="P517" s="501"/>
      <c r="Q517" s="501"/>
      <c r="T517" s="501"/>
      <c r="U517" s="501"/>
      <c r="V517" s="501"/>
      <c r="W517" s="501"/>
      <c r="X517" s="501"/>
      <c r="AB517" s="538"/>
      <c r="AC517" s="501"/>
      <c r="AF517" s="543"/>
      <c r="AI517" s="543"/>
      <c r="AK517" s="543"/>
      <c r="AM517" s="560"/>
    </row>
    <row r="518" spans="1:39">
      <c r="L518" s="2"/>
      <c r="M518" s="2"/>
      <c r="N518" s="2"/>
      <c r="O518" s="2"/>
      <c r="P518" s="501"/>
      <c r="Q518" s="501"/>
      <c r="T518" s="501"/>
      <c r="U518" s="501"/>
      <c r="V518" s="501"/>
      <c r="W518" s="501"/>
      <c r="X518" s="501"/>
      <c r="AB518" s="501"/>
      <c r="AC518" s="501"/>
      <c r="AF518" s="543"/>
      <c r="AI518" s="543"/>
      <c r="AK518" s="543"/>
      <c r="AM518" s="560"/>
    </row>
    <row r="519" spans="1:39">
      <c r="L519" s="2"/>
      <c r="M519" s="2"/>
      <c r="N519" s="2"/>
      <c r="O519" s="2"/>
      <c r="P519" s="501"/>
      <c r="Q519" s="501"/>
      <c r="T519" s="501"/>
      <c r="U519" s="501"/>
      <c r="V519" s="501"/>
      <c r="W519" s="501"/>
      <c r="X519" s="501"/>
      <c r="AB519" s="501"/>
      <c r="AC519" s="501"/>
      <c r="AF519" s="543"/>
      <c r="AI519" s="543"/>
      <c r="AK519" s="543"/>
      <c r="AM519" s="560"/>
    </row>
    <row r="520" spans="1:39">
      <c r="L520" s="2"/>
      <c r="M520" s="2"/>
      <c r="N520" s="2"/>
      <c r="O520" s="2"/>
      <c r="P520" s="501"/>
      <c r="Q520" s="501"/>
      <c r="T520" s="501"/>
      <c r="U520" s="501"/>
      <c r="V520" s="501"/>
      <c r="W520" s="501"/>
      <c r="X520" s="501"/>
      <c r="AB520" s="501"/>
      <c r="AC520" s="501"/>
      <c r="AF520" s="543"/>
      <c r="AI520" s="543"/>
      <c r="AK520" s="543"/>
      <c r="AM520" s="560"/>
    </row>
    <row r="521" spans="1:39">
      <c r="L521" s="2"/>
      <c r="M521" s="2"/>
      <c r="N521" s="2"/>
      <c r="O521" s="2"/>
      <c r="P521" s="501"/>
      <c r="Q521" s="501"/>
      <c r="T521" s="501"/>
      <c r="U521" s="501"/>
      <c r="V521" s="501"/>
      <c r="W521" s="501"/>
      <c r="X521" s="501"/>
      <c r="AB521" s="501"/>
      <c r="AC521" s="501"/>
      <c r="AF521" s="543"/>
      <c r="AI521" s="543"/>
      <c r="AK521" s="543"/>
      <c r="AM521" s="560"/>
    </row>
    <row r="522" spans="1:39">
      <c r="A522" s="1156" t="s">
        <v>279</v>
      </c>
      <c r="B522" s="1156"/>
      <c r="C522" s="1156"/>
      <c r="D522" s="1156"/>
      <c r="E522" s="1156"/>
      <c r="F522" s="1156"/>
      <c r="G522" s="1156"/>
      <c r="H522" s="1156"/>
      <c r="I522" s="1156"/>
      <c r="J522" s="1156"/>
      <c r="K522" s="1156"/>
      <c r="L522" s="1156"/>
      <c r="M522" s="1156"/>
      <c r="N522" s="1156"/>
      <c r="O522" s="1156"/>
      <c r="P522" s="1156"/>
      <c r="Q522" s="1156"/>
      <c r="R522" s="1156"/>
      <c r="S522" s="1156"/>
      <c r="T522" s="1156"/>
      <c r="U522" s="1156"/>
      <c r="V522" s="1156"/>
      <c r="W522" s="1156"/>
      <c r="X522" s="1156"/>
      <c r="Y522" s="1156"/>
      <c r="Z522" s="1156"/>
      <c r="AA522" s="1156"/>
      <c r="AB522" s="1156"/>
      <c r="AC522" s="1156"/>
      <c r="AD522" s="531"/>
      <c r="AF522" s="543"/>
      <c r="AI522" s="543"/>
      <c r="AK522" s="543"/>
      <c r="AM522" s="560"/>
    </row>
    <row r="523" spans="1:39">
      <c r="A523" s="57"/>
      <c r="B523" s="57"/>
      <c r="C523" s="57"/>
      <c r="D523" s="57"/>
      <c r="E523" s="3"/>
      <c r="F523" s="57"/>
      <c r="G523" s="3"/>
      <c r="H523" s="57"/>
      <c r="I523" s="57"/>
      <c r="J523" s="57"/>
      <c r="K523" s="57"/>
      <c r="L523" s="57"/>
      <c r="M523" s="57"/>
      <c r="N523" s="4"/>
      <c r="O523" s="4"/>
      <c r="P523" s="501"/>
      <c r="Q523" s="501"/>
      <c r="R523" s="57"/>
      <c r="S523" s="57"/>
      <c r="T523" s="501"/>
      <c r="U523" s="501"/>
      <c r="V523" s="501"/>
      <c r="W523" s="501"/>
      <c r="X523" s="501"/>
      <c r="Y523" s="57"/>
      <c r="Z523" s="57"/>
      <c r="AA523" s="57"/>
      <c r="AB523" s="501"/>
      <c r="AC523" s="501"/>
      <c r="AF523" s="543"/>
      <c r="AI523" s="543"/>
      <c r="AK523" s="543"/>
      <c r="AM523" s="560"/>
    </row>
    <row r="524" spans="1:39">
      <c r="A524" s="3"/>
      <c r="B524" s="3"/>
      <c r="C524" s="3"/>
      <c r="D524" s="3"/>
      <c r="E524" s="57"/>
      <c r="F524" s="3"/>
      <c r="G524" s="1152" t="str">
        <f>G8</f>
        <v>Current Approved Revenue</v>
      </c>
      <c r="H524" s="1152"/>
      <c r="I524" s="1152"/>
      <c r="J524" s="1152"/>
      <c r="K524" s="3"/>
      <c r="L524" s="1152" t="str">
        <f>L8</f>
        <v>Adjustments to 2023 Base Rates</v>
      </c>
      <c r="M524" s="1152"/>
      <c r="N524" s="1152"/>
      <c r="O524" s="1152"/>
      <c r="P524" s="1152"/>
      <c r="Q524" s="58"/>
      <c r="R524" s="3"/>
      <c r="S524" s="1152" t="str">
        <f>S8</f>
        <v>Adjustments to 2024 Base Rates</v>
      </c>
      <c r="T524" s="1152"/>
      <c r="U524" s="1152"/>
      <c r="V524" s="1152"/>
      <c r="W524" s="1152"/>
      <c r="X524" s="1152"/>
      <c r="Y524" s="3"/>
      <c r="Z524" s="1152" t="str">
        <f>Z8</f>
        <v>2024 Proposed Revenue</v>
      </c>
      <c r="AA524" s="1152"/>
      <c r="AB524" s="1152"/>
      <c r="AC524" s="1152"/>
      <c r="AD524" s="6"/>
      <c r="AF524" s="543"/>
      <c r="AI524" s="543"/>
      <c r="AK524" s="543"/>
      <c r="AM524" s="560"/>
    </row>
    <row r="525" spans="1:39" ht="37.5">
      <c r="A525" s="5" t="s">
        <v>56</v>
      </c>
      <c r="B525" s="5"/>
      <c r="C525" s="5"/>
      <c r="D525" s="5"/>
      <c r="E525" s="6" t="s">
        <v>233</v>
      </c>
      <c r="F525" s="5"/>
      <c r="G525" s="17" t="s">
        <v>234</v>
      </c>
      <c r="H525" s="5"/>
      <c r="I525" s="17" t="s">
        <v>235</v>
      </c>
      <c r="J525" s="17" t="s">
        <v>101</v>
      </c>
      <c r="K525" s="5"/>
      <c r="L525" s="17" t="s">
        <v>106</v>
      </c>
      <c r="M525" s="17" t="s">
        <v>236</v>
      </c>
      <c r="N525" s="5" t="s">
        <v>237</v>
      </c>
      <c r="O525" s="5" t="s">
        <v>109</v>
      </c>
      <c r="P525" s="5" t="s">
        <v>238</v>
      </c>
      <c r="Q525" s="5" t="s">
        <v>239</v>
      </c>
      <c r="R525" s="5"/>
      <c r="S525" s="5" t="s">
        <v>240</v>
      </c>
      <c r="T525" s="17" t="s">
        <v>106</v>
      </c>
      <c r="U525" s="17" t="s">
        <v>236</v>
      </c>
      <c r="V525" s="5" t="s">
        <v>237</v>
      </c>
      <c r="W525" s="5" t="s">
        <v>109</v>
      </c>
      <c r="X525" s="5" t="s">
        <v>238</v>
      </c>
      <c r="Y525" s="5"/>
      <c r="Z525" s="17" t="s">
        <v>241</v>
      </c>
      <c r="AA525" s="17" t="s">
        <v>242</v>
      </c>
      <c r="AB525" s="17" t="s">
        <v>243</v>
      </c>
      <c r="AC525" s="5" t="s">
        <v>244</v>
      </c>
      <c r="AD525" s="5"/>
      <c r="AF525" s="543"/>
      <c r="AI525" s="543"/>
      <c r="AK525" s="543"/>
      <c r="AM525" s="560"/>
    </row>
    <row r="526" spans="1:39" ht="14.45">
      <c r="A526" s="237" t="s">
        <v>57</v>
      </c>
      <c r="B526" s="58"/>
      <c r="C526" s="59" t="s">
        <v>194</v>
      </c>
      <c r="D526" s="58"/>
      <c r="E526" s="237" t="s">
        <v>245</v>
      </c>
      <c r="F526" s="58"/>
      <c r="G526" s="237" t="s">
        <v>246</v>
      </c>
      <c r="H526" s="58"/>
      <c r="I526" s="237" t="s">
        <v>247</v>
      </c>
      <c r="J526" s="237" t="s">
        <v>248</v>
      </c>
      <c r="K526" s="58"/>
      <c r="L526" s="237" t="s">
        <v>248</v>
      </c>
      <c r="M526" s="237" t="s">
        <v>248</v>
      </c>
      <c r="N526" s="237" t="s">
        <v>248</v>
      </c>
      <c r="O526" s="237" t="s">
        <v>248</v>
      </c>
      <c r="P526" s="237" t="s">
        <v>248</v>
      </c>
      <c r="Q526" s="237" t="s">
        <v>248</v>
      </c>
      <c r="R526" s="58"/>
      <c r="S526" s="237" t="s">
        <v>248</v>
      </c>
      <c r="T526" s="237" t="s">
        <v>248</v>
      </c>
      <c r="U526" s="237" t="s">
        <v>248</v>
      </c>
      <c r="V526" s="237" t="s">
        <v>248</v>
      </c>
      <c r="W526" s="237" t="s">
        <v>248</v>
      </c>
      <c r="X526" s="237" t="s">
        <v>248</v>
      </c>
      <c r="Y526" s="58"/>
      <c r="Z526" s="237" t="s">
        <v>248</v>
      </c>
      <c r="AA526" s="237" t="s">
        <v>247</v>
      </c>
      <c r="AB526" s="237" t="s">
        <v>248</v>
      </c>
      <c r="AC526" s="237" t="s">
        <v>249</v>
      </c>
      <c r="AD526" s="6"/>
      <c r="AF526" s="543"/>
      <c r="AI526" s="543"/>
      <c r="AK526" s="543"/>
      <c r="AM526" s="560"/>
    </row>
    <row r="527" spans="1:39">
      <c r="A527" s="6"/>
      <c r="B527" s="58"/>
      <c r="C527" s="58"/>
      <c r="D527" s="58"/>
      <c r="E527" s="6"/>
      <c r="F527" s="58"/>
      <c r="G527" s="6" t="s">
        <v>9</v>
      </c>
      <c r="H527" s="6"/>
      <c r="I527" s="6" t="s">
        <v>10</v>
      </c>
      <c r="J527" s="6" t="s">
        <v>58</v>
      </c>
      <c r="K527" s="6"/>
      <c r="L527" s="123" t="s">
        <v>12</v>
      </c>
      <c r="M527" s="123" t="s">
        <v>13</v>
      </c>
      <c r="N527" s="123" t="s">
        <v>115</v>
      </c>
      <c r="O527" s="123" t="s">
        <v>209</v>
      </c>
      <c r="P527" s="6" t="s">
        <v>210</v>
      </c>
      <c r="Q527" s="6" t="s">
        <v>250</v>
      </c>
      <c r="R527" s="6"/>
      <c r="S527" s="6" t="s">
        <v>251</v>
      </c>
      <c r="T527" s="6" t="s">
        <v>120</v>
      </c>
      <c r="U527" s="6" t="s">
        <v>121</v>
      </c>
      <c r="V527" s="6" t="s">
        <v>122</v>
      </c>
      <c r="W527" s="6" t="s">
        <v>252</v>
      </c>
      <c r="X527" s="6" t="s">
        <v>253</v>
      </c>
      <c r="Y527" s="6"/>
      <c r="Z527" s="6" t="s">
        <v>254</v>
      </c>
      <c r="AA527" s="6" t="s">
        <v>255</v>
      </c>
      <c r="AB527" s="6" t="s">
        <v>256</v>
      </c>
      <c r="AC527" s="6" t="s">
        <v>257</v>
      </c>
      <c r="AD527" s="6"/>
      <c r="AF527" s="543"/>
      <c r="AI527" s="543"/>
      <c r="AK527" s="543"/>
      <c r="AM527" s="560"/>
    </row>
    <row r="528" spans="1:39">
      <c r="E528" s="1"/>
      <c r="J528" s="567"/>
      <c r="L528" s="538"/>
      <c r="M528" s="538"/>
      <c r="N528" s="538"/>
      <c r="O528" s="538"/>
      <c r="P528" s="538"/>
      <c r="Q528" s="538"/>
      <c r="R528" s="64"/>
      <c r="S528" s="64"/>
      <c r="T528" s="538"/>
      <c r="U528" s="538"/>
      <c r="V528" s="538"/>
      <c r="W528" s="538"/>
      <c r="X528" s="538"/>
      <c r="Y528" s="64"/>
      <c r="Z528" s="64"/>
      <c r="AA528" s="64"/>
      <c r="AB528" s="538"/>
      <c r="AC528" s="541"/>
      <c r="AD528" s="542"/>
    </row>
    <row r="529" spans="1:39">
      <c r="A529" s="581"/>
      <c r="B529" s="581"/>
      <c r="C529" s="9" t="s">
        <v>149</v>
      </c>
      <c r="D529" s="581"/>
      <c r="E529" s="386"/>
      <c r="F529" s="581"/>
      <c r="G529" s="581"/>
      <c r="H529" s="581"/>
      <c r="I529" s="581"/>
      <c r="J529" s="611"/>
      <c r="K529" s="581"/>
      <c r="L529" s="538"/>
      <c r="M529" s="538"/>
      <c r="N529" s="538"/>
      <c r="O529" s="538"/>
      <c r="P529" s="538"/>
      <c r="Q529" s="538"/>
      <c r="R529" s="582"/>
      <c r="S529" s="582"/>
      <c r="T529" s="538"/>
      <c r="U529" s="538"/>
      <c r="V529" s="538"/>
      <c r="W529" s="538"/>
      <c r="X529" s="538"/>
      <c r="Y529" s="582"/>
      <c r="Z529" s="582"/>
      <c r="AA529" s="582"/>
      <c r="AB529" s="538"/>
      <c r="AC529" s="599"/>
      <c r="AD529" s="600"/>
    </row>
    <row r="530" spans="1:39">
      <c r="A530" s="58">
        <v>247</v>
      </c>
      <c r="B530" s="58"/>
      <c r="C530" s="10" t="s">
        <v>258</v>
      </c>
      <c r="D530" s="57"/>
      <c r="E530" s="6" t="s">
        <v>259</v>
      </c>
      <c r="F530" s="57"/>
      <c r="G530" s="29">
        <v>456.0000000000021</v>
      </c>
      <c r="H530" s="57"/>
      <c r="I530" s="537">
        <v>755.88</v>
      </c>
      <c r="J530" s="624">
        <f>G530*I530/1000</f>
        <v>344.68128000000161</v>
      </c>
      <c r="K530" s="57"/>
      <c r="L530" s="29">
        <v>0</v>
      </c>
      <c r="M530" s="687">
        <v>0</v>
      </c>
      <c r="N530" s="687">
        <v>0</v>
      </c>
      <c r="O530" s="687">
        <v>0</v>
      </c>
      <c r="P530" s="687">
        <v>0</v>
      </c>
      <c r="Q530" s="538">
        <f>J530-L530-M530-N530-O530-P530</f>
        <v>344.68128000000161</v>
      </c>
      <c r="R530" s="583"/>
      <c r="S530" s="29">
        <v>9.418514740809087</v>
      </c>
      <c r="T530" s="29">
        <v>0</v>
      </c>
      <c r="U530" s="687">
        <v>0</v>
      </c>
      <c r="V530" s="687">
        <v>0</v>
      </c>
      <c r="W530" s="687">
        <v>0</v>
      </c>
      <c r="X530" s="687">
        <v>0</v>
      </c>
      <c r="Y530" s="583"/>
      <c r="Z530" s="132">
        <f>Q530+S530+T530+U530+V530+W530+X530</f>
        <v>354.09979474081069</v>
      </c>
      <c r="AA530" s="537">
        <f>Z530/G530*1000</f>
        <v>776.53463758949363</v>
      </c>
      <c r="AB530" s="538">
        <f>Z530-J530</f>
        <v>9.418514740809087</v>
      </c>
      <c r="AC530" s="599">
        <f>AA530/I530-1</f>
        <v>2.7325286539521709E-2</v>
      </c>
      <c r="AD530" s="600"/>
      <c r="AF530" s="543"/>
      <c r="AI530" s="543"/>
      <c r="AK530" s="543"/>
      <c r="AM530" s="560"/>
    </row>
    <row r="531" spans="1:39">
      <c r="A531" s="58">
        <f>MAX(A$529:A530)+1</f>
        <v>248</v>
      </c>
      <c r="B531" s="58"/>
      <c r="C531" s="521" t="s">
        <v>260</v>
      </c>
      <c r="D531" s="3"/>
      <c r="E531" s="522" t="s">
        <v>262</v>
      </c>
      <c r="F531" s="3"/>
      <c r="G531" s="29">
        <v>55087.023449999993</v>
      </c>
      <c r="H531" s="3"/>
      <c r="I531" s="684">
        <v>3.4476824540554114</v>
      </c>
      <c r="J531" s="624">
        <f>G531*I531/100</f>
        <v>1899.2256419470398</v>
      </c>
      <c r="K531" s="3"/>
      <c r="L531" s="29">
        <v>408.30501781139998</v>
      </c>
      <c r="M531" s="29">
        <v>429.96968367817351</v>
      </c>
      <c r="N531" s="29">
        <v>6.8254427211220925</v>
      </c>
      <c r="O531" s="29">
        <v>40.918808833748216</v>
      </c>
      <c r="P531" s="29">
        <v>31.218849726009235</v>
      </c>
      <c r="Q531" s="538">
        <f>J531-L531-M531-N531-O531-P531</f>
        <v>981.98783917658693</v>
      </c>
      <c r="R531" s="584"/>
      <c r="S531" s="29">
        <v>26.832233136029345</v>
      </c>
      <c r="T531" s="29">
        <v>294.45607436345904</v>
      </c>
      <c r="U531" s="29">
        <v>418.05034484747262</v>
      </c>
      <c r="V531" s="29">
        <v>6.3979895811215028</v>
      </c>
      <c r="W531" s="29">
        <v>50.264824605408322</v>
      </c>
      <c r="X531" s="29">
        <v>31.254035965571312</v>
      </c>
      <c r="Y531" s="584"/>
      <c r="Z531" s="132">
        <f>Q531+S531+T531+U531+V531+W531+X531</f>
        <v>1809.2433416756492</v>
      </c>
      <c r="AA531" s="684">
        <v>3.2719052054076672</v>
      </c>
      <c r="AB531" s="538">
        <f>Z531-J531</f>
        <v>-89.982300271390613</v>
      </c>
      <c r="AC531" s="559">
        <f>AA531/I531-1</f>
        <v>-5.098417588922155E-2</v>
      </c>
      <c r="AD531" s="559"/>
      <c r="AF531" s="543"/>
      <c r="AI531" s="543"/>
      <c r="AK531" s="543"/>
      <c r="AM531" s="560"/>
    </row>
    <row r="532" spans="1:39">
      <c r="A532" s="58">
        <f>MAX(A$529:A531)+1</f>
        <v>249</v>
      </c>
      <c r="B532" s="688"/>
      <c r="C532" s="521" t="s">
        <v>355</v>
      </c>
      <c r="D532" s="5"/>
      <c r="E532" s="522" t="s">
        <v>262</v>
      </c>
      <c r="F532" s="5"/>
      <c r="G532" s="29">
        <v>4252.9598999999998</v>
      </c>
      <c r="H532" s="5"/>
      <c r="I532" s="684">
        <v>3.7970999999999999</v>
      </c>
      <c r="J532" s="624">
        <f t="shared" ref="J532:J533" si="182">G532*I532/100</f>
        <v>161.4891403629</v>
      </c>
      <c r="K532" s="5"/>
      <c r="L532" s="29">
        <v>31.522938778799997</v>
      </c>
      <c r="M532" s="29">
        <v>33.195546035605531</v>
      </c>
      <c r="N532" s="29">
        <v>0.52695412412374854</v>
      </c>
      <c r="O532" s="29">
        <v>3.1591115697810852</v>
      </c>
      <c r="P532" s="29">
        <v>2.410232168912791</v>
      </c>
      <c r="Q532" s="538">
        <f>J532-L532-M532-N532-O532-P532</f>
        <v>90.674357685676867</v>
      </c>
      <c r="R532" s="585"/>
      <c r="S532" s="29">
        <v>2.4776359505790282</v>
      </c>
      <c r="T532" s="29">
        <v>22.733300842000922</v>
      </c>
      <c r="U532" s="29">
        <v>32.275320782783609</v>
      </c>
      <c r="V532" s="29">
        <v>0.49395286630117513</v>
      </c>
      <c r="W532" s="29">
        <v>3.8806649922076151</v>
      </c>
      <c r="X532" s="29">
        <v>2.4129487009836361</v>
      </c>
      <c r="Y532" s="585"/>
      <c r="Z532" s="132">
        <f>Q532+S532+T532+U532+V532+W532+X532</f>
        <v>154.94818182053285</v>
      </c>
      <c r="AA532" s="548">
        <f>Z532/G532*100</f>
        <v>3.6433022051426551</v>
      </c>
      <c r="AB532" s="538">
        <f>Z532-J532</f>
        <v>-6.5409585423671501</v>
      </c>
      <c r="AC532" s="559">
        <f>AA532/I532-1</f>
        <v>-4.0504014868543048E-2</v>
      </c>
      <c r="AD532" s="559"/>
      <c r="AF532" s="543"/>
      <c r="AI532" s="543"/>
      <c r="AK532" s="543"/>
      <c r="AM532" s="560"/>
    </row>
    <row r="533" spans="1:39">
      <c r="A533" s="58">
        <f>MAX(A$529:A532)+1</f>
        <v>250</v>
      </c>
      <c r="B533" s="58"/>
      <c r="C533" s="521" t="s">
        <v>359</v>
      </c>
      <c r="D533" s="58"/>
      <c r="E533" s="522" t="s">
        <v>262</v>
      </c>
      <c r="F533" s="58"/>
      <c r="G533" s="29">
        <v>12766.517779999998</v>
      </c>
      <c r="H533" s="58"/>
      <c r="I533" s="689">
        <v>-5.2999999999999999E-2</v>
      </c>
      <c r="J533" s="642">
        <f t="shared" si="182"/>
        <v>-6.7662544233999986</v>
      </c>
      <c r="K533" s="58"/>
      <c r="L533" s="687">
        <v>0</v>
      </c>
      <c r="M533" s="687">
        <v>0</v>
      </c>
      <c r="N533" s="687">
        <v>0</v>
      </c>
      <c r="O533" s="687">
        <v>0</v>
      </c>
      <c r="P533" s="687">
        <v>0</v>
      </c>
      <c r="Q533" s="538">
        <f>J533-L533-M533-N533-O533-P533</f>
        <v>-6.7662544233999986</v>
      </c>
      <c r="R533" s="564"/>
      <c r="S533" s="29">
        <v>-0.18488984091870986</v>
      </c>
      <c r="T533" s="29">
        <v>0</v>
      </c>
      <c r="U533" s="687">
        <v>0</v>
      </c>
      <c r="V533" s="687">
        <v>0</v>
      </c>
      <c r="W533" s="687">
        <v>0</v>
      </c>
      <c r="X533" s="687">
        <v>0</v>
      </c>
      <c r="Y533" s="564"/>
      <c r="Z533" s="132">
        <f>Q533+S533+T533+U533+V533+W533+X533</f>
        <v>-6.9511442643187085</v>
      </c>
      <c r="AA533" s="689">
        <f>I533</f>
        <v>-5.2999999999999999E-2</v>
      </c>
      <c r="AB533" s="538">
        <f>Z533-J533</f>
        <v>-0.18488984091870986</v>
      </c>
      <c r="AC533" s="599">
        <f>AA533/I533-1</f>
        <v>0</v>
      </c>
      <c r="AD533" s="600"/>
      <c r="AF533" s="543"/>
      <c r="AI533" s="543"/>
      <c r="AK533" s="543"/>
      <c r="AM533" s="560"/>
    </row>
    <row r="534" spans="1:39">
      <c r="A534" s="58">
        <f>MAX(A$529:A533)+1</f>
        <v>251</v>
      </c>
      <c r="B534" s="58"/>
      <c r="C534" s="521" t="s">
        <v>360</v>
      </c>
      <c r="D534" s="58"/>
      <c r="E534" s="522" t="s">
        <v>262</v>
      </c>
      <c r="F534" s="58"/>
      <c r="G534" s="29">
        <v>12450.358</v>
      </c>
      <c r="H534" s="58"/>
      <c r="I534" s="690">
        <v>-2.1199999999999999E-3</v>
      </c>
      <c r="J534" s="642">
        <f>G534*I534/100</f>
        <v>-0.26394758960000003</v>
      </c>
      <c r="K534" s="58"/>
      <c r="L534" s="687">
        <v>0</v>
      </c>
      <c r="M534" s="687">
        <v>0</v>
      </c>
      <c r="N534" s="687">
        <v>0</v>
      </c>
      <c r="O534" s="687">
        <v>0</v>
      </c>
      <c r="P534" s="687">
        <v>0</v>
      </c>
      <c r="Q534" s="538">
        <f>J534-L534-M534-N534-O534-P534</f>
        <v>-0.26394758960000003</v>
      </c>
      <c r="R534" s="564"/>
      <c r="S534" s="29">
        <v>-7.2124435172360446E-3</v>
      </c>
      <c r="T534" s="687">
        <v>0</v>
      </c>
      <c r="U534" s="687">
        <v>0</v>
      </c>
      <c r="V534" s="687">
        <v>0</v>
      </c>
      <c r="W534" s="687">
        <v>0</v>
      </c>
      <c r="X534" s="687">
        <v>0</v>
      </c>
      <c r="Y534" s="564"/>
      <c r="Z534" s="132">
        <f>Q534+S534+T534+U534+V534+W534+X534</f>
        <v>-0.27116003311723608</v>
      </c>
      <c r="AA534" s="690">
        <f>I534</f>
        <v>-2.1199999999999999E-3</v>
      </c>
      <c r="AB534" s="538">
        <f>Z534-J534</f>
        <v>-7.2124435172360446E-3</v>
      </c>
      <c r="AC534" s="599">
        <f>AA534/I534-1</f>
        <v>0</v>
      </c>
      <c r="AD534" s="600"/>
      <c r="AF534" s="543"/>
      <c r="AI534" s="543"/>
      <c r="AK534" s="543"/>
      <c r="AM534" s="560"/>
    </row>
    <row r="535" spans="1:39">
      <c r="A535" s="58"/>
      <c r="B535" s="58"/>
      <c r="C535" s="10"/>
      <c r="D535" s="58"/>
      <c r="E535" s="574"/>
      <c r="F535" s="58"/>
      <c r="G535" s="29"/>
      <c r="H535" s="58"/>
      <c r="I535" s="58"/>
      <c r="J535" s="539"/>
      <c r="K535" s="58"/>
      <c r="L535" s="538"/>
      <c r="M535" s="538"/>
      <c r="N535" s="538"/>
      <c r="O535" s="538"/>
      <c r="P535" s="538"/>
      <c r="Q535" s="538"/>
      <c r="R535" s="564"/>
      <c r="S535" s="29"/>
      <c r="T535" s="538"/>
      <c r="U535" s="538"/>
      <c r="V535" s="538"/>
      <c r="W535" s="538"/>
      <c r="X535" s="538"/>
      <c r="Y535" s="564"/>
      <c r="Z535" s="132"/>
      <c r="AA535" s="584"/>
      <c r="AB535" s="538"/>
      <c r="AC535" s="599"/>
      <c r="AD535" s="600"/>
      <c r="AF535" s="543"/>
      <c r="AI535" s="543"/>
      <c r="AK535" s="543"/>
      <c r="AM535" s="560"/>
    </row>
    <row r="536" spans="1:39" ht="12.95">
      <c r="A536" s="58">
        <f>MAX(A$529:A535)+1</f>
        <v>252</v>
      </c>
      <c r="B536" s="58"/>
      <c r="C536" s="10" t="s">
        <v>356</v>
      </c>
      <c r="D536" s="58"/>
      <c r="E536" s="128"/>
      <c r="F536" s="58"/>
      <c r="G536" s="131">
        <f>G531</f>
        <v>55087.023449999993</v>
      </c>
      <c r="H536" s="58"/>
      <c r="I536" s="556">
        <f>J536/G536*100</f>
        <v>4.3537764614815861</v>
      </c>
      <c r="J536" s="554">
        <f>SUM(J530:J535)</f>
        <v>2398.3658602969413</v>
      </c>
      <c r="K536" s="539"/>
      <c r="L536" s="619">
        <f t="shared" ref="L536:Q536" si="183">SUM(L530:L535)</f>
        <v>439.82795659019996</v>
      </c>
      <c r="M536" s="619">
        <f t="shared" si="183"/>
        <v>463.16522971377901</v>
      </c>
      <c r="N536" s="619">
        <f t="shared" si="183"/>
        <v>7.352396845245841</v>
      </c>
      <c r="O536" s="619">
        <f t="shared" si="183"/>
        <v>44.077920403529298</v>
      </c>
      <c r="P536" s="619">
        <f t="shared" si="183"/>
        <v>33.629081894922024</v>
      </c>
      <c r="Q536" s="619">
        <f t="shared" si="183"/>
        <v>1410.3132748492653</v>
      </c>
      <c r="R536" s="564"/>
      <c r="S536" s="619">
        <f t="shared" ref="S536:X536" si="184">SUM(S530:S535)</f>
        <v>38.53628154298152</v>
      </c>
      <c r="T536" s="619">
        <f t="shared" si="184"/>
        <v>317.18937520545995</v>
      </c>
      <c r="U536" s="619">
        <f t="shared" si="184"/>
        <v>450.32566563025625</v>
      </c>
      <c r="V536" s="619">
        <f t="shared" si="184"/>
        <v>6.8919424474226778</v>
      </c>
      <c r="W536" s="619">
        <f t="shared" si="184"/>
        <v>54.145489597615935</v>
      </c>
      <c r="X536" s="619">
        <f t="shared" si="184"/>
        <v>33.666984666554946</v>
      </c>
      <c r="Y536" s="564"/>
      <c r="Z536" s="619">
        <f>SUM(Z530:Z535)</f>
        <v>2311.0690139395565</v>
      </c>
      <c r="AA536" s="556">
        <f>Z536/G536*100</f>
        <v>4.1953056622077423</v>
      </c>
      <c r="AB536" s="555">
        <f>SUM(AB530:AB535)</f>
        <v>-87.296846357384624</v>
      </c>
      <c r="AC536" s="558">
        <f>AA536/I536-1</f>
        <v>-3.6398469392228794E-2</v>
      </c>
      <c r="AD536" s="542"/>
      <c r="AF536" s="543"/>
      <c r="AI536" s="543"/>
      <c r="AK536" s="543"/>
      <c r="AM536" s="560"/>
    </row>
    <row r="537" spans="1:39">
      <c r="A537" s="58"/>
      <c r="B537" s="58"/>
      <c r="D537" s="58"/>
      <c r="E537" s="30"/>
      <c r="F537" s="58"/>
      <c r="G537" s="29"/>
      <c r="H537" s="58"/>
      <c r="I537" s="58"/>
      <c r="J537" s="539"/>
      <c r="K537" s="58"/>
      <c r="L537" s="538"/>
      <c r="M537" s="538"/>
      <c r="N537" s="538"/>
      <c r="O537" s="538"/>
      <c r="P537" s="538"/>
      <c r="Q537" s="538"/>
      <c r="R537" s="564"/>
      <c r="S537" s="564"/>
      <c r="T537" s="538"/>
      <c r="U537" s="538"/>
      <c r="V537" s="538"/>
      <c r="W537" s="538"/>
      <c r="X537" s="538"/>
      <c r="Y537" s="564"/>
      <c r="Z537" s="564"/>
      <c r="AA537" s="564"/>
      <c r="AB537" s="538"/>
      <c r="AC537" s="541"/>
      <c r="AD537" s="542"/>
      <c r="AF537" s="543"/>
      <c r="AI537" s="543"/>
      <c r="AK537" s="543"/>
      <c r="AM537" s="560"/>
    </row>
    <row r="538" spans="1:39">
      <c r="A538" s="58"/>
      <c r="B538" s="58"/>
      <c r="C538" s="10" t="s">
        <v>361</v>
      </c>
      <c r="D538" s="58"/>
      <c r="E538" s="1"/>
      <c r="F538" s="58"/>
      <c r="G538" s="29"/>
      <c r="H538" s="58"/>
      <c r="I538" s="58"/>
      <c r="J538" s="539"/>
      <c r="K538" s="58"/>
      <c r="L538" s="538"/>
      <c r="M538" s="538"/>
      <c r="N538" s="538"/>
      <c r="O538" s="538"/>
      <c r="P538" s="538"/>
      <c r="Q538" s="538"/>
      <c r="R538" s="564"/>
      <c r="S538" s="564"/>
      <c r="T538" s="538"/>
      <c r="U538" s="538"/>
      <c r="V538" s="538"/>
      <c r="W538" s="538"/>
      <c r="X538" s="538"/>
      <c r="Y538" s="564"/>
      <c r="Z538" s="564"/>
      <c r="AA538" s="564"/>
      <c r="AB538" s="538"/>
      <c r="AC538" s="541"/>
      <c r="AD538" s="542"/>
      <c r="AF538" s="543"/>
      <c r="AI538" s="543"/>
      <c r="AK538" s="543"/>
      <c r="AM538" s="560"/>
    </row>
    <row r="539" spans="1:39">
      <c r="A539" s="58">
        <f>MAX(A$529:A538)+1</f>
        <v>253</v>
      </c>
      <c r="B539" s="58"/>
      <c r="C539" s="526" t="s">
        <v>280</v>
      </c>
      <c r="D539" s="58"/>
      <c r="E539" s="522" t="s">
        <v>281</v>
      </c>
      <c r="F539" s="58"/>
      <c r="G539" s="29">
        <v>431.904</v>
      </c>
      <c r="H539" s="58"/>
      <c r="I539" s="684">
        <v>41.215699999999998</v>
      </c>
      <c r="J539" s="539">
        <f>G539*I539/100</f>
        <v>178.012256928</v>
      </c>
      <c r="K539" s="58"/>
      <c r="L539" s="29">
        <v>37.935855936000003</v>
      </c>
      <c r="M539" s="29">
        <v>0</v>
      </c>
      <c r="N539" s="29">
        <v>0</v>
      </c>
      <c r="O539" s="29">
        <v>0</v>
      </c>
      <c r="P539" s="29">
        <v>0</v>
      </c>
      <c r="Q539" s="538">
        <f>J539-L539-M539-N539-O539-P539</f>
        <v>140.076400992</v>
      </c>
      <c r="R539" s="564"/>
      <c r="S539" s="29">
        <v>3.8276277945313097</v>
      </c>
      <c r="T539" s="29">
        <v>41.140218199898953</v>
      </c>
      <c r="U539" s="29">
        <v>0</v>
      </c>
      <c r="V539" s="29">
        <v>0</v>
      </c>
      <c r="W539" s="29">
        <v>0</v>
      </c>
      <c r="X539" s="29">
        <v>0</v>
      </c>
      <c r="Y539" s="564"/>
      <c r="Z539" s="564">
        <f>Q539+S539+T539+U539+V539+W539+X539</f>
        <v>185.04424698643027</v>
      </c>
      <c r="AA539" s="548">
        <f>Z539/G539*100</f>
        <v>42.843837284773997</v>
      </c>
      <c r="AB539" s="538">
        <f>Z539-J539</f>
        <v>7.0319900584302673</v>
      </c>
      <c r="AC539" s="541">
        <f>AA539/I539-1</f>
        <v>3.9502841994045967E-2</v>
      </c>
      <c r="AD539" s="542"/>
      <c r="AF539" s="543"/>
      <c r="AI539" s="543"/>
      <c r="AK539" s="543"/>
      <c r="AM539" s="560"/>
    </row>
    <row r="540" spans="1:39">
      <c r="A540" s="58">
        <f>MAX(A$529:A539)+1</f>
        <v>254</v>
      </c>
      <c r="B540" s="58"/>
      <c r="C540" s="526" t="s">
        <v>260</v>
      </c>
      <c r="D540" s="58"/>
      <c r="E540" s="522" t="s">
        <v>262</v>
      </c>
      <c r="F540" s="58"/>
      <c r="G540" s="29">
        <v>4405.8775999999998</v>
      </c>
      <c r="H540" s="58"/>
      <c r="I540" s="684">
        <v>3.5497469625757372</v>
      </c>
      <c r="J540" s="539">
        <f t="shared" ref="J540:J541" si="185">G540*I540/100</f>
        <v>156.39750628080478</v>
      </c>
      <c r="K540" s="58"/>
      <c r="L540" s="29">
        <v>30.171449804799995</v>
      </c>
      <c r="M540" s="29">
        <v>34.389111615664007</v>
      </c>
      <c r="N540" s="29">
        <v>1.4610501951616022</v>
      </c>
      <c r="O540" s="29">
        <v>3.2812865272834841</v>
      </c>
      <c r="P540" s="29">
        <v>2.5109710457424308</v>
      </c>
      <c r="Q540" s="538">
        <f>J540-L540-M540-N540-O540-P540</f>
        <v>84.583637092153253</v>
      </c>
      <c r="R540" s="564"/>
      <c r="S540" s="29">
        <v>2.3013132936618774</v>
      </c>
      <c r="T540" s="29">
        <v>25.470527394387808</v>
      </c>
      <c r="U540" s="29">
        <v>33.435799117146807</v>
      </c>
      <c r="V540" s="29">
        <v>1.3695498311357461</v>
      </c>
      <c r="W540" s="29">
        <v>4.0307451872343671</v>
      </c>
      <c r="X540" s="29">
        <v>2.5138011189041376</v>
      </c>
      <c r="Y540" s="564"/>
      <c r="Z540" s="564">
        <f>Q540+S540+T540+U540+V540+W540+X540</f>
        <v>153.70537303462399</v>
      </c>
      <c r="AA540" s="548">
        <f>Z540/G540*100</f>
        <v>3.4886437388688232</v>
      </c>
      <c r="AB540" s="538">
        <f>Z540-J540</f>
        <v>-2.6921332461807879</v>
      </c>
      <c r="AC540" s="559">
        <f>AA540/I540-1</f>
        <v>-1.7213402631543251E-2</v>
      </c>
      <c r="AD540" s="542"/>
      <c r="AF540" s="543"/>
      <c r="AI540" s="543"/>
      <c r="AK540" s="543"/>
      <c r="AM540" s="560"/>
    </row>
    <row r="541" spans="1:39">
      <c r="A541" s="58">
        <f>MAX(A$529:A540)+1</f>
        <v>255</v>
      </c>
      <c r="B541" s="58"/>
      <c r="C541" s="12" t="s">
        <v>351</v>
      </c>
      <c r="D541" s="58"/>
      <c r="E541" s="522" t="s">
        <v>262</v>
      </c>
      <c r="F541" s="58"/>
      <c r="G541" s="29">
        <v>854.38999999999942</v>
      </c>
      <c r="H541" s="58"/>
      <c r="I541" s="684">
        <v>3.8996858330865312</v>
      </c>
      <c r="J541" s="539">
        <f t="shared" si="185"/>
        <v>33.318525789307991</v>
      </c>
      <c r="K541" s="58"/>
      <c r="L541" s="29">
        <v>5.8508627199999959</v>
      </c>
      <c r="M541" s="29">
        <v>6.6687538195130864</v>
      </c>
      <c r="N541" s="29">
        <v>0.28332758863844076</v>
      </c>
      <c r="O541" s="29">
        <v>0.63630873359843998</v>
      </c>
      <c r="P541" s="29">
        <v>0.48692876801023116</v>
      </c>
      <c r="Q541" s="538">
        <f>J541-L541-M541-N541-O541-P541</f>
        <v>19.3923441595478</v>
      </c>
      <c r="R541" s="564"/>
      <c r="S541" s="29">
        <v>0.52797014020166699</v>
      </c>
      <c r="T541" s="29">
        <v>4.9392574819806585</v>
      </c>
      <c r="U541" s="29">
        <v>6.483886980359836</v>
      </c>
      <c r="V541" s="29">
        <v>0.26558379202909987</v>
      </c>
      <c r="W541" s="29">
        <v>0.78164413385455112</v>
      </c>
      <c r="X541" s="29">
        <v>0.48747757722105228</v>
      </c>
      <c r="Y541" s="564"/>
      <c r="Z541" s="564">
        <f>Q541+S541+T541+U541+V541+W541+X541</f>
        <v>32.878164265194663</v>
      </c>
      <c r="AA541" s="548">
        <f>Z541/G541*100</f>
        <v>3.8481447892876419</v>
      </c>
      <c r="AB541" s="538">
        <f>Z541-J541</f>
        <v>-0.44036152411332807</v>
      </c>
      <c r="AC541" s="559">
        <f>AA541/I541-1</f>
        <v>-1.3216716936937267E-2</v>
      </c>
      <c r="AD541" s="542"/>
      <c r="AF541" s="543"/>
      <c r="AI541" s="543"/>
      <c r="AK541" s="543"/>
      <c r="AM541" s="560"/>
    </row>
    <row r="542" spans="1:39">
      <c r="A542" s="58"/>
      <c r="B542" s="58"/>
      <c r="C542" s="10"/>
      <c r="D542" s="58"/>
      <c r="E542" s="30"/>
      <c r="F542" s="58"/>
      <c r="G542" s="29"/>
      <c r="H542" s="58"/>
      <c r="I542" s="58"/>
      <c r="J542" s="539"/>
      <c r="K542" s="58"/>
      <c r="L542" s="538"/>
      <c r="M542" s="538"/>
      <c r="N542" s="538"/>
      <c r="O542" s="538"/>
      <c r="P542" s="538"/>
      <c r="Q542" s="538"/>
      <c r="R542" s="564"/>
      <c r="S542" s="564"/>
      <c r="T542" s="538"/>
      <c r="U542" s="538"/>
      <c r="V542" s="538"/>
      <c r="W542" s="538"/>
      <c r="X542" s="538"/>
      <c r="Y542" s="564"/>
      <c r="Z542" s="564"/>
      <c r="AA542" s="564"/>
      <c r="AB542" s="538"/>
      <c r="AC542" s="541"/>
      <c r="AD542" s="542"/>
      <c r="AF542" s="543"/>
      <c r="AI542" s="543"/>
      <c r="AK542" s="543"/>
      <c r="AM542" s="560"/>
    </row>
    <row r="543" spans="1:39">
      <c r="A543" s="58">
        <f>MAX(A$529:A542)+1</f>
        <v>256</v>
      </c>
      <c r="B543" s="58"/>
      <c r="C543" s="10" t="s">
        <v>353</v>
      </c>
      <c r="D543" s="58"/>
      <c r="E543" s="30"/>
      <c r="F543" s="58"/>
      <c r="G543" s="131">
        <f>G540</f>
        <v>4405.8775999999998</v>
      </c>
      <c r="H543" s="58"/>
      <c r="I543" s="556">
        <f>J543/G543*100</f>
        <v>8.3463119583284104</v>
      </c>
      <c r="J543" s="554">
        <f>SUM(J539:J542)</f>
        <v>367.72828899811276</v>
      </c>
      <c r="K543" s="58"/>
      <c r="L543" s="555">
        <f>SUM(L539:L542)</f>
        <v>73.958168460799996</v>
      </c>
      <c r="M543" s="555">
        <f t="shared" ref="M543:Q543" si="186">SUM(M539:M542)</f>
        <v>41.057865435177092</v>
      </c>
      <c r="N543" s="555">
        <f t="shared" si="186"/>
        <v>1.7443777838000429</v>
      </c>
      <c r="O543" s="555">
        <f t="shared" si="186"/>
        <v>3.917595260881924</v>
      </c>
      <c r="P543" s="555">
        <f t="shared" si="186"/>
        <v>2.997899813752662</v>
      </c>
      <c r="Q543" s="555">
        <f t="shared" si="186"/>
        <v>244.05238224370106</v>
      </c>
      <c r="R543" s="564"/>
      <c r="S543" s="619">
        <f>SUM(S539:S542)</f>
        <v>6.6569112283948542</v>
      </c>
      <c r="T543" s="619">
        <f t="shared" ref="T543:X543" si="187">SUM(T539:T542)</f>
        <v>71.550003076267416</v>
      </c>
      <c r="U543" s="619">
        <f t="shared" si="187"/>
        <v>39.919686097506641</v>
      </c>
      <c r="V543" s="619">
        <f t="shared" si="187"/>
        <v>1.6351336231648461</v>
      </c>
      <c r="W543" s="619">
        <f t="shared" si="187"/>
        <v>4.8123893210889186</v>
      </c>
      <c r="X543" s="619">
        <f t="shared" si="187"/>
        <v>3.00127869612519</v>
      </c>
      <c r="Y543" s="564"/>
      <c r="Z543" s="619">
        <f>SUM(Z539:Z542)</f>
        <v>371.62778428624893</v>
      </c>
      <c r="AA543" s="556">
        <f>Z543/G543*100</f>
        <v>8.4348186224294786</v>
      </c>
      <c r="AB543" s="555">
        <f>SUM(AB539:AB542)</f>
        <v>3.8994952881361513</v>
      </c>
      <c r="AC543" s="562">
        <f>AA543/I543-1</f>
        <v>1.0604284208757697E-2</v>
      </c>
      <c r="AD543" s="542"/>
      <c r="AF543" s="543"/>
      <c r="AI543" s="543"/>
      <c r="AK543" s="543"/>
      <c r="AM543" s="560"/>
    </row>
    <row r="544" spans="1:39">
      <c r="A544" s="58"/>
      <c r="E544" s="1"/>
      <c r="G544" s="129"/>
      <c r="J544" s="567"/>
      <c r="L544" s="538"/>
      <c r="M544" s="538"/>
      <c r="N544" s="538"/>
      <c r="O544" s="538"/>
      <c r="P544" s="538"/>
      <c r="Q544" s="538"/>
      <c r="R544" s="64"/>
      <c r="S544" s="64"/>
      <c r="T544" s="538"/>
      <c r="U544" s="538"/>
      <c r="V544" s="538"/>
      <c r="W544" s="538"/>
      <c r="X544" s="538"/>
      <c r="Y544" s="64"/>
      <c r="Z544" s="64"/>
      <c r="AA544" s="64"/>
      <c r="AB544" s="538"/>
      <c r="AC544" s="501"/>
      <c r="AF544" s="543"/>
      <c r="AI544" s="543"/>
      <c r="AK544" s="543"/>
      <c r="AM544" s="560"/>
    </row>
    <row r="545" spans="1:39">
      <c r="A545" s="58">
        <f>MAX(A$529:A544)+1</f>
        <v>257</v>
      </c>
      <c r="B545" s="58"/>
      <c r="C545" s="10" t="s">
        <v>357</v>
      </c>
      <c r="D545" s="58"/>
      <c r="E545" s="522" t="s">
        <v>262</v>
      </c>
      <c r="F545" s="58"/>
      <c r="G545" s="29">
        <v>1599.69</v>
      </c>
      <c r="H545" s="58"/>
      <c r="I545" s="684">
        <v>0.20849999999999999</v>
      </c>
      <c r="J545" s="539">
        <f>G545*I545/100</f>
        <v>3.3353536500000001</v>
      </c>
      <c r="K545" s="58"/>
      <c r="L545" s="687">
        <v>0</v>
      </c>
      <c r="M545" s="687">
        <v>0</v>
      </c>
      <c r="N545" s="687">
        <v>0</v>
      </c>
      <c r="O545" s="687">
        <v>0</v>
      </c>
      <c r="P545" s="687">
        <v>0</v>
      </c>
      <c r="Q545" s="538">
        <f>J545-L545-M545-N545-O545-P545</f>
        <v>3.3353536500000001</v>
      </c>
      <c r="R545" s="564"/>
      <c r="S545" s="29">
        <v>9.1139494196888826E-2</v>
      </c>
      <c r="T545" s="29">
        <v>0</v>
      </c>
      <c r="U545" s="29">
        <v>0</v>
      </c>
      <c r="V545" s="29">
        <v>0</v>
      </c>
      <c r="W545" s="29">
        <v>0</v>
      </c>
      <c r="X545" s="29">
        <v>0</v>
      </c>
      <c r="Y545" s="564"/>
      <c r="Z545" s="564">
        <f>Q545+S545+T545+U545+V545+W545+X545</f>
        <v>3.4264931441968889</v>
      </c>
      <c r="AA545" s="548">
        <f>Z545/G545*100</f>
        <v>0.21419732224349022</v>
      </c>
      <c r="AB545" s="538">
        <f>Z545-J545</f>
        <v>9.1139494196888826E-2</v>
      </c>
      <c r="AC545" s="541">
        <f>AA545/I545-1</f>
        <v>2.7325286539521487E-2</v>
      </c>
      <c r="AD545" s="542"/>
      <c r="AF545" s="543"/>
      <c r="AI545" s="543"/>
      <c r="AK545" s="543"/>
      <c r="AM545" s="560"/>
    </row>
    <row r="546" spans="1:39">
      <c r="A546" s="58">
        <f>MAX(A$529:A545)+1</f>
        <v>258</v>
      </c>
      <c r="B546" s="58"/>
      <c r="C546" s="10" t="s">
        <v>270</v>
      </c>
      <c r="D546" s="58"/>
      <c r="E546" s="522" t="s">
        <v>262</v>
      </c>
      <c r="F546" s="58"/>
      <c r="G546" s="29">
        <v>2163.9659000000001</v>
      </c>
      <c r="H546" s="58"/>
      <c r="I546" s="684">
        <v>20.538400000000003</v>
      </c>
      <c r="J546" s="539">
        <f>G546*I546/100</f>
        <v>444.44397240560005</v>
      </c>
      <c r="K546" s="58"/>
      <c r="L546" s="687">
        <v>0</v>
      </c>
      <c r="M546" s="687">
        <v>0</v>
      </c>
      <c r="N546" s="687">
        <v>0</v>
      </c>
      <c r="O546" s="687">
        <v>0</v>
      </c>
      <c r="P546" s="687">
        <v>0</v>
      </c>
      <c r="Q546" s="538">
        <f>J546-L546-M546-N546-O546-P546</f>
        <v>444.44397240560005</v>
      </c>
      <c r="R546" s="564"/>
      <c r="S546" s="29">
        <v>-4.3697800338368342E-2</v>
      </c>
      <c r="T546" s="29">
        <v>0</v>
      </c>
      <c r="U546" s="29">
        <v>0</v>
      </c>
      <c r="V546" s="29">
        <v>0</v>
      </c>
      <c r="W546" s="29">
        <v>0</v>
      </c>
      <c r="X546" s="29">
        <v>0</v>
      </c>
      <c r="Y546" s="564"/>
      <c r="Z546" s="564">
        <f>Q546+S546+T546+U546+V546+W546+X546</f>
        <v>444.4002746052617</v>
      </c>
      <c r="AA546" s="548">
        <f>Z546/G546*100</f>
        <v>20.536380661324731</v>
      </c>
      <c r="AB546" s="538">
        <f>Z546-J546</f>
        <v>-4.3697800338350135E-2</v>
      </c>
      <c r="AC546" s="541">
        <f>AA546/I546-1</f>
        <v>-9.8320155185960267E-5</v>
      </c>
      <c r="AD546" s="542"/>
      <c r="AF546" s="543"/>
      <c r="AI546" s="543"/>
      <c r="AK546" s="543"/>
      <c r="AM546" s="560"/>
    </row>
    <row r="547" spans="1:39">
      <c r="A547" s="58"/>
      <c r="B547" s="58"/>
      <c r="C547" s="10"/>
      <c r="D547" s="58"/>
      <c r="E547" s="30"/>
      <c r="F547" s="58"/>
      <c r="G547" s="29"/>
      <c r="H547" s="58"/>
      <c r="I547" s="58"/>
      <c r="J547" s="539"/>
      <c r="K547" s="58"/>
      <c r="L547" s="538"/>
      <c r="M547" s="538"/>
      <c r="N547" s="538"/>
      <c r="O547" s="538"/>
      <c r="P547" s="538"/>
      <c r="Q547" s="538"/>
      <c r="R547" s="564"/>
      <c r="S547" s="564"/>
      <c r="T547" s="538"/>
      <c r="U547" s="538"/>
      <c r="V547" s="538"/>
      <c r="W547" s="538"/>
      <c r="X547" s="538"/>
      <c r="Y547" s="564"/>
      <c r="Z547" s="564"/>
      <c r="AA547" s="564"/>
      <c r="AB547" s="538"/>
      <c r="AC547" s="541"/>
      <c r="AD547" s="542"/>
      <c r="AF547" s="543"/>
      <c r="AI547" s="543"/>
      <c r="AK547" s="543"/>
      <c r="AM547" s="560"/>
    </row>
    <row r="548" spans="1:39" ht="12.95" thickBot="1">
      <c r="A548" s="58">
        <f>MAX(A$529:A547)+1</f>
        <v>259</v>
      </c>
      <c r="B548" s="58"/>
      <c r="C548" s="10" t="s">
        <v>362</v>
      </c>
      <c r="D548" s="58"/>
      <c r="E548" s="30"/>
      <c r="F548" s="58"/>
      <c r="G548" s="691">
        <f>G536+G543</f>
        <v>59492.901049999993</v>
      </c>
      <c r="H548" s="58"/>
      <c r="I548" s="692">
        <f>J548/G548*100</f>
        <v>5.4021125523019933</v>
      </c>
      <c r="J548" s="627">
        <f>J536+J543+J545+J546</f>
        <v>3213.8734753506542</v>
      </c>
      <c r="K548" s="539"/>
      <c r="L548" s="628">
        <f t="shared" ref="L548:Z548" si="188">L536+L543+L545+L546</f>
        <v>513.786125051</v>
      </c>
      <c r="M548" s="628">
        <f t="shared" si="188"/>
        <v>504.22309514895608</v>
      </c>
      <c r="N548" s="628">
        <f t="shared" si="188"/>
        <v>9.0967746290458837</v>
      </c>
      <c r="O548" s="628">
        <f t="shared" si="188"/>
        <v>47.995515664411222</v>
      </c>
      <c r="P548" s="628">
        <f t="shared" si="188"/>
        <v>36.626981708674684</v>
      </c>
      <c r="Q548" s="628">
        <f t="shared" si="188"/>
        <v>2102.1449831485661</v>
      </c>
      <c r="R548" s="564"/>
      <c r="S548" s="628">
        <f t="shared" si="188"/>
        <v>45.240634465234891</v>
      </c>
      <c r="T548" s="628">
        <f t="shared" si="188"/>
        <v>388.73937828172734</v>
      </c>
      <c r="U548" s="628">
        <f t="shared" si="188"/>
        <v>490.24535172776291</v>
      </c>
      <c r="V548" s="628">
        <f t="shared" si="188"/>
        <v>8.5270760705875244</v>
      </c>
      <c r="W548" s="628">
        <f t="shared" si="188"/>
        <v>58.95787891870485</v>
      </c>
      <c r="X548" s="628">
        <f t="shared" si="188"/>
        <v>36.668263362680136</v>
      </c>
      <c r="Y548" s="564"/>
      <c r="Z548" s="628">
        <f t="shared" si="188"/>
        <v>3130.5235659752639</v>
      </c>
      <c r="AA548" s="572">
        <f>Z548/G548*100</f>
        <v>5.2620119555848488</v>
      </c>
      <c r="AB548" s="587">
        <f>AB536+AB543+AB545+AB546</f>
        <v>-83.349909375389927</v>
      </c>
      <c r="AC548" s="602">
        <f>AA548/I548-1</f>
        <v>-2.5934409059552799E-2</v>
      </c>
      <c r="AD548" s="542"/>
      <c r="AF548" s="543"/>
      <c r="AI548" s="543"/>
      <c r="AK548" s="543"/>
      <c r="AM548" s="560"/>
    </row>
    <row r="549" spans="1:39" ht="12.95" thickTop="1">
      <c r="A549" s="58"/>
      <c r="B549" s="58"/>
      <c r="C549" s="10"/>
      <c r="D549" s="58"/>
      <c r="E549" s="30"/>
      <c r="F549" s="58"/>
      <c r="G549" s="29"/>
      <c r="H549" s="58"/>
      <c r="I549" s="58"/>
      <c r="J549" s="539"/>
      <c r="K549" s="58"/>
      <c r="L549" s="538"/>
      <c r="M549" s="538"/>
      <c r="N549" s="538"/>
      <c r="O549" s="538"/>
      <c r="P549" s="538"/>
      <c r="Q549" s="538"/>
      <c r="R549" s="564"/>
      <c r="S549" s="564"/>
      <c r="T549" s="538"/>
      <c r="U549" s="538"/>
      <c r="V549" s="538"/>
      <c r="W549" s="538"/>
      <c r="X549" s="538"/>
      <c r="Y549" s="564"/>
      <c r="Z549" s="564"/>
      <c r="AA549" s="564"/>
      <c r="AB549" s="538"/>
      <c r="AC549" s="501"/>
    </row>
    <row r="550" spans="1:39">
      <c r="A550" s="58"/>
      <c r="B550" s="58"/>
      <c r="C550" s="9" t="s">
        <v>150</v>
      </c>
      <c r="D550" s="58"/>
      <c r="E550" s="30"/>
      <c r="F550" s="58"/>
      <c r="G550" s="29"/>
      <c r="H550" s="58"/>
      <c r="I550" s="58"/>
      <c r="J550" s="539"/>
      <c r="K550" s="58"/>
      <c r="L550" s="538"/>
      <c r="M550" s="538"/>
      <c r="N550" s="538"/>
      <c r="O550" s="538"/>
      <c r="P550" s="538"/>
      <c r="Q550" s="538"/>
      <c r="R550" s="564"/>
      <c r="S550" s="564"/>
      <c r="T550" s="538"/>
      <c r="U550" s="538"/>
      <c r="V550" s="538"/>
      <c r="W550" s="538"/>
      <c r="X550" s="538"/>
      <c r="Y550" s="564"/>
      <c r="Z550" s="564"/>
      <c r="AA550" s="564"/>
      <c r="AB550" s="538"/>
      <c r="AC550" s="501"/>
    </row>
    <row r="551" spans="1:39">
      <c r="A551" s="58"/>
      <c r="B551" s="58"/>
      <c r="C551" s="10" t="s">
        <v>361</v>
      </c>
      <c r="D551" s="58"/>
      <c r="E551" s="30"/>
      <c r="F551" s="58"/>
      <c r="G551" s="29"/>
      <c r="H551" s="58"/>
      <c r="I551" s="58"/>
      <c r="J551" s="539"/>
      <c r="K551" s="58"/>
      <c r="L551" s="538"/>
      <c r="M551" s="538"/>
      <c r="N551" s="538"/>
      <c r="O551" s="538"/>
      <c r="P551" s="538"/>
      <c r="Q551" s="538"/>
      <c r="R551" s="564"/>
      <c r="S551" s="29"/>
      <c r="T551" s="29"/>
      <c r="U551" s="29"/>
      <c r="V551" s="538"/>
      <c r="W551" s="538"/>
      <c r="X551" s="538"/>
      <c r="Y551" s="564"/>
      <c r="Z551" s="564"/>
      <c r="AA551" s="564"/>
      <c r="AB551" s="538"/>
      <c r="AC551" s="501"/>
    </row>
    <row r="552" spans="1:39">
      <c r="A552" s="58">
        <f>MAX(A$529:A551)+1</f>
        <v>260</v>
      </c>
      <c r="B552" s="58"/>
      <c r="C552" s="526" t="s">
        <v>280</v>
      </c>
      <c r="D552" s="58"/>
      <c r="E552" s="522" t="s">
        <v>281</v>
      </c>
      <c r="F552" s="58"/>
      <c r="G552" s="29">
        <v>71858.168000000005</v>
      </c>
      <c r="H552" s="58"/>
      <c r="I552" s="684">
        <v>34.034500000000001</v>
      </c>
      <c r="J552" s="539">
        <f>G552*I552/100</f>
        <v>24456.568187960005</v>
      </c>
      <c r="K552" s="58"/>
      <c r="L552" s="29">
        <v>2026.6159121040002</v>
      </c>
      <c r="M552" s="29">
        <v>0</v>
      </c>
      <c r="N552" s="687">
        <v>0</v>
      </c>
      <c r="O552" s="687">
        <v>0</v>
      </c>
      <c r="P552" s="687">
        <v>0</v>
      </c>
      <c r="Q552" s="538">
        <f>J552-L552-M552-N552-O552-P552</f>
        <v>22429.952275856005</v>
      </c>
      <c r="R552" s="564"/>
      <c r="S552" s="29">
        <v>612.90487300555833</v>
      </c>
      <c r="T552" s="29">
        <v>3676.9747646837468</v>
      </c>
      <c r="U552" s="29">
        <v>0</v>
      </c>
      <c r="V552" s="687">
        <v>0</v>
      </c>
      <c r="W552" s="687">
        <v>0</v>
      </c>
      <c r="X552" s="687">
        <v>0</v>
      </c>
      <c r="Y552" s="564"/>
      <c r="Z552" s="564">
        <f>Q552+S552+T552+U552+V552+W552+X552</f>
        <v>26719.831913545309</v>
      </c>
      <c r="AA552" s="548">
        <f>Z552/G552*100</f>
        <v>37.184126254854291</v>
      </c>
      <c r="AB552" s="538">
        <f>Z552-J552</f>
        <v>2263.2637255853042</v>
      </c>
      <c r="AC552" s="541">
        <f>AA552/I552-1</f>
        <v>9.2542163241836617E-2</v>
      </c>
      <c r="AD552" s="542"/>
      <c r="AF552" s="543"/>
      <c r="AI552" s="543"/>
      <c r="AK552" s="543"/>
      <c r="AM552" s="560"/>
    </row>
    <row r="553" spans="1:39">
      <c r="A553" s="58">
        <f>MAX(A$529:A552)+1</f>
        <v>261</v>
      </c>
      <c r="C553" s="526" t="s">
        <v>260</v>
      </c>
      <c r="E553" s="522" t="s">
        <v>262</v>
      </c>
      <c r="G553" s="29">
        <v>713737.64702999999</v>
      </c>
      <c r="I553" s="684">
        <v>0.45379999999999998</v>
      </c>
      <c r="J553" s="539">
        <f t="shared" ref="J553:J554" si="189">G553*I553/100</f>
        <v>3238.9414422221398</v>
      </c>
      <c r="L553" s="29">
        <v>258.37302822486004</v>
      </c>
      <c r="M553" s="29">
        <v>124.56063975383093</v>
      </c>
      <c r="N553" s="29">
        <v>93.792407213470639</v>
      </c>
      <c r="O553" s="29">
        <v>584.79105061009568</v>
      </c>
      <c r="P553" s="29">
        <v>849.57803103823073</v>
      </c>
      <c r="Q553" s="538">
        <f t="shared" ref="Q553:Q554" si="190">J553-L553-M553-N553-O553-P553</f>
        <v>1327.8462853816523</v>
      </c>
      <c r="R553" s="64"/>
      <c r="S553" s="29">
        <v>35.387982322547032</v>
      </c>
      <c r="T553" s="29">
        <v>212.30165349313589</v>
      </c>
      <c r="U553" s="29">
        <v>121.10765102798851</v>
      </c>
      <c r="V553" s="29">
        <v>87.918523187231116</v>
      </c>
      <c r="W553" s="29">
        <v>718.35961083709674</v>
      </c>
      <c r="X553" s="29">
        <v>850.53557612362465</v>
      </c>
      <c r="Y553" s="64"/>
      <c r="Z553" s="564">
        <f>Q553+S553+T553+U553+V553+W553+X553</f>
        <v>3353.4572823732765</v>
      </c>
      <c r="AA553" s="548">
        <f>Z553/G553*100</f>
        <v>0.46984452849414055</v>
      </c>
      <c r="AB553" s="538">
        <f>Z553-J553</f>
        <v>114.51584015113667</v>
      </c>
      <c r="AC553" s="541">
        <f>AA553/I553-1</f>
        <v>3.5355946439269648E-2</v>
      </c>
      <c r="AD553" s="542"/>
      <c r="AF553" s="543"/>
      <c r="AI553" s="543"/>
      <c r="AK553" s="543"/>
      <c r="AM553" s="560"/>
    </row>
    <row r="554" spans="1:39">
      <c r="A554" s="58">
        <f>MAX(A$529:A553)+1</f>
        <v>262</v>
      </c>
      <c r="B554" s="58"/>
      <c r="C554" s="12" t="s">
        <v>351</v>
      </c>
      <c r="D554" s="58"/>
      <c r="E554" s="522" t="s">
        <v>262</v>
      </c>
      <c r="F554" s="58"/>
      <c r="G554" s="29">
        <v>22348.747200000002</v>
      </c>
      <c r="H554" s="58"/>
      <c r="I554" s="684">
        <v>0.45379999999999998</v>
      </c>
      <c r="J554" s="539">
        <f t="shared" si="189"/>
        <v>101.41861479360001</v>
      </c>
      <c r="K554" s="58"/>
      <c r="L554" s="29">
        <v>8.0902464864000017</v>
      </c>
      <c r="M554" s="29">
        <v>3.9002766079559619</v>
      </c>
      <c r="N554" s="29">
        <v>2.9368533477472658</v>
      </c>
      <c r="O554" s="29">
        <v>18.31113632479877</v>
      </c>
      <c r="P554" s="29">
        <v>26.602218225920634</v>
      </c>
      <c r="Q554" s="538">
        <f t="shared" si="190"/>
        <v>41.577883800777386</v>
      </c>
      <c r="R554" s="564"/>
      <c r="S554" s="29">
        <v>1.1080781210514346</v>
      </c>
      <c r="T554" s="29">
        <v>6.64764707845187</v>
      </c>
      <c r="U554" s="29">
        <v>3.7921556864389006</v>
      </c>
      <c r="V554" s="29">
        <v>2.7529286945770126</v>
      </c>
      <c r="W554" s="29">
        <v>22.4934713869925</v>
      </c>
      <c r="X554" s="29">
        <v>26.632201137898331</v>
      </c>
      <c r="Y554" s="564"/>
      <c r="Z554" s="564">
        <f>Q554+S554+T554+U554+V554+W554+X554</f>
        <v>105.00436590618745</v>
      </c>
      <c r="AA554" s="548">
        <f>Z554/G554*100</f>
        <v>0.46984452849414055</v>
      </c>
      <c r="AB554" s="538">
        <f>Z554-J554</f>
        <v>3.5857511125874311</v>
      </c>
      <c r="AC554" s="541">
        <f>AA554/I554-1</f>
        <v>3.5355946439269648E-2</v>
      </c>
      <c r="AD554" s="542"/>
      <c r="AF554" s="543"/>
      <c r="AI554" s="543"/>
      <c r="AK554" s="543"/>
      <c r="AM554" s="560"/>
    </row>
    <row r="555" spans="1:39">
      <c r="A555" s="58"/>
      <c r="B555" s="58"/>
      <c r="C555" s="10"/>
      <c r="D555" s="58"/>
      <c r="E555" s="30"/>
      <c r="F555" s="58"/>
      <c r="G555" s="129"/>
      <c r="H555" s="58"/>
      <c r="I555" s="684"/>
      <c r="J555" s="58"/>
      <c r="K555" s="58"/>
      <c r="L555" s="538"/>
      <c r="M555" s="538"/>
      <c r="N555" s="538"/>
      <c r="O555" s="538"/>
      <c r="P555" s="538"/>
      <c r="Q555" s="538"/>
      <c r="R555" s="564"/>
      <c r="S555" s="564"/>
      <c r="T555" s="538"/>
      <c r="U555" s="538"/>
      <c r="V555" s="538"/>
      <c r="W555" s="538"/>
      <c r="X555" s="538"/>
      <c r="Y555" s="564"/>
      <c r="Z555" s="564"/>
      <c r="AA555" s="564"/>
      <c r="AB555" s="538"/>
      <c r="AC555" s="541"/>
      <c r="AD555" s="542"/>
      <c r="AF555" s="543"/>
      <c r="AI555" s="543"/>
      <c r="AK555" s="543"/>
      <c r="AM555" s="560"/>
    </row>
    <row r="556" spans="1:39">
      <c r="A556" s="58">
        <f>MAX(A$529:A555)+1</f>
        <v>263</v>
      </c>
      <c r="B556" s="58"/>
      <c r="C556" s="10" t="s">
        <v>353</v>
      </c>
      <c r="D556" s="58"/>
      <c r="E556" s="30"/>
      <c r="F556" s="58"/>
      <c r="G556" s="411">
        <f>G553</f>
        <v>713737.64702999999</v>
      </c>
      <c r="H556" s="58"/>
      <c r="I556" s="556">
        <f>J556/G556*100</f>
        <v>3.8945582260714602</v>
      </c>
      <c r="J556" s="554">
        <f>SUM(J552:J555)</f>
        <v>27796.928244975748</v>
      </c>
      <c r="K556" s="58"/>
      <c r="L556" s="555">
        <f>SUM(L552:L555)</f>
        <v>2293.0791868152601</v>
      </c>
      <c r="M556" s="555">
        <f t="shared" ref="M556:Q556" si="191">SUM(M552:M555)</f>
        <v>128.4609163617869</v>
      </c>
      <c r="N556" s="555">
        <f t="shared" si="191"/>
        <v>96.729260561217899</v>
      </c>
      <c r="O556" s="555">
        <f t="shared" si="191"/>
        <v>603.10218693489446</v>
      </c>
      <c r="P556" s="555">
        <f t="shared" si="191"/>
        <v>876.18024926415137</v>
      </c>
      <c r="Q556" s="555">
        <f t="shared" si="191"/>
        <v>23799.376445038437</v>
      </c>
      <c r="R556" s="538"/>
      <c r="S556" s="619">
        <f>SUM(S552:S555)</f>
        <v>649.40093344915681</v>
      </c>
      <c r="T556" s="619">
        <f t="shared" ref="T556:X556" si="192">SUM(T552:T555)</f>
        <v>3895.9240652553344</v>
      </c>
      <c r="U556" s="619">
        <f t="shared" si="192"/>
        <v>124.89980671442741</v>
      </c>
      <c r="V556" s="619">
        <f t="shared" si="192"/>
        <v>90.671451881808125</v>
      </c>
      <c r="W556" s="619">
        <f t="shared" si="192"/>
        <v>740.85308222408923</v>
      </c>
      <c r="X556" s="619">
        <f t="shared" si="192"/>
        <v>877.16777726152293</v>
      </c>
      <c r="Y556" s="564"/>
      <c r="Z556" s="619">
        <f t="shared" ref="Z556" si="193">SUM(Z552:Z555)</f>
        <v>30178.293561824776</v>
      </c>
      <c r="AA556" s="556">
        <f>Z556/G556*100</f>
        <v>4.2282053759392504</v>
      </c>
      <c r="AB556" s="555">
        <f>SUM(AB552:AB555)</f>
        <v>2381.3653168490282</v>
      </c>
      <c r="AC556" s="562">
        <f>AA556/I556-1</f>
        <v>8.5670089006307792E-2</v>
      </c>
      <c r="AD556" s="542"/>
      <c r="AF556" s="543"/>
      <c r="AI556" s="543"/>
      <c r="AK556" s="543"/>
      <c r="AM556" s="560"/>
    </row>
    <row r="557" spans="1:39">
      <c r="A557" s="58"/>
      <c r="B557" s="58"/>
      <c r="D557" s="58"/>
      <c r="E557" s="30"/>
      <c r="F557" s="58"/>
      <c r="G557" s="29"/>
      <c r="H557" s="58"/>
      <c r="I557" s="58"/>
      <c r="J557" s="58"/>
      <c r="K557" s="58"/>
      <c r="L557" s="538"/>
      <c r="M557" s="538"/>
      <c r="N557" s="538"/>
      <c r="O557" s="538"/>
      <c r="P557" s="538"/>
      <c r="Q557" s="538"/>
      <c r="R557" s="564"/>
      <c r="S557" s="564"/>
      <c r="T557" s="538"/>
      <c r="U557" s="538"/>
      <c r="V557" s="538"/>
      <c r="W557" s="538"/>
      <c r="X557" s="538"/>
      <c r="Y557" s="564"/>
      <c r="Z557" s="564"/>
      <c r="AA557" s="564"/>
      <c r="AB557" s="538"/>
      <c r="AC557" s="501"/>
      <c r="AF557" s="543"/>
      <c r="AI557" s="543"/>
      <c r="AK557" s="543"/>
      <c r="AM557" s="560"/>
    </row>
    <row r="558" spans="1:39">
      <c r="A558" s="58"/>
      <c r="B558" s="58"/>
      <c r="C558" s="10" t="s">
        <v>354</v>
      </c>
      <c r="D558" s="58"/>
      <c r="E558" s="30"/>
      <c r="F558" s="58"/>
      <c r="G558" s="132"/>
      <c r="H558" s="58"/>
      <c r="I558" s="58"/>
      <c r="J558" s="539"/>
      <c r="K558" s="58"/>
      <c r="L558" s="538"/>
      <c r="M558" s="538"/>
      <c r="N558" s="538"/>
      <c r="O558" s="538"/>
      <c r="P558" s="538"/>
      <c r="Q558" s="538"/>
      <c r="R558" s="564"/>
      <c r="S558" s="564"/>
      <c r="T558" s="538"/>
      <c r="U558" s="538"/>
      <c r="V558" s="538"/>
      <c r="W558" s="538"/>
      <c r="X558" s="538"/>
      <c r="Y558" s="564"/>
      <c r="Z558" s="564"/>
      <c r="AA558" s="564"/>
      <c r="AB558" s="538"/>
      <c r="AC558" s="501"/>
      <c r="AF558" s="543"/>
      <c r="AI558" s="543"/>
      <c r="AK558" s="543"/>
      <c r="AM558" s="560"/>
    </row>
    <row r="559" spans="1:39">
      <c r="A559" s="58">
        <f>MAX(A$529:A558)+1</f>
        <v>264</v>
      </c>
      <c r="B559" s="58"/>
      <c r="C559" s="12" t="s">
        <v>333</v>
      </c>
      <c r="D559" s="58"/>
      <c r="E559" s="522" t="s">
        <v>262</v>
      </c>
      <c r="F559" s="58"/>
      <c r="G559" s="29">
        <v>75999.023490000007</v>
      </c>
      <c r="H559" s="58"/>
      <c r="I559" s="684">
        <v>2.4513716001416475</v>
      </c>
      <c r="J559" s="539">
        <f>G559*I559/100</f>
        <v>1863.0184782188398</v>
      </c>
      <c r="K559" s="58"/>
      <c r="L559" s="29">
        <v>64.675168989990013</v>
      </c>
      <c r="M559" s="29">
        <v>13.263258602054556</v>
      </c>
      <c r="N559" s="29">
        <v>9.9870469053464248</v>
      </c>
      <c r="O559" s="29">
        <v>62.268746754492533</v>
      </c>
      <c r="P559" s="29">
        <v>90.463353034744088</v>
      </c>
      <c r="Q559" s="538">
        <f>J559-L559-M559-N559-O559-P559</f>
        <v>1622.3609039322123</v>
      </c>
      <c r="R559" s="564"/>
      <c r="S559" s="29">
        <v>44.236091709683478</v>
      </c>
      <c r="T559" s="29">
        <v>266.37489455742417</v>
      </c>
      <c r="U559" s="29">
        <v>12.895583207071539</v>
      </c>
      <c r="V559" s="29">
        <v>9.3615937686857631</v>
      </c>
      <c r="W559" s="29">
        <v>76.491171742802919</v>
      </c>
      <c r="X559" s="29">
        <v>90.565312755855061</v>
      </c>
      <c r="Y559" s="564"/>
      <c r="Z559" s="564">
        <f>Q559+S559+T559+U559+V559+W559+X559</f>
        <v>2122.285551673735</v>
      </c>
      <c r="AA559" s="548">
        <f>Z559/G559*100</f>
        <v>2.792516869579234</v>
      </c>
      <c r="AB559" s="538">
        <f>Z559-J559</f>
        <v>259.26707345489513</v>
      </c>
      <c r="AC559" s="541">
        <f>AA559/I559-1</f>
        <v>0.13916505739801921</v>
      </c>
      <c r="AD559" s="542"/>
      <c r="AF559" s="543"/>
      <c r="AI559" s="543"/>
      <c r="AK559" s="543"/>
      <c r="AM559" s="560"/>
    </row>
    <row r="560" spans="1:39">
      <c r="A560" s="58">
        <f>MAX(A$529:A559)+1</f>
        <v>265</v>
      </c>
      <c r="B560" s="58"/>
      <c r="C560" s="12" t="s">
        <v>363</v>
      </c>
      <c r="D560" s="58"/>
      <c r="E560" s="522" t="s">
        <v>262</v>
      </c>
      <c r="F560" s="58"/>
      <c r="G560" s="29">
        <v>7467.4059999999999</v>
      </c>
      <c r="H560" s="58"/>
      <c r="I560" s="684">
        <v>2.5402936060527579</v>
      </c>
      <c r="J560" s="539">
        <f>G560*I560/100</f>
        <v>189.69403715600001</v>
      </c>
      <c r="K560" s="58"/>
      <c r="L560" s="29">
        <v>6.3547625059999993</v>
      </c>
      <c r="M560" s="29">
        <v>1.3032027559875927</v>
      </c>
      <c r="N560" s="29">
        <v>0</v>
      </c>
      <c r="O560" s="29">
        <v>0</v>
      </c>
      <c r="P560" s="29">
        <v>0</v>
      </c>
      <c r="Q560" s="538">
        <f>J560-L560-M560-N560-O560-P560</f>
        <v>182.03607189401242</v>
      </c>
      <c r="R560" s="564"/>
      <c r="S560" s="29">
        <v>4.5279326431000868</v>
      </c>
      <c r="T560" s="29">
        <v>26.173092686239681</v>
      </c>
      <c r="U560" s="29">
        <v>1.2670762200866437</v>
      </c>
      <c r="V560" s="29">
        <v>0</v>
      </c>
      <c r="W560" s="29">
        <v>0</v>
      </c>
      <c r="X560" s="29">
        <v>0</v>
      </c>
      <c r="Y560" s="564"/>
      <c r="Z560" s="564">
        <f>Q560+S560+T560+U560+V560+W560+X560</f>
        <v>214.00417344343882</v>
      </c>
      <c r="AA560" s="548">
        <f>Z560/G560*100</f>
        <v>2.8658435532156523</v>
      </c>
      <c r="AB560" s="538">
        <f>Z560-J560</f>
        <v>24.310136287438809</v>
      </c>
      <c r="AC560" s="541">
        <f>AA560/I560-1</f>
        <v>0.12815445678688731</v>
      </c>
      <c r="AD560" s="542"/>
      <c r="AF560" s="543"/>
      <c r="AI560" s="543"/>
      <c r="AK560" s="543"/>
      <c r="AM560" s="560"/>
    </row>
    <row r="561" spans="1:39">
      <c r="A561" s="58"/>
      <c r="B561" s="58"/>
      <c r="C561" s="10"/>
      <c r="D561" s="58"/>
      <c r="E561" s="30"/>
      <c r="F561" s="58"/>
      <c r="G561" s="132"/>
      <c r="H561" s="58"/>
      <c r="I561" s="58"/>
      <c r="J561" s="539"/>
      <c r="K561" s="58"/>
      <c r="L561" s="538"/>
      <c r="M561" s="538"/>
      <c r="N561" s="538"/>
      <c r="O561" s="538"/>
      <c r="P561" s="538"/>
      <c r="Q561" s="538"/>
      <c r="R561" s="564"/>
      <c r="S561" s="564"/>
      <c r="T561" s="538"/>
      <c r="U561" s="538"/>
      <c r="V561" s="538"/>
      <c r="W561" s="538"/>
      <c r="X561" s="538"/>
      <c r="Y561" s="564"/>
      <c r="Z561" s="564"/>
      <c r="AA561" s="564"/>
      <c r="AB561" s="538"/>
      <c r="AC561" s="541"/>
      <c r="AD561" s="542"/>
      <c r="AF561" s="543"/>
      <c r="AI561" s="543"/>
      <c r="AK561" s="543"/>
      <c r="AM561" s="560"/>
    </row>
    <row r="562" spans="1:39">
      <c r="A562" s="58">
        <f>MAX(A$529:A561)+1</f>
        <v>266</v>
      </c>
      <c r="B562" s="58"/>
      <c r="C562" s="10" t="s">
        <v>356</v>
      </c>
      <c r="D562" s="58"/>
      <c r="E562" s="574"/>
      <c r="F562" s="58"/>
      <c r="G562" s="131">
        <f>G559</f>
        <v>75999.023490000007</v>
      </c>
      <c r="H562" s="58"/>
      <c r="I562" s="556">
        <f>J562/G562*100</f>
        <v>2.7009722245246173</v>
      </c>
      <c r="J562" s="554">
        <f>SUM(J559:J561)</f>
        <v>2052.7125153748398</v>
      </c>
      <c r="K562" s="58"/>
      <c r="L562" s="555">
        <f>SUM(L559:L561)</f>
        <v>71.029931495990013</v>
      </c>
      <c r="M562" s="555">
        <f t="shared" ref="M562:Q562" si="194">SUM(M559:M561)</f>
        <v>14.566461358042149</v>
      </c>
      <c r="N562" s="555">
        <f t="shared" si="194"/>
        <v>9.9870469053464248</v>
      </c>
      <c r="O562" s="555">
        <f t="shared" si="194"/>
        <v>62.268746754492533</v>
      </c>
      <c r="P562" s="555">
        <f t="shared" si="194"/>
        <v>90.463353034744088</v>
      </c>
      <c r="Q562" s="555">
        <f t="shared" si="194"/>
        <v>1804.3969758262247</v>
      </c>
      <c r="R562" s="564"/>
      <c r="S562" s="619">
        <f>SUM(S559:S561)</f>
        <v>48.764024352783565</v>
      </c>
      <c r="T562" s="619">
        <f t="shared" ref="T562:X562" si="195">SUM(T559:T561)</f>
        <v>292.54798724366384</v>
      </c>
      <c r="U562" s="619">
        <f t="shared" si="195"/>
        <v>14.162659427158182</v>
      </c>
      <c r="V562" s="619">
        <f t="shared" si="195"/>
        <v>9.3615937686857631</v>
      </c>
      <c r="W562" s="619">
        <f t="shared" si="195"/>
        <v>76.491171742802919</v>
      </c>
      <c r="X562" s="619">
        <f t="shared" si="195"/>
        <v>90.565312755855061</v>
      </c>
      <c r="Y562" s="564"/>
      <c r="Z562" s="619">
        <f>SUM(Z559:Z561)</f>
        <v>2336.2897251171739</v>
      </c>
      <c r="AA562" s="556">
        <f>Z562/G562*100</f>
        <v>3.0741049263936717</v>
      </c>
      <c r="AB562" s="555">
        <f>SUM(AB559:AB561)</f>
        <v>283.57720974233393</v>
      </c>
      <c r="AC562" s="562">
        <f>AA562/I562-1</f>
        <v>0.13814755238170862</v>
      </c>
      <c r="AD562" s="542"/>
      <c r="AF562" s="543"/>
      <c r="AI562" s="543"/>
      <c r="AK562" s="543"/>
      <c r="AM562" s="560"/>
    </row>
    <row r="563" spans="1:39" ht="12.95">
      <c r="A563" s="58"/>
      <c r="B563" s="58"/>
      <c r="D563" s="58"/>
      <c r="E563" s="128"/>
      <c r="F563" s="58"/>
      <c r="G563" s="575"/>
      <c r="H563" s="58"/>
      <c r="I563" s="58"/>
      <c r="J563" s="539"/>
      <c r="K563" s="58"/>
      <c r="L563" s="538"/>
      <c r="M563" s="538"/>
      <c r="N563" s="538"/>
      <c r="O563" s="538"/>
      <c r="P563" s="538"/>
      <c r="Q563" s="538"/>
      <c r="R563" s="564"/>
      <c r="S563" s="564"/>
      <c r="T563" s="538"/>
      <c r="U563" s="538"/>
      <c r="V563" s="538"/>
      <c r="W563" s="538"/>
      <c r="X563" s="538"/>
      <c r="Y563" s="564"/>
      <c r="Z563" s="564"/>
      <c r="AA563" s="564"/>
      <c r="AB563" s="538"/>
      <c r="AC563" s="541"/>
      <c r="AD563" s="542"/>
      <c r="AF563" s="543"/>
      <c r="AI563" s="543"/>
      <c r="AK563" s="543"/>
      <c r="AM563" s="560"/>
    </row>
    <row r="564" spans="1:39">
      <c r="A564" s="58">
        <f>MAX(A$529:A563)+1</f>
        <v>267</v>
      </c>
      <c r="B564" s="58"/>
      <c r="C564" s="10" t="s">
        <v>270</v>
      </c>
      <c r="D564" s="58"/>
      <c r="E564" s="522" t="s">
        <v>262</v>
      </c>
      <c r="F564" s="58"/>
      <c r="G564" s="29">
        <v>35618.685999999994</v>
      </c>
      <c r="H564" s="58"/>
      <c r="I564" s="684">
        <v>20.538400000000003</v>
      </c>
      <c r="J564" s="539">
        <f>G564*I564/100</f>
        <v>7315.5082054240002</v>
      </c>
      <c r="K564" s="58"/>
      <c r="L564" s="687">
        <v>0</v>
      </c>
      <c r="M564" s="687">
        <v>0</v>
      </c>
      <c r="N564" s="687">
        <v>0</v>
      </c>
      <c r="O564" s="687">
        <v>0</v>
      </c>
      <c r="P564" s="687">
        <v>0</v>
      </c>
      <c r="Q564" s="538">
        <f>J564-L564-M564-N564-O564-P564</f>
        <v>7315.5082054240002</v>
      </c>
      <c r="R564" s="564"/>
      <c r="S564" s="564">
        <v>-0.71926190202120921</v>
      </c>
      <c r="T564" s="687">
        <v>0</v>
      </c>
      <c r="U564" s="687">
        <v>0</v>
      </c>
      <c r="V564" s="687">
        <v>0</v>
      </c>
      <c r="W564" s="687">
        <v>0</v>
      </c>
      <c r="X564" s="687">
        <v>0</v>
      </c>
      <c r="Y564" s="564"/>
      <c r="Z564" s="564">
        <f>Q564+S564+T564+U564+V564+W564+X564</f>
        <v>7314.7889435219786</v>
      </c>
      <c r="AA564" s="548">
        <f>Z564/G564*100</f>
        <v>20.536380661324731</v>
      </c>
      <c r="AB564" s="538">
        <f>Z564-J564</f>
        <v>-0.71926190202157159</v>
      </c>
      <c r="AC564" s="541">
        <f>AA564/I564-1</f>
        <v>-9.8320155185960267E-5</v>
      </c>
      <c r="AD564" s="542"/>
      <c r="AF564" s="543"/>
      <c r="AI564" s="543"/>
      <c r="AK564" s="543"/>
      <c r="AM564" s="560"/>
    </row>
    <row r="565" spans="1:39">
      <c r="A565" s="58"/>
      <c r="B565" s="58"/>
      <c r="C565" s="10"/>
      <c r="D565" s="58"/>
      <c r="E565" s="30"/>
      <c r="F565" s="58"/>
      <c r="G565" s="132"/>
      <c r="H565" s="58"/>
      <c r="I565" s="58"/>
      <c r="J565" s="539"/>
      <c r="K565" s="58"/>
      <c r="L565" s="538"/>
      <c r="M565" s="538"/>
      <c r="N565" s="538"/>
      <c r="O565" s="538"/>
      <c r="P565" s="538"/>
      <c r="Q565" s="538"/>
      <c r="R565" s="564"/>
      <c r="S565" s="564"/>
      <c r="T565" s="538"/>
      <c r="U565" s="538"/>
      <c r="V565" s="538"/>
      <c r="W565" s="538"/>
      <c r="X565" s="538"/>
      <c r="Y565" s="564"/>
      <c r="Z565" s="564"/>
      <c r="AA565" s="548"/>
      <c r="AB565" s="538"/>
      <c r="AC565" s="501"/>
      <c r="AF565" s="543"/>
      <c r="AI565" s="543"/>
      <c r="AK565" s="543"/>
      <c r="AM565" s="560"/>
    </row>
    <row r="566" spans="1:39" ht="12.95" thickBot="1">
      <c r="A566" s="58">
        <f>MAX(A$529:A565)+1</f>
        <v>268</v>
      </c>
      <c r="B566" s="58"/>
      <c r="C566" s="10" t="s">
        <v>364</v>
      </c>
      <c r="D566" s="58"/>
      <c r="E566" s="30"/>
      <c r="F566" s="58"/>
      <c r="G566" s="439">
        <f>G556+G562</f>
        <v>789736.67052000004</v>
      </c>
      <c r="H566" s="58"/>
      <c r="I566" s="572">
        <f>J566/G566*100</f>
        <v>4.7060178858483663</v>
      </c>
      <c r="J566" s="627">
        <f>J556+J562+J564</f>
        <v>37165.148965774584</v>
      </c>
      <c r="K566" s="539"/>
      <c r="L566" s="628">
        <f t="shared" ref="L566:Q566" si="196">L556+L562+L564</f>
        <v>2364.1091183112503</v>
      </c>
      <c r="M566" s="628">
        <f t="shared" si="196"/>
        <v>143.02737771982905</v>
      </c>
      <c r="N566" s="628">
        <f t="shared" si="196"/>
        <v>106.71630746656433</v>
      </c>
      <c r="O566" s="628">
        <f t="shared" si="196"/>
        <v>665.37093368938702</v>
      </c>
      <c r="P566" s="628">
        <f t="shared" si="196"/>
        <v>966.64360229889542</v>
      </c>
      <c r="Q566" s="628">
        <f t="shared" si="196"/>
        <v>32919.281626288663</v>
      </c>
      <c r="R566" s="564"/>
      <c r="S566" s="628">
        <f t="shared" ref="S566:X566" si="197">S556+S562+S564</f>
        <v>697.44569589991909</v>
      </c>
      <c r="T566" s="628">
        <f t="shared" si="197"/>
        <v>4188.472052498998</v>
      </c>
      <c r="U566" s="628">
        <f t="shared" si="197"/>
        <v>139.06246614158559</v>
      </c>
      <c r="V566" s="628">
        <f t="shared" si="197"/>
        <v>100.03304565049389</v>
      </c>
      <c r="W566" s="628">
        <f t="shared" si="197"/>
        <v>817.34425396689221</v>
      </c>
      <c r="X566" s="628">
        <f t="shared" si="197"/>
        <v>967.733090017378</v>
      </c>
      <c r="Y566" s="564"/>
      <c r="Z566" s="628">
        <f>Z556+Z562+Z564</f>
        <v>39829.37223046393</v>
      </c>
      <c r="AA566" s="572">
        <f>Z566/G566*100</f>
        <v>5.0433737873965487</v>
      </c>
      <c r="AB566" s="587">
        <f>AB556+AB562+AB564</f>
        <v>2664.2232646893408</v>
      </c>
      <c r="AC566" s="573">
        <f>AA566/I566-1</f>
        <v>7.1686064467085364E-2</v>
      </c>
      <c r="AD566" s="542"/>
      <c r="AF566" s="543"/>
      <c r="AI566" s="543"/>
      <c r="AK566" s="543"/>
      <c r="AM566" s="560"/>
    </row>
    <row r="567" spans="1:39" ht="12.95" thickTop="1">
      <c r="L567" s="2"/>
      <c r="M567" s="2"/>
      <c r="N567" s="2"/>
      <c r="O567" s="2"/>
      <c r="P567" s="501"/>
      <c r="Q567" s="501"/>
      <c r="T567" s="501"/>
      <c r="U567" s="501"/>
      <c r="V567" s="501"/>
      <c r="W567" s="501"/>
      <c r="X567" s="501"/>
      <c r="AB567" s="538"/>
      <c r="AC567" s="501"/>
      <c r="AF567" s="543"/>
      <c r="AI567" s="543"/>
      <c r="AK567" s="543"/>
      <c r="AM567" s="560"/>
    </row>
    <row r="568" spans="1:39">
      <c r="L568" s="2"/>
      <c r="M568" s="2"/>
      <c r="N568" s="2"/>
      <c r="O568" s="2"/>
      <c r="P568" s="501"/>
      <c r="Q568" s="501"/>
      <c r="T568" s="501"/>
      <c r="U568" s="501"/>
      <c r="V568" s="501"/>
      <c r="W568" s="501"/>
      <c r="X568" s="501"/>
      <c r="AB568" s="501"/>
      <c r="AC568" s="501"/>
      <c r="AF568" s="543"/>
      <c r="AI568" s="543"/>
      <c r="AK568" s="543"/>
      <c r="AM568" s="560"/>
    </row>
    <row r="569" spans="1:39">
      <c r="L569" s="2"/>
      <c r="M569" s="2"/>
      <c r="N569" s="2"/>
      <c r="O569" s="2"/>
      <c r="P569" s="501"/>
      <c r="Q569" s="501"/>
      <c r="T569" s="501"/>
      <c r="U569" s="501"/>
      <c r="V569" s="501"/>
      <c r="W569" s="501"/>
      <c r="X569" s="501"/>
      <c r="AB569" s="501"/>
      <c r="AC569" s="501"/>
      <c r="AF569" s="543"/>
      <c r="AI569" s="543"/>
      <c r="AK569" s="543"/>
      <c r="AM569" s="560"/>
    </row>
    <row r="570" spans="1:39">
      <c r="L570" s="2"/>
      <c r="M570" s="2"/>
      <c r="N570" s="2"/>
      <c r="O570" s="2"/>
      <c r="P570" s="501"/>
      <c r="Q570" s="501"/>
      <c r="T570" s="501"/>
      <c r="U570" s="501"/>
      <c r="V570" s="501"/>
      <c r="W570" s="501"/>
      <c r="X570" s="501"/>
      <c r="AB570" s="501"/>
      <c r="AC570" s="501"/>
      <c r="AF570" s="543"/>
      <c r="AI570" s="543"/>
      <c r="AK570" s="543"/>
      <c r="AM570" s="560"/>
    </row>
    <row r="571" spans="1:39">
      <c r="L571" s="2"/>
      <c r="M571" s="2"/>
      <c r="N571" s="2"/>
      <c r="O571" s="2"/>
      <c r="P571" s="501"/>
      <c r="Q571" s="501"/>
      <c r="T571" s="501"/>
      <c r="U571" s="501"/>
      <c r="V571" s="501"/>
      <c r="W571" s="501"/>
      <c r="X571" s="501"/>
      <c r="AB571" s="501"/>
      <c r="AC571" s="501"/>
      <c r="AF571" s="543"/>
      <c r="AI571" s="543"/>
      <c r="AK571" s="543"/>
      <c r="AM571" s="560"/>
    </row>
    <row r="572" spans="1:39">
      <c r="A572" s="1156" t="s">
        <v>279</v>
      </c>
      <c r="B572" s="1156"/>
      <c r="C572" s="1156"/>
      <c r="D572" s="1156"/>
      <c r="E572" s="1156"/>
      <c r="F572" s="1156"/>
      <c r="G572" s="1156"/>
      <c r="H572" s="1156"/>
      <c r="I572" s="1156"/>
      <c r="J572" s="1156"/>
      <c r="K572" s="1156"/>
      <c r="L572" s="1156"/>
      <c r="M572" s="1156"/>
      <c r="N572" s="1156"/>
      <c r="O572" s="1156"/>
      <c r="P572" s="1156"/>
      <c r="Q572" s="1156"/>
      <c r="R572" s="1156"/>
      <c r="S572" s="1156"/>
      <c r="T572" s="1156"/>
      <c r="U572" s="1156"/>
      <c r="V572" s="1156"/>
      <c r="W572" s="1156"/>
      <c r="X572" s="1156"/>
      <c r="Y572" s="1156"/>
      <c r="Z572" s="1156"/>
      <c r="AA572" s="1156"/>
      <c r="AB572" s="1156"/>
      <c r="AC572" s="1156"/>
      <c r="AD572" s="531"/>
      <c r="AF572" s="543"/>
      <c r="AI572" s="543"/>
      <c r="AK572" s="543"/>
      <c r="AM572" s="560"/>
    </row>
    <row r="573" spans="1:39">
      <c r="A573" s="57"/>
      <c r="B573" s="57"/>
      <c r="C573" s="57"/>
      <c r="D573" s="57"/>
      <c r="E573" s="3"/>
      <c r="F573" s="57"/>
      <c r="G573" s="3"/>
      <c r="H573" s="57"/>
      <c r="I573" s="57"/>
      <c r="J573" s="57"/>
      <c r="K573" s="57"/>
      <c r="L573" s="57"/>
      <c r="M573" s="57"/>
      <c r="N573" s="4"/>
      <c r="O573" s="4"/>
      <c r="P573" s="501"/>
      <c r="Q573" s="501"/>
      <c r="R573" s="57"/>
      <c r="S573" s="57"/>
      <c r="T573" s="501"/>
      <c r="U573" s="501"/>
      <c r="V573" s="501"/>
      <c r="W573" s="501"/>
      <c r="X573" s="501"/>
      <c r="Y573" s="57"/>
      <c r="Z573" s="57"/>
      <c r="AA573" s="57"/>
      <c r="AB573" s="501"/>
      <c r="AC573" s="501"/>
      <c r="AF573" s="543"/>
      <c r="AI573" s="543"/>
      <c r="AK573" s="543"/>
      <c r="AM573" s="560"/>
    </row>
    <row r="574" spans="1:39">
      <c r="A574" s="3"/>
      <c r="B574" s="3"/>
      <c r="C574" s="3"/>
      <c r="D574" s="3"/>
      <c r="E574" s="57"/>
      <c r="F574" s="3"/>
      <c r="G574" s="1152" t="str">
        <f>G8</f>
        <v>Current Approved Revenue</v>
      </c>
      <c r="H574" s="1152"/>
      <c r="I574" s="1152"/>
      <c r="J574" s="1152"/>
      <c r="K574" s="3"/>
      <c r="L574" s="1152" t="str">
        <f>L8</f>
        <v>Adjustments to 2023 Base Rates</v>
      </c>
      <c r="M574" s="1152"/>
      <c r="N574" s="1152"/>
      <c r="O574" s="1152"/>
      <c r="P574" s="1152"/>
      <c r="Q574" s="58"/>
      <c r="R574" s="3"/>
      <c r="S574" s="1152" t="str">
        <f>S8</f>
        <v>Adjustments to 2024 Base Rates</v>
      </c>
      <c r="T574" s="1152"/>
      <c r="U574" s="1152"/>
      <c r="V574" s="1152"/>
      <c r="W574" s="1152"/>
      <c r="X574" s="1152"/>
      <c r="Y574" s="3"/>
      <c r="Z574" s="1152" t="str">
        <f>Z8</f>
        <v>2024 Proposed Revenue</v>
      </c>
      <c r="AA574" s="1152"/>
      <c r="AB574" s="1152"/>
      <c r="AC574" s="1152"/>
      <c r="AD574" s="6"/>
      <c r="AF574" s="543"/>
      <c r="AI574" s="543"/>
      <c r="AK574" s="543"/>
      <c r="AM574" s="560"/>
    </row>
    <row r="575" spans="1:39" ht="37.5">
      <c r="A575" s="5" t="s">
        <v>56</v>
      </c>
      <c r="B575" s="5"/>
      <c r="C575" s="5"/>
      <c r="D575" s="5"/>
      <c r="E575" s="6" t="s">
        <v>233</v>
      </c>
      <c r="F575" s="5"/>
      <c r="G575" s="17" t="s">
        <v>234</v>
      </c>
      <c r="H575" s="5"/>
      <c r="I575" s="17" t="s">
        <v>235</v>
      </c>
      <c r="J575" s="17" t="s">
        <v>101</v>
      </c>
      <c r="K575" s="5"/>
      <c r="L575" s="17" t="s">
        <v>106</v>
      </c>
      <c r="M575" s="17" t="s">
        <v>236</v>
      </c>
      <c r="N575" s="5" t="s">
        <v>237</v>
      </c>
      <c r="O575" s="5" t="s">
        <v>109</v>
      </c>
      <c r="P575" s="5" t="s">
        <v>238</v>
      </c>
      <c r="Q575" s="5" t="s">
        <v>239</v>
      </c>
      <c r="R575" s="5"/>
      <c r="S575" s="5" t="s">
        <v>240</v>
      </c>
      <c r="T575" s="17" t="s">
        <v>106</v>
      </c>
      <c r="U575" s="17" t="s">
        <v>236</v>
      </c>
      <c r="V575" s="5" t="s">
        <v>237</v>
      </c>
      <c r="W575" s="5" t="s">
        <v>109</v>
      </c>
      <c r="X575" s="5" t="s">
        <v>238</v>
      </c>
      <c r="Y575" s="5"/>
      <c r="Z575" s="17" t="s">
        <v>241</v>
      </c>
      <c r="AA575" s="17" t="s">
        <v>242</v>
      </c>
      <c r="AB575" s="17" t="s">
        <v>243</v>
      </c>
      <c r="AC575" s="5" t="s">
        <v>244</v>
      </c>
      <c r="AD575" s="5"/>
      <c r="AF575" s="543"/>
      <c r="AI575" s="543"/>
      <c r="AK575" s="543"/>
      <c r="AM575" s="560"/>
    </row>
    <row r="576" spans="1:39" ht="14.45">
      <c r="A576" s="237" t="s">
        <v>57</v>
      </c>
      <c r="B576" s="58"/>
      <c r="C576" s="59" t="s">
        <v>194</v>
      </c>
      <c r="D576" s="58"/>
      <c r="E576" s="237" t="s">
        <v>245</v>
      </c>
      <c r="F576" s="58"/>
      <c r="G576" s="237" t="s">
        <v>246</v>
      </c>
      <c r="H576" s="58"/>
      <c r="I576" s="237" t="s">
        <v>247</v>
      </c>
      <c r="J576" s="237" t="s">
        <v>248</v>
      </c>
      <c r="K576" s="58"/>
      <c r="L576" s="237" t="s">
        <v>248</v>
      </c>
      <c r="M576" s="237" t="s">
        <v>248</v>
      </c>
      <c r="N576" s="237" t="s">
        <v>248</v>
      </c>
      <c r="O576" s="237" t="s">
        <v>248</v>
      </c>
      <c r="P576" s="237" t="s">
        <v>248</v>
      </c>
      <c r="Q576" s="237" t="s">
        <v>248</v>
      </c>
      <c r="R576" s="58"/>
      <c r="S576" s="237" t="s">
        <v>248</v>
      </c>
      <c r="T576" s="237" t="s">
        <v>248</v>
      </c>
      <c r="U576" s="237" t="s">
        <v>248</v>
      </c>
      <c r="V576" s="237" t="s">
        <v>248</v>
      </c>
      <c r="W576" s="237" t="s">
        <v>248</v>
      </c>
      <c r="X576" s="237" t="s">
        <v>248</v>
      </c>
      <c r="Y576" s="58"/>
      <c r="Z576" s="237" t="s">
        <v>248</v>
      </c>
      <c r="AA576" s="237" t="s">
        <v>247</v>
      </c>
      <c r="AB576" s="237" t="s">
        <v>248</v>
      </c>
      <c r="AC576" s="237" t="s">
        <v>249</v>
      </c>
      <c r="AD576" s="6"/>
      <c r="AF576" s="543"/>
      <c r="AI576" s="543"/>
      <c r="AK576" s="543"/>
      <c r="AM576" s="560"/>
    </row>
    <row r="577" spans="1:39">
      <c r="A577" s="6"/>
      <c r="B577" s="58"/>
      <c r="C577" s="58"/>
      <c r="D577" s="58"/>
      <c r="E577" s="6"/>
      <c r="F577" s="58"/>
      <c r="G577" s="6" t="s">
        <v>9</v>
      </c>
      <c r="H577" s="6"/>
      <c r="I577" s="6" t="s">
        <v>10</v>
      </c>
      <c r="J577" s="6" t="s">
        <v>58</v>
      </c>
      <c r="K577" s="6"/>
      <c r="L577" s="123" t="s">
        <v>12</v>
      </c>
      <c r="M577" s="123" t="s">
        <v>13</v>
      </c>
      <c r="N577" s="123" t="s">
        <v>115</v>
      </c>
      <c r="O577" s="123" t="s">
        <v>209</v>
      </c>
      <c r="P577" s="6" t="s">
        <v>210</v>
      </c>
      <c r="Q577" s="6" t="s">
        <v>250</v>
      </c>
      <c r="R577" s="6"/>
      <c r="S577" s="6" t="s">
        <v>251</v>
      </c>
      <c r="T577" s="6" t="s">
        <v>120</v>
      </c>
      <c r="U577" s="6" t="s">
        <v>121</v>
      </c>
      <c r="V577" s="6" t="s">
        <v>122</v>
      </c>
      <c r="W577" s="6" t="s">
        <v>252</v>
      </c>
      <c r="X577" s="6" t="s">
        <v>253</v>
      </c>
      <c r="Y577" s="6"/>
      <c r="Z577" s="6" t="s">
        <v>254</v>
      </c>
      <c r="AA577" s="6" t="s">
        <v>255</v>
      </c>
      <c r="AB577" s="6" t="s">
        <v>256</v>
      </c>
      <c r="AC577" s="6" t="s">
        <v>257</v>
      </c>
      <c r="AD577" s="6"/>
      <c r="AF577" s="543"/>
      <c r="AI577" s="543"/>
      <c r="AK577" s="543"/>
      <c r="AM577" s="560"/>
    </row>
    <row r="578" spans="1:39">
      <c r="E578" s="30"/>
      <c r="G578" s="29"/>
      <c r="J578" s="567"/>
      <c r="L578" s="538"/>
      <c r="M578" s="538"/>
      <c r="N578" s="538"/>
      <c r="O578" s="538"/>
      <c r="P578" s="538"/>
      <c r="Q578" s="538"/>
      <c r="R578" s="64"/>
      <c r="S578" s="64"/>
      <c r="T578" s="538"/>
      <c r="U578" s="538"/>
      <c r="V578" s="538"/>
      <c r="W578" s="538"/>
      <c r="X578" s="538"/>
      <c r="Y578" s="64"/>
      <c r="Z578" s="64"/>
      <c r="AA578" s="64"/>
      <c r="AB578" s="538"/>
      <c r="AC578" s="501"/>
      <c r="AF578" s="543"/>
      <c r="AM578" s="560"/>
    </row>
    <row r="579" spans="1:39">
      <c r="A579" s="6"/>
      <c r="B579" s="58"/>
      <c r="C579" s="9" t="s">
        <v>151</v>
      </c>
      <c r="D579" s="58"/>
      <c r="E579" s="574"/>
      <c r="F579" s="58"/>
      <c r="G579" s="29"/>
      <c r="H579" s="58"/>
      <c r="I579" s="58"/>
      <c r="J579" s="539"/>
      <c r="K579" s="58"/>
      <c r="L579" s="538"/>
      <c r="M579" s="538"/>
      <c r="N579" s="538"/>
      <c r="O579" s="538"/>
      <c r="P579" s="538"/>
      <c r="Q579" s="538"/>
      <c r="R579" s="564"/>
      <c r="S579" s="564"/>
      <c r="T579" s="538"/>
      <c r="U579" s="538"/>
      <c r="V579" s="538"/>
      <c r="W579" s="538"/>
      <c r="X579" s="538"/>
      <c r="Y579" s="564"/>
      <c r="Z579" s="564"/>
      <c r="AA579" s="564"/>
      <c r="AB579" s="538"/>
      <c r="AC579" s="501"/>
    </row>
    <row r="580" spans="1:39">
      <c r="A580" s="58">
        <v>269</v>
      </c>
      <c r="B580" s="58"/>
      <c r="C580" s="521" t="s">
        <v>280</v>
      </c>
      <c r="D580" s="58"/>
      <c r="E580" s="522" t="s">
        <v>281</v>
      </c>
      <c r="F580" s="58"/>
      <c r="G580" s="29">
        <v>6040.4639999999999</v>
      </c>
      <c r="H580" s="539"/>
      <c r="I580" s="684">
        <v>27.228400000000001</v>
      </c>
      <c r="J580" s="539">
        <f>G580*I580/100</f>
        <v>1644.7216997759999</v>
      </c>
      <c r="K580" s="539"/>
      <c r="L580" s="29">
        <v>16.88309688</v>
      </c>
      <c r="M580" s="687">
        <v>0</v>
      </c>
      <c r="N580" s="687">
        <v>0</v>
      </c>
      <c r="O580" s="687">
        <v>0</v>
      </c>
      <c r="P580" s="687">
        <v>0</v>
      </c>
      <c r="Q580" s="538">
        <f>J580-L580-M580-N580-O580-P580</f>
        <v>1627.8386028959999</v>
      </c>
      <c r="R580" s="564"/>
      <c r="S580" s="29">
        <v>44.481156264227593</v>
      </c>
      <c r="T580" s="29">
        <v>17.720613264513492</v>
      </c>
      <c r="U580" s="29">
        <v>0</v>
      </c>
      <c r="V580" s="29">
        <v>0</v>
      </c>
      <c r="W580" s="29">
        <v>0</v>
      </c>
      <c r="X580" s="29">
        <v>0</v>
      </c>
      <c r="Y580" s="564"/>
      <c r="Z580" s="564">
        <f>Q580+S580+T580+U580+V580+W580+X580</f>
        <v>1690.040372424741</v>
      </c>
      <c r="AA580" s="548">
        <f>Z580/G580*100</f>
        <v>27.978651514597903</v>
      </c>
      <c r="AB580" s="538">
        <f>Z580-J580</f>
        <v>45.318672648741085</v>
      </c>
      <c r="AC580" s="541">
        <f>AA580/I580-1</f>
        <v>2.7554006647394047E-2</v>
      </c>
      <c r="AD580" s="542"/>
      <c r="AF580" s="543"/>
      <c r="AI580" s="543"/>
      <c r="AK580" s="543"/>
      <c r="AM580" s="560"/>
    </row>
    <row r="581" spans="1:39">
      <c r="A581" s="58">
        <f>MAX(A$579:A580)+1</f>
        <v>270</v>
      </c>
      <c r="B581" s="58"/>
      <c r="C581" s="521" t="s">
        <v>260</v>
      </c>
      <c r="D581" s="58"/>
      <c r="E581" s="522" t="s">
        <v>262</v>
      </c>
      <c r="F581" s="58"/>
      <c r="G581" s="29">
        <v>90073.425800000012</v>
      </c>
      <c r="H581" s="539"/>
      <c r="I581" s="684">
        <v>0.30399999999999999</v>
      </c>
      <c r="J581" s="539">
        <f>G581*I581/100</f>
        <v>273.82321443200004</v>
      </c>
      <c r="K581" s="539"/>
      <c r="L581" s="687">
        <v>0</v>
      </c>
      <c r="M581" s="29">
        <v>65.613483750987882</v>
      </c>
      <c r="N581" s="29">
        <v>2.8522366222343125</v>
      </c>
      <c r="O581" s="29">
        <v>53.547075007156863</v>
      </c>
      <c r="P581" s="29">
        <v>75.954499308342562</v>
      </c>
      <c r="Q581" s="538">
        <f>J581-L581-M581-N581-O581-P581</f>
        <v>75.855919743278449</v>
      </c>
      <c r="R581" s="564"/>
      <c r="S581" s="29">
        <v>2.0713057618906987</v>
      </c>
      <c r="T581" s="29">
        <v>0</v>
      </c>
      <c r="U581" s="29">
        <v>63.794589595473241</v>
      </c>
      <c r="V581" s="29">
        <v>2.6736112128633147</v>
      </c>
      <c r="W581" s="29">
        <v>65.777436100425092</v>
      </c>
      <c r="X581" s="29">
        <v>76.040106344858529</v>
      </c>
      <c r="Y581" s="564"/>
      <c r="Z581" s="564">
        <f>Q581+S581+T581+U581+V581+W581+X581</f>
        <v>286.21296875878932</v>
      </c>
      <c r="AA581" s="548">
        <f>Z581/G581*100</f>
        <v>0.31775517164662925</v>
      </c>
      <c r="AB581" s="538">
        <f>Z581-J581</f>
        <v>12.389754326789273</v>
      </c>
      <c r="AC581" s="541">
        <f>AA581/I581-1</f>
        <v>4.5247275153385669E-2</v>
      </c>
      <c r="AD581" s="542"/>
      <c r="AF581" s="543"/>
      <c r="AI581" s="543"/>
      <c r="AK581" s="543"/>
      <c r="AM581" s="560"/>
    </row>
    <row r="582" spans="1:39">
      <c r="A582" s="58"/>
      <c r="C582" s="10"/>
      <c r="G582" s="568"/>
      <c r="H582" s="567"/>
      <c r="I582" s="684"/>
      <c r="J582" s="539"/>
      <c r="K582" s="567"/>
      <c r="L582" s="538"/>
      <c r="M582" s="538"/>
      <c r="N582" s="538"/>
      <c r="O582" s="538"/>
      <c r="P582" s="538"/>
      <c r="Q582" s="538"/>
      <c r="R582" s="64"/>
      <c r="S582" s="130"/>
      <c r="T582" s="576"/>
      <c r="U582" s="576"/>
      <c r="V582" s="576"/>
      <c r="W582" s="576"/>
      <c r="X582" s="576"/>
      <c r="Y582" s="64"/>
      <c r="Z582" s="64"/>
      <c r="AA582" s="565"/>
      <c r="AB582" s="538"/>
      <c r="AC582" s="541"/>
      <c r="AD582" s="542"/>
      <c r="AF582" s="543"/>
      <c r="AI582" s="543"/>
      <c r="AK582" s="543"/>
      <c r="AM582" s="560"/>
    </row>
    <row r="583" spans="1:39">
      <c r="A583" s="58">
        <f>MAX(A$579:A582)+1</f>
        <v>271</v>
      </c>
      <c r="B583" s="58"/>
      <c r="C583" s="10" t="s">
        <v>266</v>
      </c>
      <c r="D583" s="58"/>
      <c r="E583" s="30"/>
      <c r="F583" s="58"/>
      <c r="G583" s="553">
        <f>G581</f>
        <v>90073.425800000012</v>
      </c>
      <c r="H583" s="539"/>
      <c r="I583" s="635">
        <f>J583/G583*100</f>
        <v>2.1299788446683015</v>
      </c>
      <c r="J583" s="554">
        <f>SUM(J580:J582)</f>
        <v>1918.5449142079999</v>
      </c>
      <c r="K583" s="539"/>
      <c r="L583" s="555">
        <f>SUM(L580:L582)</f>
        <v>16.88309688</v>
      </c>
      <c r="M583" s="555">
        <f t="shared" ref="M583:Q583" si="198">SUM(M580:M582)</f>
        <v>65.613483750987882</v>
      </c>
      <c r="N583" s="555">
        <f t="shared" si="198"/>
        <v>2.8522366222343125</v>
      </c>
      <c r="O583" s="555">
        <f t="shared" si="198"/>
        <v>53.547075007156863</v>
      </c>
      <c r="P583" s="555">
        <f t="shared" si="198"/>
        <v>75.954499308342562</v>
      </c>
      <c r="Q583" s="555">
        <f t="shared" si="198"/>
        <v>1703.6945226392784</v>
      </c>
      <c r="R583" s="564"/>
      <c r="S583" s="131">
        <f>SUM(S580:S582)</f>
        <v>46.552462026118292</v>
      </c>
      <c r="T583" s="131">
        <f t="shared" ref="T583:X583" si="199">SUM(T580:T582)</f>
        <v>17.720613264513492</v>
      </c>
      <c r="U583" s="131">
        <f t="shared" si="199"/>
        <v>63.794589595473241</v>
      </c>
      <c r="V583" s="131">
        <f t="shared" si="199"/>
        <v>2.6736112128633147</v>
      </c>
      <c r="W583" s="131">
        <f t="shared" si="199"/>
        <v>65.777436100425092</v>
      </c>
      <c r="X583" s="131">
        <f t="shared" si="199"/>
        <v>76.040106344858529</v>
      </c>
      <c r="Y583" s="564"/>
      <c r="Z583" s="619">
        <f>SUM(Z580:Z582)</f>
        <v>1976.2533411835302</v>
      </c>
      <c r="AA583" s="556">
        <f>Z583/G583*100</f>
        <v>2.1940470495389217</v>
      </c>
      <c r="AB583" s="555">
        <f>SUM(AB580:AB582)</f>
        <v>57.708426975530358</v>
      </c>
      <c r="AC583" s="562">
        <f>AA583/I583-1</f>
        <v>3.0079268172542584E-2</v>
      </c>
      <c r="AD583" s="542"/>
      <c r="AF583" s="543"/>
      <c r="AI583" s="543"/>
      <c r="AK583" s="543"/>
      <c r="AM583" s="560"/>
    </row>
    <row r="584" spans="1:39">
      <c r="A584" s="58"/>
      <c r="B584" s="58"/>
      <c r="D584" s="58"/>
      <c r="E584" s="30"/>
      <c r="F584" s="58"/>
      <c r="G584" s="536"/>
      <c r="H584" s="539"/>
      <c r="I584" s="597"/>
      <c r="J584" s="539"/>
      <c r="K584" s="539"/>
      <c r="L584" s="538"/>
      <c r="M584" s="538"/>
      <c r="N584" s="538"/>
      <c r="O584" s="538"/>
      <c r="P584" s="538"/>
      <c r="Q584" s="538"/>
      <c r="R584" s="564"/>
      <c r="S584" s="132"/>
      <c r="T584" s="576"/>
      <c r="U584" s="576"/>
      <c r="V584" s="576"/>
      <c r="W584" s="576"/>
      <c r="X584" s="576"/>
      <c r="Y584" s="564"/>
      <c r="Z584" s="564"/>
      <c r="AA584" s="565"/>
      <c r="AB584" s="538"/>
      <c r="AC584" s="541"/>
      <c r="AD584" s="542"/>
      <c r="AF584" s="543"/>
      <c r="AI584" s="543"/>
      <c r="AK584" s="543"/>
      <c r="AM584" s="560"/>
    </row>
    <row r="585" spans="1:39">
      <c r="A585" s="58">
        <f>MAX(A$579:A584)+1</f>
        <v>272</v>
      </c>
      <c r="B585" s="581"/>
      <c r="C585" s="10" t="s">
        <v>270</v>
      </c>
      <c r="D585" s="581"/>
      <c r="E585" s="522" t="s">
        <v>262</v>
      </c>
      <c r="F585" s="581"/>
      <c r="G585" s="29">
        <v>15795.321699999999</v>
      </c>
      <c r="H585" s="693"/>
      <c r="I585" s="684">
        <v>20.538400000000003</v>
      </c>
      <c r="J585" s="539">
        <f t="shared" ref="J585" si="200">G585*I585/100</f>
        <v>3244.1063520328003</v>
      </c>
      <c r="K585" s="693"/>
      <c r="L585" s="687">
        <v>0</v>
      </c>
      <c r="M585" s="687">
        <v>0</v>
      </c>
      <c r="N585" s="687">
        <v>0</v>
      </c>
      <c r="O585" s="687">
        <v>0</v>
      </c>
      <c r="P585" s="687">
        <v>0</v>
      </c>
      <c r="Q585" s="538">
        <f>J585-L585-M585-N585-O585-P585</f>
        <v>3244.1063520328003</v>
      </c>
      <c r="R585" s="694"/>
      <c r="S585" s="130">
        <v>-0.3189610399715157</v>
      </c>
      <c r="T585" s="29">
        <v>0</v>
      </c>
      <c r="U585" s="29">
        <v>0</v>
      </c>
      <c r="V585" s="29">
        <v>0</v>
      </c>
      <c r="W585" s="29">
        <v>0</v>
      </c>
      <c r="X585" s="29">
        <v>0</v>
      </c>
      <c r="Y585" s="694"/>
      <c r="Z585" s="130">
        <f>Q585+S585+T585+U585+V585+W585+X585</f>
        <v>3243.7873909928289</v>
      </c>
      <c r="AA585" s="548">
        <f>Z585/G585*100</f>
        <v>20.536380661324735</v>
      </c>
      <c r="AB585" s="538">
        <f>Z585-J585</f>
        <v>-0.31896103997132741</v>
      </c>
      <c r="AC585" s="541">
        <f>AA585/I585-1</f>
        <v>-9.8320155185849245E-5</v>
      </c>
      <c r="AD585" s="542"/>
      <c r="AF585" s="543"/>
      <c r="AI585" s="543"/>
      <c r="AK585" s="543"/>
      <c r="AM585" s="560"/>
    </row>
    <row r="586" spans="1:39">
      <c r="A586" s="58"/>
      <c r="B586" s="57"/>
      <c r="C586" s="10"/>
      <c r="D586" s="57"/>
      <c r="E586" s="3"/>
      <c r="F586" s="57"/>
      <c r="G586" s="29"/>
      <c r="H586" s="614"/>
      <c r="I586" s="597"/>
      <c r="J586" s="614"/>
      <c r="K586" s="614"/>
      <c r="L586" s="538"/>
      <c r="M586" s="538"/>
      <c r="N586" s="538"/>
      <c r="O586" s="538"/>
      <c r="P586" s="538"/>
      <c r="Q586" s="538"/>
      <c r="R586" s="583"/>
      <c r="S586" s="583"/>
      <c r="T586" s="538"/>
      <c r="U586" s="538"/>
      <c r="V586" s="538"/>
      <c r="W586" s="538"/>
      <c r="X586" s="538"/>
      <c r="Y586" s="583"/>
      <c r="Z586" s="583"/>
      <c r="AA586" s="565"/>
      <c r="AB586" s="538"/>
      <c r="AC586" s="541"/>
      <c r="AD586" s="542"/>
      <c r="AF586" s="543"/>
      <c r="AI586" s="543"/>
      <c r="AK586" s="543"/>
      <c r="AM586" s="560"/>
    </row>
    <row r="587" spans="1:39" ht="12.95" thickBot="1">
      <c r="A587" s="58">
        <f>MAX(A$579:A586)+1</f>
        <v>273</v>
      </c>
      <c r="B587" s="3"/>
      <c r="C587" s="10" t="s">
        <v>365</v>
      </c>
      <c r="D587" s="3"/>
      <c r="E587" s="57"/>
      <c r="F587" s="3"/>
      <c r="G587" s="569">
        <f>G583</f>
        <v>90073.425800000012</v>
      </c>
      <c r="H587" s="624"/>
      <c r="I587" s="695">
        <f>J587/G587*100</f>
        <v>5.7316031009012649</v>
      </c>
      <c r="J587" s="569">
        <f>J583+J585</f>
        <v>5162.6512662408004</v>
      </c>
      <c r="K587" s="624"/>
      <c r="L587" s="439">
        <f t="shared" ref="L587:X587" si="201">L583+L585</f>
        <v>16.88309688</v>
      </c>
      <c r="M587" s="439">
        <f t="shared" si="201"/>
        <v>65.613483750987882</v>
      </c>
      <c r="N587" s="439">
        <f t="shared" si="201"/>
        <v>2.8522366222343125</v>
      </c>
      <c r="O587" s="439">
        <f t="shared" si="201"/>
        <v>53.547075007156863</v>
      </c>
      <c r="P587" s="439">
        <f t="shared" si="201"/>
        <v>75.954499308342562</v>
      </c>
      <c r="Q587" s="439">
        <f t="shared" si="201"/>
        <v>4947.8008746720789</v>
      </c>
      <c r="R587" s="132"/>
      <c r="S587" s="439">
        <f>S583+S585</f>
        <v>46.23350098614678</v>
      </c>
      <c r="T587" s="439">
        <f t="shared" si="201"/>
        <v>17.720613264513492</v>
      </c>
      <c r="U587" s="439">
        <f t="shared" si="201"/>
        <v>63.794589595473241</v>
      </c>
      <c r="V587" s="439">
        <f t="shared" si="201"/>
        <v>2.6736112128633147</v>
      </c>
      <c r="W587" s="439">
        <f t="shared" si="201"/>
        <v>65.777436100425092</v>
      </c>
      <c r="X587" s="439">
        <f t="shared" si="201"/>
        <v>76.040106344858529</v>
      </c>
      <c r="Y587" s="132"/>
      <c r="Z587" s="439">
        <f>Z583+Z585</f>
        <v>5220.0407321763596</v>
      </c>
      <c r="AA587" s="572">
        <f>Z587/G587*100</f>
        <v>5.795317193516091</v>
      </c>
      <c r="AB587" s="587">
        <f>AB583+AB585</f>
        <v>57.389465935559031</v>
      </c>
      <c r="AC587" s="573">
        <f>AA587/I587-1</f>
        <v>1.1116277853364886E-2</v>
      </c>
      <c r="AD587" s="542"/>
      <c r="AF587" s="543"/>
      <c r="AI587" s="543"/>
      <c r="AK587" s="543"/>
      <c r="AM587" s="560"/>
    </row>
    <row r="588" spans="1:39" ht="12.95" thickTop="1">
      <c r="A588" s="58"/>
      <c r="B588" s="5"/>
      <c r="C588" s="5"/>
      <c r="D588" s="5"/>
      <c r="E588" s="6"/>
      <c r="F588" s="5"/>
      <c r="G588" s="17"/>
      <c r="H588" s="5"/>
      <c r="I588" s="696"/>
      <c r="J588" s="5"/>
      <c r="K588" s="5"/>
      <c r="L588" s="538"/>
      <c r="M588" s="538"/>
      <c r="N588" s="538"/>
      <c r="O588" s="538"/>
      <c r="P588" s="538"/>
      <c r="Q588" s="538"/>
      <c r="R588" s="585"/>
      <c r="S588" s="585"/>
      <c r="T588" s="538"/>
      <c r="U588" s="538"/>
      <c r="V588" s="538"/>
      <c r="W588" s="538"/>
      <c r="X588" s="538"/>
      <c r="Y588" s="585"/>
      <c r="Z588" s="585"/>
      <c r="AA588" s="585"/>
      <c r="AB588" s="538"/>
      <c r="AC588" s="541"/>
      <c r="AD588" s="542"/>
      <c r="AK588" s="543"/>
    </row>
    <row r="589" spans="1:39">
      <c r="A589" s="58"/>
      <c r="B589" s="58"/>
      <c r="C589" s="9" t="s">
        <v>152</v>
      </c>
      <c r="D589" s="58"/>
      <c r="E589" s="6"/>
      <c r="F589" s="58"/>
      <c r="G589" s="6"/>
      <c r="H589" s="58"/>
      <c r="I589" s="58"/>
      <c r="J589" s="58"/>
      <c r="K589" s="58"/>
      <c r="L589" s="538"/>
      <c r="M589" s="538"/>
      <c r="N589" s="538"/>
      <c r="O589" s="538"/>
      <c r="P589" s="538"/>
      <c r="Q589" s="538"/>
      <c r="R589" s="564"/>
      <c r="S589" s="564"/>
      <c r="T589" s="538"/>
      <c r="U589" s="538"/>
      <c r="V589" s="538"/>
      <c r="W589" s="538"/>
      <c r="X589" s="538"/>
      <c r="Y589" s="564"/>
      <c r="Z589" s="564"/>
      <c r="AA589" s="564"/>
      <c r="AB589" s="538"/>
      <c r="AC589" s="501"/>
    </row>
    <row r="590" spans="1:39">
      <c r="A590" s="58">
        <f>MAX(A$579:A589)+1</f>
        <v>274</v>
      </c>
      <c r="B590" s="58"/>
      <c r="C590" s="10" t="s">
        <v>258</v>
      </c>
      <c r="D590" s="58"/>
      <c r="E590" s="6" t="s">
        <v>366</v>
      </c>
      <c r="F590" s="58"/>
      <c r="G590" s="29">
        <v>564.00000000000091</v>
      </c>
      <c r="H590" s="58"/>
      <c r="I590" s="537">
        <v>2155.61</v>
      </c>
      <c r="J590" s="539">
        <f>G590*I590/1000</f>
        <v>1215.7640400000021</v>
      </c>
      <c r="K590" s="539"/>
      <c r="L590" s="29">
        <v>0</v>
      </c>
      <c r="M590" s="29">
        <v>0</v>
      </c>
      <c r="N590" s="29">
        <v>0</v>
      </c>
      <c r="O590" s="29">
        <v>0</v>
      </c>
      <c r="P590" s="29">
        <v>0</v>
      </c>
      <c r="Q590" s="538">
        <f>J590-L590-M590-N590-O590-P590</f>
        <v>1215.7640400000021</v>
      </c>
      <c r="R590" s="564"/>
      <c r="S590" s="29">
        <v>33.221100757446266</v>
      </c>
      <c r="T590" s="29">
        <v>0</v>
      </c>
      <c r="U590" s="29">
        <v>0</v>
      </c>
      <c r="V590" s="29">
        <v>0</v>
      </c>
      <c r="W590" s="29">
        <v>0</v>
      </c>
      <c r="X590" s="29">
        <v>0</v>
      </c>
      <c r="Y590" s="564"/>
      <c r="Z590" s="564">
        <f>Q590+S590+T590+U590+V590+W590+X590</f>
        <v>1248.9851407574483</v>
      </c>
      <c r="AA590" s="540">
        <f>Z590/G590*1000</f>
        <v>2214.5126609174581</v>
      </c>
      <c r="AB590" s="538">
        <f>Z590-J590</f>
        <v>33.221100757446266</v>
      </c>
      <c r="AC590" s="541">
        <f>AA590/I590-1</f>
        <v>2.7325286539521487E-2</v>
      </c>
      <c r="AD590" s="542"/>
      <c r="AF590" s="543"/>
      <c r="AI590" s="543"/>
      <c r="AK590" s="543"/>
      <c r="AM590" s="560"/>
    </row>
    <row r="591" spans="1:39" ht="14.45">
      <c r="A591" s="58"/>
      <c r="B591" s="58"/>
      <c r="C591" s="10" t="s">
        <v>367</v>
      </c>
      <c r="D591" s="58"/>
      <c r="E591" s="6"/>
      <c r="F591" s="58"/>
      <c r="G591" s="29"/>
      <c r="H591" s="58"/>
      <c r="I591" s="537"/>
      <c r="J591" s="539"/>
      <c r="K591" s="539"/>
      <c r="L591" s="29"/>
      <c r="M591" s="29"/>
      <c r="N591" s="29"/>
      <c r="O591" s="29"/>
      <c r="P591" s="29"/>
      <c r="Q591" s="538"/>
      <c r="R591" s="564"/>
      <c r="S591" s="29"/>
      <c r="T591" s="29"/>
      <c r="U591" s="29"/>
      <c r="V591" s="29"/>
      <c r="W591" s="29"/>
      <c r="X591" s="29"/>
      <c r="Y591" s="564"/>
      <c r="Z591" s="564"/>
      <c r="AA591" s="540"/>
      <c r="AB591" s="538"/>
      <c r="AC591" s="541"/>
      <c r="AD591" s="542"/>
      <c r="AF591" s="543"/>
      <c r="AI591" s="543"/>
      <c r="AK591" s="543"/>
      <c r="AM591" s="560"/>
    </row>
    <row r="592" spans="1:39" ht="12.95">
      <c r="A592" s="58"/>
      <c r="B592" s="58"/>
      <c r="C592" s="526" t="s">
        <v>368</v>
      </c>
      <c r="D592" s="58"/>
      <c r="F592" s="58"/>
      <c r="G592" s="575"/>
      <c r="H592" s="58"/>
      <c r="I592" s="58"/>
      <c r="J592" s="539"/>
      <c r="K592" s="539"/>
      <c r="L592" s="29"/>
      <c r="M592" s="29"/>
      <c r="N592" s="29"/>
      <c r="O592" s="29"/>
      <c r="P592" s="29"/>
      <c r="Q592" s="538"/>
      <c r="R592" s="564"/>
      <c r="S592" s="29"/>
      <c r="T592" s="538"/>
      <c r="U592" s="538"/>
      <c r="V592" s="538"/>
      <c r="W592" s="538"/>
      <c r="X592" s="538"/>
      <c r="Y592" s="564"/>
      <c r="Z592" s="564"/>
      <c r="AA592" s="564"/>
      <c r="AB592" s="538"/>
      <c r="AC592" s="541"/>
      <c r="AD592" s="542"/>
      <c r="AF592" s="543"/>
      <c r="AI592" s="543"/>
      <c r="AK592" s="543"/>
      <c r="AM592" s="560"/>
    </row>
    <row r="593" spans="1:39">
      <c r="A593" s="58">
        <f>MAX(A$579:A592)+1</f>
        <v>275</v>
      </c>
      <c r="B593" s="58"/>
      <c r="C593" s="697" t="s">
        <v>369</v>
      </c>
      <c r="D593" s="58"/>
      <c r="E593" s="522" t="s">
        <v>370</v>
      </c>
      <c r="F593" s="58"/>
      <c r="G593" s="29">
        <v>14363.064</v>
      </c>
      <c r="H593" s="58"/>
      <c r="I593" s="684">
        <v>44.595399999999998</v>
      </c>
      <c r="J593" s="539">
        <f>G593*I593/100</f>
        <v>6405.2658430560004</v>
      </c>
      <c r="K593" s="539"/>
      <c r="L593" s="29">
        <v>964.0632187440001</v>
      </c>
      <c r="M593" s="29">
        <v>0</v>
      </c>
      <c r="N593" s="29">
        <v>0</v>
      </c>
      <c r="O593" s="29">
        <v>0</v>
      </c>
      <c r="P593" s="29">
        <v>0</v>
      </c>
      <c r="Q593" s="538">
        <f t="shared" ref="Q593:Q599" si="202">J593-L593-M593-N593-O593-P593</f>
        <v>5441.2026243119999</v>
      </c>
      <c r="R593" s="564"/>
      <c r="S593" s="29">
        <v>148.68242082892175</v>
      </c>
      <c r="T593" s="29">
        <v>555.59751780191789</v>
      </c>
      <c r="U593" s="29">
        <v>0</v>
      </c>
      <c r="V593" s="29">
        <v>0</v>
      </c>
      <c r="W593" s="29">
        <v>0</v>
      </c>
      <c r="X593" s="29">
        <v>0</v>
      </c>
      <c r="Y593" s="564"/>
      <c r="Z593" s="564">
        <f>Q593+S593+T593+U593+V593+W593+X593</f>
        <v>6145.4825629428396</v>
      </c>
      <c r="AA593" s="548">
        <f>Z593/G593*100</f>
        <v>42.786710154204144</v>
      </c>
      <c r="AB593" s="538">
        <f>Z593-J593</f>
        <v>-259.7832801131608</v>
      </c>
      <c r="AC593" s="559">
        <f>AA593/I593-1</f>
        <v>-4.0557767074538065E-2</v>
      </c>
      <c r="AD593" s="559"/>
      <c r="AF593" s="543"/>
      <c r="AI593" s="543"/>
      <c r="AK593" s="543"/>
      <c r="AM593" s="560"/>
    </row>
    <row r="594" spans="1:39">
      <c r="A594" s="58">
        <f>MAX(A$579:A593)+1</f>
        <v>276</v>
      </c>
      <c r="B594" s="58"/>
      <c r="C594" s="697" t="s">
        <v>371</v>
      </c>
      <c r="D594" s="58"/>
      <c r="E594" s="522" t="s">
        <v>370</v>
      </c>
      <c r="F594" s="58"/>
      <c r="G594" s="29">
        <v>12176.784</v>
      </c>
      <c r="H594" s="58"/>
      <c r="I594" s="684">
        <v>31.676299999999998</v>
      </c>
      <c r="J594" s="539">
        <f>G594*I594/100</f>
        <v>3857.1546301919998</v>
      </c>
      <c r="K594" s="539"/>
      <c r="L594" s="29">
        <v>564.67400443199995</v>
      </c>
      <c r="M594" s="29">
        <v>0</v>
      </c>
      <c r="N594" s="29">
        <v>0</v>
      </c>
      <c r="O594" s="29">
        <v>0</v>
      </c>
      <c r="P594" s="29">
        <v>0</v>
      </c>
      <c r="Q594" s="538">
        <f t="shared" si="202"/>
        <v>3292.4806257599998</v>
      </c>
      <c r="R594" s="564"/>
      <c r="S594" s="29">
        <v>89.967976524715141</v>
      </c>
      <c r="T594" s="29">
        <v>336.19296861132091</v>
      </c>
      <c r="U594" s="29">
        <v>0</v>
      </c>
      <c r="V594" s="29">
        <v>0</v>
      </c>
      <c r="W594" s="29">
        <v>0</v>
      </c>
      <c r="X594" s="29">
        <v>0</v>
      </c>
      <c r="Y594" s="564"/>
      <c r="Z594" s="564">
        <f>Q594+S594+T594+U594+V594+W594+X594</f>
        <v>3718.6415708960358</v>
      </c>
      <c r="AA594" s="548">
        <f>Z594/G594*100</f>
        <v>30.538782414930214</v>
      </c>
      <c r="AB594" s="538">
        <f>Z594-J594</f>
        <v>-138.51305929596401</v>
      </c>
      <c r="AC594" s="559">
        <f>AA594/I594-1</f>
        <v>-3.5910683541631516E-2</v>
      </c>
      <c r="AD594" s="559"/>
      <c r="AF594" s="543"/>
      <c r="AI594" s="543"/>
      <c r="AK594" s="543"/>
      <c r="AM594" s="560"/>
    </row>
    <row r="595" spans="1:39">
      <c r="A595" s="58"/>
      <c r="B595" s="58"/>
      <c r="C595" s="526" t="s">
        <v>372</v>
      </c>
      <c r="D595" s="58"/>
      <c r="E595" s="30"/>
      <c r="F595" s="58"/>
      <c r="G595" s="29"/>
      <c r="H595" s="58"/>
      <c r="I595" s="58"/>
      <c r="J595" s="539"/>
      <c r="K595" s="539"/>
      <c r="L595" s="29"/>
      <c r="M595" s="29"/>
      <c r="N595" s="29"/>
      <c r="O595" s="29"/>
      <c r="P595" s="29"/>
      <c r="Q595" s="538"/>
      <c r="R595" s="564"/>
      <c r="S595" s="29"/>
      <c r="T595" s="538"/>
      <c r="U595" s="29"/>
      <c r="V595" s="29"/>
      <c r="W595" s="29"/>
      <c r="X595" s="29"/>
      <c r="Y595" s="564"/>
      <c r="Z595" s="564"/>
      <c r="AA595" s="548"/>
      <c r="AB595" s="538"/>
      <c r="AC595" s="541"/>
      <c r="AD595" s="542"/>
      <c r="AF595" s="543"/>
      <c r="AI595" s="543"/>
      <c r="AK595" s="543"/>
      <c r="AM595" s="560"/>
    </row>
    <row r="596" spans="1:39">
      <c r="A596" s="58">
        <f>MAX(A$579:A595)+1</f>
        <v>277</v>
      </c>
      <c r="B596" s="58"/>
      <c r="C596" s="698" t="s">
        <v>373</v>
      </c>
      <c r="D596" s="58"/>
      <c r="E596" s="30" t="s">
        <v>262</v>
      </c>
      <c r="F596" s="58"/>
      <c r="G596" s="29">
        <v>393753.99073000008</v>
      </c>
      <c r="H596" s="58"/>
      <c r="I596" s="684">
        <v>0.14000000000000001</v>
      </c>
      <c r="J596" s="539">
        <f t="shared" ref="J596:J597" si="203">G596*I596/100</f>
        <v>551.25558702200021</v>
      </c>
      <c r="K596" s="539"/>
      <c r="L596" s="29">
        <v>0</v>
      </c>
      <c r="M596" s="29">
        <v>0</v>
      </c>
      <c r="N596" s="29">
        <v>28.564106178708613</v>
      </c>
      <c r="O596" s="29">
        <v>0</v>
      </c>
      <c r="P596" s="29">
        <v>0</v>
      </c>
      <c r="Q596" s="538">
        <f t="shared" si="202"/>
        <v>522.69148084329163</v>
      </c>
      <c r="R596" s="564"/>
      <c r="S596" s="29">
        <v>12.997404272315009</v>
      </c>
      <c r="T596" s="29">
        <v>0</v>
      </c>
      <c r="U596" s="29">
        <v>0</v>
      </c>
      <c r="V596" s="29">
        <v>0</v>
      </c>
      <c r="W596" s="29">
        <v>0</v>
      </c>
      <c r="X596" s="29">
        <v>0</v>
      </c>
      <c r="Y596" s="564"/>
      <c r="Z596" s="564">
        <f>Q596+S596+T596+U596+V596+W596+X596</f>
        <v>535.68888511560658</v>
      </c>
      <c r="AA596" s="548">
        <f>Z596/G596*100</f>
        <v>0.13604659196531985</v>
      </c>
      <c r="AB596" s="538">
        <f>Z596-J596</f>
        <v>-15.566701906393632</v>
      </c>
      <c r="AC596" s="559">
        <f>AA596/I596-1</f>
        <v>-2.8238628819144074E-2</v>
      </c>
      <c r="AD596" s="542"/>
      <c r="AF596" s="543"/>
      <c r="AI596" s="543"/>
      <c r="AK596" s="543"/>
      <c r="AM596" s="560"/>
    </row>
    <row r="597" spans="1:39">
      <c r="A597" s="58">
        <f>MAX(A$579:A596)+1</f>
        <v>278</v>
      </c>
      <c r="B597" s="58"/>
      <c r="C597" s="698" t="s">
        <v>374</v>
      </c>
      <c r="D597" s="58"/>
      <c r="E597" s="30" t="s">
        <v>262</v>
      </c>
      <c r="F597" s="58"/>
      <c r="G597" s="29">
        <v>37535.500949999994</v>
      </c>
      <c r="H597" s="58"/>
      <c r="I597" s="684">
        <v>2.1870000000000003</v>
      </c>
      <c r="J597" s="539">
        <f t="shared" si="203"/>
        <v>820.90140577650004</v>
      </c>
      <c r="K597" s="539"/>
      <c r="L597" s="29">
        <v>104.98679615714998</v>
      </c>
      <c r="M597" s="29">
        <v>0</v>
      </c>
      <c r="N597" s="29">
        <v>2.7229388396015293</v>
      </c>
      <c r="O597" s="29">
        <v>0</v>
      </c>
      <c r="P597" s="29">
        <v>0</v>
      </c>
      <c r="Q597" s="538">
        <f t="shared" si="202"/>
        <v>713.19167077974851</v>
      </c>
      <c r="R597" s="564"/>
      <c r="S597" s="29">
        <v>19.365643528456644</v>
      </c>
      <c r="T597" s="29">
        <v>72.688240983639275</v>
      </c>
      <c r="U597" s="29">
        <v>0</v>
      </c>
      <c r="V597" s="29">
        <v>0</v>
      </c>
      <c r="W597" s="29">
        <v>0</v>
      </c>
      <c r="X597" s="29">
        <v>0</v>
      </c>
      <c r="Y597" s="29"/>
      <c r="Z597" s="564">
        <f>Q597+S597+T597+U597+V597+W597+X597</f>
        <v>805.24555529184443</v>
      </c>
      <c r="AA597" s="548">
        <f>Z597/G597*100</f>
        <v>2.1452905513755893</v>
      </c>
      <c r="AB597" s="538">
        <f>Z597-J597</f>
        <v>-15.655850484655616</v>
      </c>
      <c r="AC597" s="559">
        <f>AA597/I597-1</f>
        <v>-1.9071535722181454E-2</v>
      </c>
      <c r="AD597" s="559"/>
      <c r="AF597" s="543"/>
      <c r="AI597" s="543"/>
      <c r="AK597" s="543"/>
      <c r="AM597" s="560"/>
    </row>
    <row r="598" spans="1:39">
      <c r="A598" s="58"/>
      <c r="B598" s="58"/>
      <c r="C598" s="10"/>
      <c r="D598" s="58"/>
      <c r="E598" s="30"/>
      <c r="F598" s="58"/>
      <c r="G598" s="29"/>
      <c r="H598" s="58"/>
      <c r="I598" s="58"/>
      <c r="J598" s="539"/>
      <c r="K598" s="539"/>
      <c r="L598" s="29"/>
      <c r="M598" s="29"/>
      <c r="N598" s="29"/>
      <c r="O598" s="29"/>
      <c r="P598" s="29"/>
      <c r="Q598" s="538"/>
      <c r="R598" s="564"/>
      <c r="S598" s="29"/>
      <c r="T598" s="29"/>
      <c r="U598" s="29"/>
      <c r="V598" s="29"/>
      <c r="W598" s="29"/>
      <c r="X598" s="29"/>
      <c r="Y598" s="564"/>
      <c r="Z598" s="564"/>
      <c r="AA598" s="548"/>
      <c r="AB598" s="538"/>
      <c r="AC598" s="541"/>
      <c r="AD598" s="542"/>
      <c r="AF598" s="543"/>
      <c r="AI598" s="543"/>
      <c r="AK598" s="543"/>
      <c r="AM598" s="560"/>
    </row>
    <row r="599" spans="1:39">
      <c r="A599" s="58">
        <f>MAX(A$579:A598)+1</f>
        <v>279</v>
      </c>
      <c r="B599" s="58"/>
      <c r="C599" s="12" t="s">
        <v>375</v>
      </c>
      <c r="D599" s="58"/>
      <c r="E599" s="30" t="s">
        <v>262</v>
      </c>
      <c r="F599" s="58"/>
      <c r="G599" s="29">
        <v>1410.373</v>
      </c>
      <c r="H599" s="58"/>
      <c r="I599" s="684">
        <v>0.14000000000000001</v>
      </c>
      <c r="J599" s="539">
        <f>G599*I599/100</f>
        <v>1.9745222000000004</v>
      </c>
      <c r="K599" s="539"/>
      <c r="L599" s="29">
        <v>0</v>
      </c>
      <c r="M599" s="29">
        <v>0</v>
      </c>
      <c r="N599" s="29">
        <v>0.10231272589490586</v>
      </c>
      <c r="O599" s="29">
        <v>0</v>
      </c>
      <c r="P599" s="29">
        <v>0</v>
      </c>
      <c r="Q599" s="538">
        <f t="shared" si="202"/>
        <v>1.8722094741050945</v>
      </c>
      <c r="R599" s="564"/>
      <c r="S599" s="29">
        <v>4.6554926393946205E-2</v>
      </c>
      <c r="T599" s="29">
        <v>0</v>
      </c>
      <c r="U599" s="29">
        <v>0</v>
      </c>
      <c r="V599" s="29">
        <v>0</v>
      </c>
      <c r="W599" s="29">
        <v>0</v>
      </c>
      <c r="X599" s="29">
        <v>0</v>
      </c>
      <c r="Y599" s="564"/>
      <c r="Z599" s="564">
        <f>Q599+S599+T599+U599+V599+W599+X599</f>
        <v>1.9187644004990407</v>
      </c>
      <c r="AA599" s="548">
        <f>Z599/G599*100</f>
        <v>0.13604659196531985</v>
      </c>
      <c r="AB599" s="538">
        <f>Z599-J599</f>
        <v>-5.5757799500959715E-2</v>
      </c>
      <c r="AC599" s="559">
        <f>AA599/I599-1</f>
        <v>-2.8238628819144074E-2</v>
      </c>
      <c r="AD599" s="542"/>
      <c r="AF599" s="543"/>
      <c r="AI599" s="543"/>
      <c r="AK599" s="543"/>
      <c r="AM599" s="560"/>
    </row>
    <row r="600" spans="1:39">
      <c r="A600" s="58">
        <f>MAX(A$579:A599)+1</f>
        <v>280</v>
      </c>
      <c r="B600" s="58"/>
      <c r="C600" s="12" t="s">
        <v>376</v>
      </c>
      <c r="D600" s="58"/>
      <c r="E600" s="30" t="s">
        <v>262</v>
      </c>
      <c r="F600" s="58"/>
      <c r="G600" s="29">
        <v>350</v>
      </c>
      <c r="H600" s="58"/>
      <c r="I600" s="684">
        <v>3.0979999999999999</v>
      </c>
      <c r="J600" s="539">
        <f>G600*I600/100</f>
        <v>10.843</v>
      </c>
      <c r="K600" s="539"/>
      <c r="L600" s="29">
        <v>0.97894999999999999</v>
      </c>
      <c r="M600" s="29">
        <v>0</v>
      </c>
      <c r="N600" s="29">
        <v>0</v>
      </c>
      <c r="O600" s="29">
        <v>0</v>
      </c>
      <c r="P600" s="29">
        <v>0</v>
      </c>
      <c r="Q600" s="538">
        <f>J600-L600-M600-N600-O600-P600</f>
        <v>9.8640500000000007</v>
      </c>
      <c r="R600" s="564"/>
      <c r="S600" s="29">
        <v>0.26770173343471093</v>
      </c>
      <c r="T600" s="29">
        <v>0.67778193178140467</v>
      </c>
      <c r="U600" s="29">
        <v>0</v>
      </c>
      <c r="V600" s="29">
        <v>0</v>
      </c>
      <c r="W600" s="29">
        <v>0</v>
      </c>
      <c r="X600" s="29">
        <v>0</v>
      </c>
      <c r="Y600" s="29"/>
      <c r="Z600" s="564">
        <f>Q600+S600+T600+U600+V600+W600+X600</f>
        <v>10.809533665216117</v>
      </c>
      <c r="AA600" s="548">
        <f>Z600/G600*100</f>
        <v>3.0884381900617477</v>
      </c>
      <c r="AB600" s="538">
        <f>Z600-J600</f>
        <v>-3.3466334783883056E-2</v>
      </c>
      <c r="AC600" s="559">
        <f>AA600/I600-1</f>
        <v>-3.0864460743228461E-3</v>
      </c>
      <c r="AD600" s="559"/>
      <c r="AF600" s="543"/>
      <c r="AI600" s="543"/>
      <c r="AK600" s="543"/>
      <c r="AM600" s="560"/>
    </row>
    <row r="601" spans="1:39">
      <c r="A601" s="58"/>
      <c r="B601" s="58"/>
      <c r="C601" s="10"/>
      <c r="D601" s="58"/>
      <c r="E601" s="30"/>
      <c r="F601" s="58"/>
      <c r="G601" s="132"/>
      <c r="H601" s="58"/>
      <c r="I601" s="58"/>
      <c r="J601" s="539"/>
      <c r="K601" s="539"/>
      <c r="L601" s="29"/>
      <c r="M601" s="29"/>
      <c r="N601" s="29"/>
      <c r="O601" s="29"/>
      <c r="P601" s="29"/>
      <c r="Q601" s="538"/>
      <c r="R601" s="564"/>
      <c r="S601" s="29"/>
      <c r="T601" s="538"/>
      <c r="U601" s="29"/>
      <c r="V601" s="29"/>
      <c r="W601" s="29"/>
      <c r="X601" s="29"/>
      <c r="Y601" s="564"/>
      <c r="Z601" s="564"/>
      <c r="AA601" s="548"/>
      <c r="AB601" s="538"/>
      <c r="AC601" s="541"/>
      <c r="AD601" s="542"/>
      <c r="AF601" s="543"/>
      <c r="AI601" s="543"/>
      <c r="AK601" s="543"/>
      <c r="AM601" s="560"/>
    </row>
    <row r="602" spans="1:39">
      <c r="A602" s="58">
        <f>MAX(A$579:A601)+1</f>
        <v>281</v>
      </c>
      <c r="C602" s="12" t="s">
        <v>377</v>
      </c>
      <c r="E602" s="30" t="s">
        <v>331</v>
      </c>
      <c r="G602" s="29">
        <v>0</v>
      </c>
      <c r="I602" s="699">
        <v>3.5799999999999998E-3</v>
      </c>
      <c r="J602" s="567">
        <v>327.83781096999996</v>
      </c>
      <c r="K602" s="567"/>
      <c r="L602" s="29">
        <v>0</v>
      </c>
      <c r="M602" s="29">
        <v>0</v>
      </c>
      <c r="N602" s="29">
        <v>0</v>
      </c>
      <c r="O602" s="29">
        <v>126.74858452616807</v>
      </c>
      <c r="P602" s="29">
        <v>201.0892264438319</v>
      </c>
      <c r="Q602" s="538">
        <f t="shared" ref="Q602" si="204">J602-L602-M602-N602-O602-P602</f>
        <v>0</v>
      </c>
      <c r="R602" s="64"/>
      <c r="S602" s="29">
        <v>0</v>
      </c>
      <c r="T602" s="29">
        <v>0</v>
      </c>
      <c r="U602" s="29">
        <v>0</v>
      </c>
      <c r="V602" s="29">
        <v>29.423554194372251</v>
      </c>
      <c r="W602" s="29">
        <v>154.67064676517469</v>
      </c>
      <c r="X602" s="29">
        <v>199.98692770115883</v>
      </c>
      <c r="Y602" s="64"/>
      <c r="Z602" s="564">
        <f>Q602+S602+T602+U602+V602+W602+X602</f>
        <v>384.08112866070576</v>
      </c>
      <c r="AA602" s="699">
        <v>4.1941789342021703E-3</v>
      </c>
      <c r="AB602" s="538">
        <f>Z602-J602</f>
        <v>56.243317690705794</v>
      </c>
      <c r="AC602" s="559">
        <f>AA602/I602-1</f>
        <v>0.17155836150898618</v>
      </c>
      <c r="AD602" s="559"/>
      <c r="AF602" s="543"/>
      <c r="AI602" s="543"/>
      <c r="AK602" s="543"/>
      <c r="AM602" s="700"/>
    </row>
    <row r="603" spans="1:39">
      <c r="A603" s="58"/>
      <c r="B603" s="58"/>
      <c r="C603" s="10"/>
      <c r="D603" s="58"/>
      <c r="E603" s="574"/>
      <c r="F603" s="58"/>
      <c r="G603" s="29"/>
      <c r="H603" s="58"/>
      <c r="I603" s="58"/>
      <c r="J603" s="539"/>
      <c r="K603" s="539"/>
      <c r="L603" s="538"/>
      <c r="M603" s="538"/>
      <c r="N603" s="538"/>
      <c r="O603" s="538"/>
      <c r="P603" s="538"/>
      <c r="Q603" s="538"/>
      <c r="R603" s="564"/>
      <c r="S603" s="564"/>
      <c r="T603" s="538"/>
      <c r="U603" s="538"/>
      <c r="V603" s="538"/>
      <c r="W603" s="538"/>
      <c r="X603" s="538"/>
      <c r="Y603" s="564"/>
      <c r="Z603" s="564"/>
      <c r="AA603" s="564"/>
      <c r="AB603" s="538"/>
      <c r="AC603" s="541"/>
      <c r="AD603" s="542"/>
      <c r="AF603" s="543"/>
      <c r="AI603" s="543"/>
      <c r="AK603" s="543"/>
      <c r="AM603" s="560"/>
    </row>
    <row r="604" spans="1:39">
      <c r="A604" s="58">
        <f>MAX(A$579:A603)+1</f>
        <v>282</v>
      </c>
      <c r="B604" s="58"/>
      <c r="C604" s="10" t="s">
        <v>378</v>
      </c>
      <c r="D604" s="58"/>
      <c r="E604" s="574"/>
      <c r="F604" s="58"/>
      <c r="G604" s="411">
        <f>G596+G597</f>
        <v>431289.49168000009</v>
      </c>
      <c r="H604" s="58"/>
      <c r="I604" s="556">
        <f>J604/G604*100</f>
        <v>3.0585017937334085</v>
      </c>
      <c r="J604" s="554">
        <f>SUM(J590:J603)</f>
        <v>13190.996839216503</v>
      </c>
      <c r="K604" s="539"/>
      <c r="L604" s="619">
        <f t="shared" ref="L604:Q604" si="205">SUM(L590:L603)</f>
        <v>1634.7029693331499</v>
      </c>
      <c r="M604" s="619">
        <f t="shared" si="205"/>
        <v>0</v>
      </c>
      <c r="N604" s="619">
        <f t="shared" si="205"/>
        <v>31.389357744205046</v>
      </c>
      <c r="O604" s="619">
        <f t="shared" si="205"/>
        <v>126.74858452616807</v>
      </c>
      <c r="P604" s="619">
        <f t="shared" si="205"/>
        <v>201.0892264438319</v>
      </c>
      <c r="Q604" s="619">
        <f t="shared" si="205"/>
        <v>11197.066701169146</v>
      </c>
      <c r="R604" s="564"/>
      <c r="S604" s="619">
        <f t="shared" ref="S604:X604" si="206">SUM(S590:S603)</f>
        <v>304.54880257168344</v>
      </c>
      <c r="T604" s="619">
        <f t="shared" si="206"/>
        <v>965.15650932865947</v>
      </c>
      <c r="U604" s="619">
        <f t="shared" si="206"/>
        <v>0</v>
      </c>
      <c r="V604" s="619">
        <f t="shared" si="206"/>
        <v>29.423554194372251</v>
      </c>
      <c r="W604" s="619">
        <f t="shared" si="206"/>
        <v>154.67064676517469</v>
      </c>
      <c r="X604" s="619">
        <f t="shared" si="206"/>
        <v>199.98692770115883</v>
      </c>
      <c r="Y604" s="564"/>
      <c r="Z604" s="619">
        <f>SUM(Z590:Z603)</f>
        <v>12850.853141730197</v>
      </c>
      <c r="AA604" s="556">
        <f>Z604/G604*100</f>
        <v>2.9796351150760301</v>
      </c>
      <c r="AB604" s="555">
        <f>SUM(AB590:AB602)</f>
        <v>-340.14369748630685</v>
      </c>
      <c r="AC604" s="558">
        <f>AA604/I604-1</f>
        <v>-2.5786049502723563E-2</v>
      </c>
      <c r="AD604" s="559"/>
      <c r="AF604" s="543"/>
      <c r="AI604" s="543"/>
      <c r="AK604" s="543"/>
      <c r="AM604" s="560"/>
    </row>
    <row r="605" spans="1:39">
      <c r="A605" s="58"/>
      <c r="B605" s="58"/>
      <c r="D605" s="58"/>
      <c r="E605" s="574"/>
      <c r="F605" s="58"/>
      <c r="G605" s="29"/>
      <c r="H605" s="58"/>
      <c r="I605" s="58"/>
      <c r="J605" s="539"/>
      <c r="K605" s="539"/>
      <c r="L605" s="538"/>
      <c r="M605" s="538"/>
      <c r="N605" s="538"/>
      <c r="O605" s="538"/>
      <c r="P605" s="538"/>
      <c r="Q605" s="538"/>
      <c r="R605" s="564"/>
      <c r="S605" s="564"/>
      <c r="T605" s="538"/>
      <c r="U605" s="538"/>
      <c r="V605" s="538"/>
      <c r="W605" s="538"/>
      <c r="X605" s="538"/>
      <c r="Y605" s="564"/>
      <c r="Z605" s="564"/>
      <c r="AA605" s="564"/>
      <c r="AB605" s="538"/>
      <c r="AC605" s="501"/>
      <c r="AF605" s="543"/>
      <c r="AI605" s="543"/>
      <c r="AK605" s="543"/>
      <c r="AM605" s="560"/>
    </row>
    <row r="606" spans="1:39">
      <c r="A606" s="58"/>
      <c r="B606" s="58"/>
      <c r="C606" s="521" t="s">
        <v>379</v>
      </c>
      <c r="D606" s="58"/>
      <c r="E606" s="30"/>
      <c r="F606" s="58"/>
      <c r="G606" s="132"/>
      <c r="H606" s="58"/>
      <c r="I606" s="58"/>
      <c r="J606" s="539"/>
      <c r="K606" s="539"/>
      <c r="L606" s="538"/>
      <c r="M606" s="538"/>
      <c r="N606" s="538"/>
      <c r="O606" s="538"/>
      <c r="P606" s="538"/>
      <c r="Q606" s="538"/>
      <c r="R606" s="564"/>
      <c r="S606" s="564"/>
      <c r="T606" s="538"/>
      <c r="U606" s="538"/>
      <c r="V606" s="538"/>
      <c r="W606" s="538"/>
      <c r="X606" s="538"/>
      <c r="Y606" s="564"/>
      <c r="Z606" s="564"/>
      <c r="AA606" s="564"/>
      <c r="AB606" s="538"/>
      <c r="AC606" s="501"/>
      <c r="AF606" s="543"/>
      <c r="AI606" s="543"/>
      <c r="AK606" s="543"/>
      <c r="AM606" s="560"/>
    </row>
    <row r="607" spans="1:39">
      <c r="A607" s="58"/>
      <c r="C607" s="526" t="s">
        <v>380</v>
      </c>
      <c r="G607" s="129"/>
      <c r="J607" s="567"/>
      <c r="K607" s="567"/>
      <c r="L607" s="538"/>
      <c r="M607" s="538"/>
      <c r="N607" s="538"/>
      <c r="O607" s="538"/>
      <c r="P607" s="538"/>
      <c r="Q607" s="538"/>
      <c r="R607" s="64"/>
      <c r="S607" s="64"/>
      <c r="T607" s="538"/>
      <c r="U607" s="538"/>
      <c r="V607" s="538"/>
      <c r="W607" s="538"/>
      <c r="X607" s="538"/>
      <c r="Y607" s="64"/>
      <c r="Z607" s="64"/>
      <c r="AA607" s="64"/>
      <c r="AB607" s="538"/>
      <c r="AC607" s="501"/>
      <c r="AF607" s="543"/>
      <c r="AI607" s="543"/>
      <c r="AK607" s="543"/>
      <c r="AM607" s="560"/>
    </row>
    <row r="608" spans="1:39">
      <c r="A608" s="58">
        <f>MAX(A$579:A607)+1</f>
        <v>283</v>
      </c>
      <c r="B608" s="58"/>
      <c r="C608" s="697" t="s">
        <v>381</v>
      </c>
      <c r="D608" s="58"/>
      <c r="E608" s="522" t="s">
        <v>382</v>
      </c>
      <c r="F608" s="58"/>
      <c r="G608" s="29">
        <v>17815248</v>
      </c>
      <c r="H608" s="58"/>
      <c r="I608" s="701">
        <v>1.2E-2</v>
      </c>
      <c r="J608" s="539">
        <f>G608*I608/1000</f>
        <v>213.78297599999999</v>
      </c>
      <c r="K608" s="539"/>
      <c r="L608" s="29">
        <v>0</v>
      </c>
      <c r="M608" s="29">
        <v>0</v>
      </c>
      <c r="N608" s="29">
        <v>0</v>
      </c>
      <c r="O608" s="29">
        <v>0</v>
      </c>
      <c r="P608" s="29">
        <v>0</v>
      </c>
      <c r="Q608" s="538">
        <f>J608-L608-M608-N608-O608-P608</f>
        <v>213.78297599999999</v>
      </c>
      <c r="R608" s="564"/>
      <c r="S608" s="29">
        <v>5.8416810764716445</v>
      </c>
      <c r="T608" s="29">
        <v>0</v>
      </c>
      <c r="U608" s="29">
        <v>0</v>
      </c>
      <c r="V608" s="29">
        <v>0</v>
      </c>
      <c r="W608" s="29">
        <v>0</v>
      </c>
      <c r="X608" s="29">
        <v>0</v>
      </c>
      <c r="Y608" s="564"/>
      <c r="Z608" s="64">
        <f>Q608+S608+T608+U608+V608+W608+X608</f>
        <v>219.62465707647164</v>
      </c>
      <c r="AA608" s="702">
        <f>Z608/G608*1000</f>
        <v>1.2327903438474258E-2</v>
      </c>
      <c r="AB608" s="538">
        <f>Z608-J608</f>
        <v>5.8416810764716445</v>
      </c>
      <c r="AC608" s="541">
        <f>AA608/I608-1</f>
        <v>2.7325286539521487E-2</v>
      </c>
      <c r="AD608" s="542"/>
      <c r="AF608" s="543"/>
      <c r="AI608" s="543"/>
      <c r="AK608" s="543"/>
      <c r="AM608" s="560"/>
    </row>
    <row r="609" spans="1:39">
      <c r="A609" s="58"/>
      <c r="B609" s="58"/>
      <c r="C609" s="526" t="s">
        <v>383</v>
      </c>
      <c r="D609" s="58"/>
      <c r="E609" s="30"/>
      <c r="F609" s="58"/>
      <c r="G609" s="29"/>
      <c r="H609" s="58"/>
      <c r="I609" s="702"/>
      <c r="J609" s="539"/>
      <c r="K609" s="539"/>
      <c r="L609" s="538"/>
      <c r="M609" s="538"/>
      <c r="N609" s="538"/>
      <c r="O609" s="538"/>
      <c r="P609" s="538"/>
      <c r="Q609" s="538"/>
      <c r="R609" s="564"/>
      <c r="S609" s="29"/>
      <c r="T609" s="538"/>
      <c r="U609" s="538"/>
      <c r="V609" s="538"/>
      <c r="W609" s="538"/>
      <c r="X609" s="538"/>
      <c r="Y609" s="564"/>
      <c r="Z609" s="64"/>
      <c r="AA609" s="548"/>
      <c r="AB609" s="538"/>
      <c r="AC609" s="541"/>
      <c r="AD609" s="542"/>
      <c r="AF609" s="543"/>
      <c r="AI609" s="543"/>
      <c r="AK609" s="543"/>
      <c r="AM609" s="560"/>
    </row>
    <row r="610" spans="1:39">
      <c r="A610" s="58">
        <f>MAX(A$579:A609)+1</f>
        <v>284</v>
      </c>
      <c r="B610" s="58"/>
      <c r="C610" s="698" t="s">
        <v>384</v>
      </c>
      <c r="D610" s="58"/>
      <c r="E610" s="522" t="s">
        <v>382</v>
      </c>
      <c r="F610" s="58"/>
      <c r="G610" s="29">
        <v>674172</v>
      </c>
      <c r="H610" s="58"/>
      <c r="I610" s="701">
        <v>1.8779999999999999</v>
      </c>
      <c r="J610" s="539">
        <f t="shared" ref="J610:J615" si="207">G610*I610/1000</f>
        <v>1266.0950159999998</v>
      </c>
      <c r="K610" s="539"/>
      <c r="L610" s="29">
        <v>0</v>
      </c>
      <c r="M610" s="29">
        <v>0</v>
      </c>
      <c r="N610" s="29">
        <v>0</v>
      </c>
      <c r="O610" s="29">
        <v>0</v>
      </c>
      <c r="P610" s="29">
        <v>0</v>
      </c>
      <c r="Q610" s="538">
        <f t="shared" ref="Q610:Q615" si="208">J610-L610-M610-N610-O610-P610</f>
        <v>1266.0950159999998</v>
      </c>
      <c r="R610" s="564"/>
      <c r="S610" s="29">
        <v>34.596409098460072</v>
      </c>
      <c r="T610" s="29">
        <v>0</v>
      </c>
      <c r="U610" s="29">
        <v>0</v>
      </c>
      <c r="V610" s="29">
        <v>0</v>
      </c>
      <c r="W610" s="29">
        <v>0</v>
      </c>
      <c r="X610" s="29">
        <v>0</v>
      </c>
      <c r="Y610" s="564"/>
      <c r="Z610" s="64">
        <f>Q610+S610+T610+U610+V610+W610+X610</f>
        <v>1300.6914250984598</v>
      </c>
      <c r="AA610" s="701">
        <v>1.927</v>
      </c>
      <c r="AB610" s="538">
        <f>Z610-J610</f>
        <v>34.596409098460072</v>
      </c>
      <c r="AC610" s="559">
        <f>AA610/I610-1</f>
        <v>2.6091586794462218E-2</v>
      </c>
      <c r="AD610" s="559"/>
      <c r="AF610" s="543"/>
      <c r="AI610" s="543"/>
      <c r="AK610" s="543"/>
      <c r="AM610" s="560"/>
    </row>
    <row r="611" spans="1:39" ht="24.95">
      <c r="A611" s="58">
        <f>MAX(A$579:A610)+1</f>
        <v>285</v>
      </c>
      <c r="C611" s="698" t="s">
        <v>385</v>
      </c>
      <c r="E611" s="522" t="s">
        <v>382</v>
      </c>
      <c r="G611" s="29">
        <v>10476</v>
      </c>
      <c r="I611" s="701">
        <v>1.4730000000000001</v>
      </c>
      <c r="J611" s="539">
        <f t="shared" si="207"/>
        <v>15.431148</v>
      </c>
      <c r="K611" s="567"/>
      <c r="L611" s="29">
        <v>0</v>
      </c>
      <c r="M611" s="29">
        <v>0</v>
      </c>
      <c r="N611" s="29">
        <v>0</v>
      </c>
      <c r="O611" s="29">
        <v>0</v>
      </c>
      <c r="P611" s="29">
        <v>0</v>
      </c>
      <c r="Q611" s="538">
        <f t="shared" si="208"/>
        <v>15.431148</v>
      </c>
      <c r="R611" s="64"/>
      <c r="S611" s="29">
        <v>0.42166054073376458</v>
      </c>
      <c r="T611" s="29">
        <v>0</v>
      </c>
      <c r="U611" s="29">
        <v>0</v>
      </c>
      <c r="V611" s="29">
        <v>0</v>
      </c>
      <c r="W611" s="29">
        <v>0</v>
      </c>
      <c r="X611" s="29">
        <v>0</v>
      </c>
      <c r="Y611" s="64"/>
      <c r="Z611" s="64">
        <f>Q611+S611+T611+U611+V611+W611+X611</f>
        <v>15.852808540733765</v>
      </c>
      <c r="AA611" s="701">
        <v>1.5187525197395906</v>
      </c>
      <c r="AB611" s="538">
        <f>Z611-J611</f>
        <v>0.42166054073376458</v>
      </c>
      <c r="AC611" s="559">
        <f>AA611/I611-1</f>
        <v>3.1060773753964988E-2</v>
      </c>
      <c r="AD611" s="559"/>
      <c r="AF611" s="543"/>
      <c r="AI611" s="543"/>
      <c r="AK611" s="543"/>
      <c r="AM611" s="560"/>
    </row>
    <row r="612" spans="1:39">
      <c r="A612" s="58">
        <f>MAX(A$579:A611)+1</f>
        <v>286</v>
      </c>
      <c r="B612" s="58"/>
      <c r="C612" s="697" t="s">
        <v>386</v>
      </c>
      <c r="D612" s="58"/>
      <c r="E612" s="522" t="s">
        <v>382</v>
      </c>
      <c r="F612" s="58"/>
      <c r="G612" s="29">
        <v>0</v>
      </c>
      <c r="H612" s="58"/>
      <c r="I612" s="701">
        <v>1.4730000000000001</v>
      </c>
      <c r="J612" s="564">
        <f t="shared" si="207"/>
        <v>0</v>
      </c>
      <c r="K612" s="539"/>
      <c r="L612" s="29">
        <v>0</v>
      </c>
      <c r="M612" s="29">
        <v>0</v>
      </c>
      <c r="N612" s="29">
        <v>0</v>
      </c>
      <c r="O612" s="29">
        <v>0</v>
      </c>
      <c r="P612" s="29">
        <v>0</v>
      </c>
      <c r="Q612" s="538">
        <f t="shared" si="208"/>
        <v>0</v>
      </c>
      <c r="R612" s="564"/>
      <c r="S612" s="29">
        <v>0</v>
      </c>
      <c r="T612" s="29">
        <v>0</v>
      </c>
      <c r="U612" s="29">
        <v>0</v>
      </c>
      <c r="V612" s="29">
        <v>0</v>
      </c>
      <c r="W612" s="29">
        <v>0</v>
      </c>
      <c r="X612" s="29">
        <v>0</v>
      </c>
      <c r="Y612" s="564"/>
      <c r="Z612" s="64">
        <f>Q612+S612+T612+U612+V612+W612+X612</f>
        <v>0</v>
      </c>
      <c r="AA612" s="701">
        <v>1.5187525197395906</v>
      </c>
      <c r="AB612" s="538">
        <f>Z612-J612</f>
        <v>0</v>
      </c>
      <c r="AC612" s="559">
        <f t="shared" ref="AC612:AC613" si="209">AA612/I612-1</f>
        <v>3.1060773753964988E-2</v>
      </c>
      <c r="AD612" s="542"/>
      <c r="AF612" s="543"/>
      <c r="AI612" s="543"/>
      <c r="AK612" s="543"/>
      <c r="AM612" s="560"/>
    </row>
    <row r="613" spans="1:39">
      <c r="A613" s="58">
        <f>MAX(A$579:A612)+1</f>
        <v>287</v>
      </c>
      <c r="B613" s="58"/>
      <c r="C613" s="697" t="s">
        <v>387</v>
      </c>
      <c r="D613" s="58"/>
      <c r="E613" s="522" t="s">
        <v>382</v>
      </c>
      <c r="F613" s="58"/>
      <c r="G613" s="29">
        <v>0</v>
      </c>
      <c r="H613" s="58"/>
      <c r="I613" s="701">
        <v>1.4730000000000001</v>
      </c>
      <c r="J613" s="564">
        <f t="shared" si="207"/>
        <v>0</v>
      </c>
      <c r="K613" s="539"/>
      <c r="L613" s="29">
        <v>0</v>
      </c>
      <c r="M613" s="29">
        <v>0</v>
      </c>
      <c r="N613" s="29">
        <v>0</v>
      </c>
      <c r="O613" s="29">
        <v>0</v>
      </c>
      <c r="P613" s="29">
        <v>0</v>
      </c>
      <c r="Q613" s="538">
        <f t="shared" si="208"/>
        <v>0</v>
      </c>
      <c r="R613" s="564"/>
      <c r="S613" s="29">
        <v>0</v>
      </c>
      <c r="T613" s="29">
        <v>0</v>
      </c>
      <c r="U613" s="29">
        <v>0</v>
      </c>
      <c r="V613" s="29">
        <v>0</v>
      </c>
      <c r="W613" s="29">
        <v>0</v>
      </c>
      <c r="X613" s="29">
        <v>0</v>
      </c>
      <c r="Y613" s="564"/>
      <c r="Z613" s="64">
        <f>Q613+S613+T613+U613+V613+W613+X613</f>
        <v>0</v>
      </c>
      <c r="AA613" s="701">
        <v>1.5187525197395906</v>
      </c>
      <c r="AB613" s="538">
        <f>Z613-J613</f>
        <v>0</v>
      </c>
      <c r="AC613" s="559">
        <f t="shared" si="209"/>
        <v>3.1060773753964988E-2</v>
      </c>
      <c r="AD613" s="542"/>
      <c r="AF613" s="543"/>
      <c r="AI613" s="543"/>
      <c r="AK613" s="543"/>
      <c r="AM613" s="560"/>
    </row>
    <row r="614" spans="1:39">
      <c r="A614" s="58"/>
      <c r="B614" s="58"/>
      <c r="C614" s="526" t="s">
        <v>388</v>
      </c>
      <c r="D614" s="58"/>
      <c r="E614" s="522"/>
      <c r="F614" s="58"/>
      <c r="G614" s="29"/>
      <c r="H614" s="58"/>
      <c r="I614" s="684"/>
      <c r="J614" s="539"/>
      <c r="K614" s="539"/>
      <c r="L614" s="538"/>
      <c r="M614" s="538"/>
      <c r="N614" s="538"/>
      <c r="O614" s="538"/>
      <c r="P614" s="538"/>
      <c r="Q614" s="538"/>
      <c r="R614" s="564"/>
      <c r="S614" s="29"/>
      <c r="T614" s="538"/>
      <c r="U614" s="538"/>
      <c r="V614" s="538"/>
      <c r="W614" s="538"/>
      <c r="X614" s="538"/>
      <c r="Y614" s="564"/>
      <c r="Z614" s="64"/>
      <c r="AA614" s="548"/>
      <c r="AB614" s="538"/>
      <c r="AC614" s="541"/>
      <c r="AD614" s="542"/>
      <c r="AF614" s="543"/>
      <c r="AI614" s="543"/>
      <c r="AK614" s="543"/>
      <c r="AM614" s="560"/>
    </row>
    <row r="615" spans="1:39">
      <c r="A615" s="58">
        <f>MAX(A$579:A614)+1</f>
        <v>288</v>
      </c>
      <c r="B615" s="58"/>
      <c r="C615" s="697" t="s">
        <v>389</v>
      </c>
      <c r="D615" s="58"/>
      <c r="E615" s="30" t="s">
        <v>331</v>
      </c>
      <c r="F615" s="58"/>
      <c r="G615" s="29">
        <v>2989700.51</v>
      </c>
      <c r="H615" s="58"/>
      <c r="I615" s="701">
        <v>1.2E-2</v>
      </c>
      <c r="J615" s="539">
        <f t="shared" si="207"/>
        <v>35.876406119999999</v>
      </c>
      <c r="K615" s="539"/>
      <c r="L615" s="29">
        <v>0</v>
      </c>
      <c r="M615" s="29">
        <v>0</v>
      </c>
      <c r="N615" s="29">
        <v>0</v>
      </c>
      <c r="O615" s="29">
        <v>0</v>
      </c>
      <c r="P615" s="29">
        <v>0</v>
      </c>
      <c r="Q615" s="538">
        <f t="shared" si="208"/>
        <v>35.876406119999999</v>
      </c>
      <c r="R615" s="564"/>
      <c r="S615" s="29">
        <v>0.9803330772372405</v>
      </c>
      <c r="T615" s="29">
        <v>0</v>
      </c>
      <c r="U615" s="29">
        <v>0</v>
      </c>
      <c r="V615" s="29">
        <v>0</v>
      </c>
      <c r="W615" s="29">
        <v>0</v>
      </c>
      <c r="X615" s="29">
        <v>0</v>
      </c>
      <c r="Y615" s="564"/>
      <c r="Z615" s="64">
        <f>Q615+S615+T615+U615+V615+W615+X615</f>
        <v>36.856739197237239</v>
      </c>
      <c r="AA615" s="702">
        <f>Z615/G615*1000</f>
        <v>1.2327903438474258E-2</v>
      </c>
      <c r="AB615" s="538">
        <f>Z615-J615</f>
        <v>0.9803330772372405</v>
      </c>
      <c r="AC615" s="559">
        <f>AA615/I615-1</f>
        <v>2.7325286539521487E-2</v>
      </c>
      <c r="AD615" s="559"/>
      <c r="AF615" s="543"/>
      <c r="AI615" s="543"/>
      <c r="AK615" s="543"/>
      <c r="AM615" s="560"/>
    </row>
    <row r="616" spans="1:39">
      <c r="A616" s="58"/>
      <c r="B616" s="58"/>
      <c r="C616" s="697"/>
      <c r="D616" s="58"/>
      <c r="E616" s="30"/>
      <c r="F616" s="58"/>
      <c r="G616" s="29"/>
      <c r="H616" s="58"/>
      <c r="I616" s="701"/>
      <c r="J616" s="539"/>
      <c r="K616" s="539"/>
      <c r="L616" s="29"/>
      <c r="M616" s="29"/>
      <c r="N616" s="29"/>
      <c r="O616" s="29"/>
      <c r="P616" s="29"/>
      <c r="Q616" s="538"/>
      <c r="R616" s="564"/>
      <c r="S616" s="29"/>
      <c r="T616" s="29"/>
      <c r="U616" s="29"/>
      <c r="V616" s="29"/>
      <c r="W616" s="29"/>
      <c r="X616" s="29"/>
      <c r="Y616" s="564"/>
      <c r="Z616" s="64"/>
      <c r="AA616" s="702"/>
      <c r="AB616" s="538"/>
      <c r="AC616" s="559"/>
      <c r="AD616" s="559"/>
      <c r="AF616" s="543"/>
      <c r="AI616" s="543"/>
      <c r="AK616" s="543"/>
      <c r="AM616" s="560"/>
    </row>
    <row r="617" spans="1:39">
      <c r="A617" s="58">
        <f>MAX(A$579:A616)+1</f>
        <v>289</v>
      </c>
      <c r="B617" s="58"/>
      <c r="C617" s="12" t="s">
        <v>390</v>
      </c>
      <c r="D617" s="58"/>
      <c r="E617" s="30" t="s">
        <v>331</v>
      </c>
      <c r="F617" s="58"/>
      <c r="G617" s="29">
        <v>0</v>
      </c>
      <c r="H617" s="58"/>
      <c r="I617" s="699">
        <v>3.5799999999999998E-3</v>
      </c>
      <c r="J617" s="29">
        <v>70.632634880000026</v>
      </c>
      <c r="K617" s="539"/>
      <c r="L617" s="29">
        <v>0</v>
      </c>
      <c r="M617" s="29">
        <v>0</v>
      </c>
      <c r="N617" s="29">
        <v>0</v>
      </c>
      <c r="O617" s="29">
        <v>27.307974226355761</v>
      </c>
      <c r="P617" s="29">
        <v>43.324660653644266</v>
      </c>
      <c r="Q617" s="538">
        <f>J617-L617-M617-N617-O617-P617</f>
        <v>0</v>
      </c>
      <c r="R617" s="29"/>
      <c r="S617" s="29">
        <v>0</v>
      </c>
      <c r="T617" s="29">
        <v>0</v>
      </c>
      <c r="U617" s="29">
        <v>0</v>
      </c>
      <c r="V617" s="29">
        <v>0</v>
      </c>
      <c r="W617" s="29">
        <v>33.3237807051419</v>
      </c>
      <c r="X617" s="29">
        <v>43.087170461803538</v>
      </c>
      <c r="Y617" s="564"/>
      <c r="Z617" s="64">
        <f>Q617+S617+T617+U617+V617+W617+X617</f>
        <v>76.410951166945438</v>
      </c>
      <c r="AA617" s="699">
        <v>4.1941789342021703E-3</v>
      </c>
      <c r="AB617" s="538">
        <f>Z617-J617</f>
        <v>5.7783162869454117</v>
      </c>
      <c r="AC617" s="559">
        <f>AA617/I617-1</f>
        <v>0.17155836150898618</v>
      </c>
      <c r="AD617" s="559"/>
      <c r="AF617" s="543"/>
      <c r="AI617" s="543"/>
      <c r="AK617" s="543"/>
      <c r="AM617" s="700"/>
    </row>
    <row r="618" spans="1:39">
      <c r="A618" s="58"/>
      <c r="B618" s="58"/>
      <c r="D618" s="58"/>
      <c r="E618" s="30"/>
      <c r="F618" s="58"/>
      <c r="G618" s="29"/>
      <c r="H618" s="58"/>
      <c r="I618" s="58"/>
      <c r="J618" s="539"/>
      <c r="K618" s="539"/>
      <c r="L618" s="538"/>
      <c r="M618" s="538"/>
      <c r="N618" s="538"/>
      <c r="O618" s="538"/>
      <c r="P618" s="29"/>
      <c r="Q618" s="29"/>
      <c r="R618" s="29"/>
      <c r="S618" s="564"/>
      <c r="T618" s="538"/>
      <c r="U618" s="538"/>
      <c r="V618" s="538"/>
      <c r="W618" s="538"/>
      <c r="X618" s="538"/>
      <c r="Y618" s="564"/>
      <c r="Z618" s="564"/>
      <c r="AA618" s="564"/>
      <c r="AB618" s="538"/>
      <c r="AC618" s="541"/>
      <c r="AD618" s="542"/>
      <c r="AF618" s="543"/>
      <c r="AI618" s="543"/>
      <c r="AK618" s="543"/>
      <c r="AM618" s="560"/>
    </row>
    <row r="619" spans="1:39">
      <c r="A619" s="58">
        <f>MAX(A$579:A618)+1</f>
        <v>290</v>
      </c>
      <c r="B619" s="58"/>
      <c r="C619" s="10" t="s">
        <v>391</v>
      </c>
      <c r="D619" s="58"/>
      <c r="E619" s="30"/>
      <c r="F619" s="58"/>
      <c r="G619" s="411">
        <f>G604</f>
        <v>431289.49168000009</v>
      </c>
      <c r="H619" s="58"/>
      <c r="I619" s="556">
        <f>J619/G619*1000</f>
        <v>3.7140208882911665</v>
      </c>
      <c r="J619" s="554">
        <f>SUM(J608:J617)</f>
        <v>1601.8181809999996</v>
      </c>
      <c r="K619" s="539"/>
      <c r="L619" s="619">
        <f t="shared" ref="L619:Q619" si="210">SUM(L608:L617)</f>
        <v>0</v>
      </c>
      <c r="M619" s="619">
        <f t="shared" si="210"/>
        <v>0</v>
      </c>
      <c r="N619" s="619">
        <f t="shared" si="210"/>
        <v>0</v>
      </c>
      <c r="O619" s="619">
        <f t="shared" si="210"/>
        <v>27.307974226355761</v>
      </c>
      <c r="P619" s="619">
        <f t="shared" si="210"/>
        <v>43.324660653644266</v>
      </c>
      <c r="Q619" s="619">
        <f t="shared" si="210"/>
        <v>1531.1855461199996</v>
      </c>
      <c r="R619" s="564"/>
      <c r="S619" s="619">
        <f t="shared" ref="S619:X619" si="211">SUM(S608:S618)</f>
        <v>41.840083792902725</v>
      </c>
      <c r="T619" s="619">
        <f t="shared" si="211"/>
        <v>0</v>
      </c>
      <c r="U619" s="619">
        <f t="shared" si="211"/>
        <v>0</v>
      </c>
      <c r="V619" s="619">
        <f t="shared" si="211"/>
        <v>0</v>
      </c>
      <c r="W619" s="619">
        <f t="shared" si="211"/>
        <v>33.3237807051419</v>
      </c>
      <c r="X619" s="619">
        <f t="shared" si="211"/>
        <v>43.087170461803538</v>
      </c>
      <c r="Y619" s="564"/>
      <c r="Z619" s="619">
        <f>SUM(Z608:Z617)</f>
        <v>1649.4365810798481</v>
      </c>
      <c r="AA619" s="556">
        <f>Z619/G619*1000</f>
        <v>3.824430256009264</v>
      </c>
      <c r="AB619" s="555">
        <f>SUM(AB608:AB617)</f>
        <v>47.618400079848136</v>
      </c>
      <c r="AC619" s="562">
        <f>AA619/I619-1</f>
        <v>2.9727718566735728E-2</v>
      </c>
      <c r="AD619" s="542"/>
      <c r="AF619" s="543"/>
      <c r="AI619" s="543"/>
      <c r="AK619" s="543"/>
      <c r="AM619" s="560"/>
    </row>
    <row r="620" spans="1:39">
      <c r="A620" s="58"/>
      <c r="B620" s="58"/>
      <c r="C620" s="10"/>
      <c r="D620" s="58"/>
      <c r="E620" s="30"/>
      <c r="F620" s="58"/>
      <c r="G620" s="29"/>
      <c r="H620" s="58"/>
      <c r="I620" s="58"/>
      <c r="J620" s="539"/>
      <c r="K620" s="539"/>
      <c r="L620" s="538"/>
      <c r="M620" s="538"/>
      <c r="N620" s="538"/>
      <c r="O620" s="538"/>
      <c r="P620" s="538"/>
      <c r="Q620" s="538"/>
      <c r="R620" s="564"/>
      <c r="S620" s="564"/>
      <c r="T620" s="538"/>
      <c r="U620" s="538"/>
      <c r="V620" s="538"/>
      <c r="W620" s="538"/>
      <c r="X620" s="538"/>
      <c r="Y620" s="564"/>
      <c r="Z620" s="564"/>
      <c r="AA620" s="564"/>
      <c r="AB620" s="538"/>
      <c r="AC620" s="541"/>
      <c r="AD620" s="542"/>
      <c r="AF620" s="543"/>
      <c r="AI620" s="543"/>
      <c r="AK620" s="543"/>
      <c r="AM620" s="560"/>
    </row>
    <row r="621" spans="1:39" ht="12.95" thickBot="1">
      <c r="A621" s="58">
        <f>MAX(A$579:A620)+1</f>
        <v>291</v>
      </c>
      <c r="B621" s="58"/>
      <c r="C621" s="10" t="s">
        <v>392</v>
      </c>
      <c r="D621" s="58"/>
      <c r="E621" s="30"/>
      <c r="F621" s="58"/>
      <c r="G621" s="589">
        <f>G604</f>
        <v>431289.49168000009</v>
      </c>
      <c r="H621" s="58"/>
      <c r="I621" s="572">
        <f>J621/G621*100</f>
        <v>3.4299038825625252</v>
      </c>
      <c r="J621" s="627">
        <f>J604+J619</f>
        <v>14792.815020216502</v>
      </c>
      <c r="K621" s="539"/>
      <c r="L621" s="628">
        <f t="shared" ref="L621:Q621" si="212">L604+L619</f>
        <v>1634.7029693331499</v>
      </c>
      <c r="M621" s="628">
        <f t="shared" si="212"/>
        <v>0</v>
      </c>
      <c r="N621" s="628">
        <f t="shared" si="212"/>
        <v>31.389357744205046</v>
      </c>
      <c r="O621" s="628">
        <f t="shared" si="212"/>
        <v>154.05655875252384</v>
      </c>
      <c r="P621" s="628">
        <f t="shared" si="212"/>
        <v>244.41388709747616</v>
      </c>
      <c r="Q621" s="628">
        <f t="shared" si="212"/>
        <v>12728.252247289145</v>
      </c>
      <c r="R621" s="564"/>
      <c r="S621" s="628">
        <f t="shared" ref="S621:X621" si="213">S604+S619</f>
        <v>346.38888636458614</v>
      </c>
      <c r="T621" s="628">
        <f t="shared" si="213"/>
        <v>965.15650932865947</v>
      </c>
      <c r="U621" s="628">
        <f t="shared" si="213"/>
        <v>0</v>
      </c>
      <c r="V621" s="628">
        <f t="shared" si="213"/>
        <v>29.423554194372251</v>
      </c>
      <c r="W621" s="628">
        <f t="shared" si="213"/>
        <v>187.99442747031659</v>
      </c>
      <c r="X621" s="628">
        <f t="shared" si="213"/>
        <v>243.07409816296237</v>
      </c>
      <c r="Y621" s="564"/>
      <c r="Z621" s="628">
        <f>Z604+Z619</f>
        <v>14500.289722810045</v>
      </c>
      <c r="AA621" s="572">
        <f>Z621/G621*100</f>
        <v>3.3620781406769567</v>
      </c>
      <c r="AB621" s="587">
        <f>AB604+AB619</f>
        <v>-292.52529740645872</v>
      </c>
      <c r="AC621" s="602">
        <f>AA621/I621-1</f>
        <v>-1.977482291279109E-2</v>
      </c>
      <c r="AD621" s="559"/>
      <c r="AF621" s="543"/>
      <c r="AI621" s="543"/>
      <c r="AK621" s="543"/>
      <c r="AM621" s="560"/>
    </row>
    <row r="622" spans="1:39" ht="12.95" thickTop="1">
      <c r="L622" s="2"/>
      <c r="M622" s="2"/>
      <c r="N622" s="2"/>
      <c r="O622" s="2"/>
      <c r="P622" s="501"/>
      <c r="Q622" s="501"/>
      <c r="T622" s="501"/>
      <c r="U622" s="501"/>
      <c r="V622" s="501"/>
      <c r="W622" s="501"/>
      <c r="X622" s="501"/>
      <c r="AB622" s="538"/>
      <c r="AC622" s="501"/>
      <c r="AF622" s="543"/>
      <c r="AI622" s="543"/>
      <c r="AK622" s="543"/>
      <c r="AM622" s="560"/>
    </row>
    <row r="623" spans="1:39">
      <c r="L623" s="2"/>
      <c r="M623" s="2"/>
      <c r="N623" s="2"/>
      <c r="O623" s="2"/>
      <c r="P623" s="501"/>
      <c r="Q623" s="501"/>
      <c r="T623" s="501"/>
      <c r="U623" s="501"/>
      <c r="V623" s="501"/>
      <c r="W623" s="501"/>
      <c r="X623" s="501"/>
      <c r="AB623" s="501"/>
      <c r="AC623" s="501"/>
      <c r="AF623" s="543"/>
      <c r="AI623" s="543"/>
      <c r="AK623" s="543"/>
      <c r="AM623" s="560"/>
    </row>
    <row r="624" spans="1:39">
      <c r="L624" s="2"/>
      <c r="M624" s="2"/>
      <c r="N624" s="2"/>
      <c r="O624" s="2"/>
      <c r="P624" s="501"/>
      <c r="Q624" s="501"/>
      <c r="T624" s="501"/>
      <c r="U624" s="501"/>
      <c r="V624" s="501"/>
      <c r="W624" s="501"/>
      <c r="X624" s="501"/>
      <c r="AB624" s="501"/>
      <c r="AC624" s="501"/>
      <c r="AF624" s="543"/>
      <c r="AI624" s="543"/>
      <c r="AK624" s="543"/>
      <c r="AM624" s="560"/>
    </row>
    <row r="625" spans="1:39">
      <c r="L625" s="2"/>
      <c r="M625" s="2"/>
      <c r="N625" s="2"/>
      <c r="O625" s="2"/>
      <c r="P625" s="501"/>
      <c r="Q625" s="501"/>
      <c r="T625" s="501"/>
      <c r="U625" s="501"/>
      <c r="V625" s="501"/>
      <c r="W625" s="501"/>
      <c r="X625" s="501"/>
      <c r="AB625" s="501"/>
      <c r="AC625" s="501"/>
      <c r="AF625" s="543"/>
      <c r="AI625" s="543"/>
      <c r="AK625" s="543"/>
      <c r="AM625" s="560"/>
    </row>
    <row r="626" spans="1:39">
      <c r="A626" s="1156" t="s">
        <v>279</v>
      </c>
      <c r="B626" s="1156"/>
      <c r="C626" s="1156"/>
      <c r="D626" s="1156"/>
      <c r="E626" s="1156"/>
      <c r="F626" s="1156"/>
      <c r="G626" s="1156"/>
      <c r="H626" s="1156"/>
      <c r="I626" s="1156"/>
      <c r="J626" s="1156"/>
      <c r="K626" s="1156"/>
      <c r="L626" s="1156"/>
      <c r="M626" s="1156"/>
      <c r="N626" s="1156"/>
      <c r="O626" s="1156"/>
      <c r="P626" s="1156"/>
      <c r="Q626" s="1156"/>
      <c r="R626" s="1156"/>
      <c r="S626" s="1156"/>
      <c r="T626" s="1156"/>
      <c r="U626" s="1156"/>
      <c r="V626" s="1156"/>
      <c r="W626" s="1156"/>
      <c r="X626" s="1156"/>
      <c r="Y626" s="1156"/>
      <c r="Z626" s="1156"/>
      <c r="AA626" s="1156"/>
      <c r="AB626" s="1156"/>
      <c r="AC626" s="1156"/>
      <c r="AD626" s="531"/>
      <c r="AF626" s="543"/>
      <c r="AI626" s="543"/>
      <c r="AK626" s="543"/>
      <c r="AM626" s="560"/>
    </row>
    <row r="627" spans="1:39">
      <c r="A627" s="57"/>
      <c r="B627" s="57"/>
      <c r="C627" s="57"/>
      <c r="D627" s="57"/>
      <c r="E627" s="3"/>
      <c r="F627" s="57"/>
      <c r="G627" s="3"/>
      <c r="H627" s="57"/>
      <c r="I627" s="57"/>
      <c r="J627" s="57"/>
      <c r="K627" s="57"/>
      <c r="L627" s="57"/>
      <c r="M627" s="57"/>
      <c r="N627" s="4"/>
      <c r="O627" s="4"/>
      <c r="P627" s="501"/>
      <c r="Q627" s="501"/>
      <c r="R627" s="57"/>
      <c r="S627" s="57"/>
      <c r="T627" s="501"/>
      <c r="U627" s="501"/>
      <c r="V627" s="501"/>
      <c r="W627" s="501"/>
      <c r="X627" s="501"/>
      <c r="Y627" s="57"/>
      <c r="Z627" s="57"/>
      <c r="AA627" s="57"/>
      <c r="AB627" s="501"/>
      <c r="AC627" s="501"/>
      <c r="AF627" s="543"/>
      <c r="AI627" s="543"/>
      <c r="AK627" s="543"/>
      <c r="AM627" s="560"/>
    </row>
    <row r="628" spans="1:39">
      <c r="A628" s="3"/>
      <c r="B628" s="3"/>
      <c r="C628" s="3"/>
      <c r="D628" s="3"/>
      <c r="E628" s="57"/>
      <c r="F628" s="3"/>
      <c r="G628" s="1152" t="str">
        <f>G8</f>
        <v>Current Approved Revenue</v>
      </c>
      <c r="H628" s="1152"/>
      <c r="I628" s="1152"/>
      <c r="J628" s="1152"/>
      <c r="K628" s="3"/>
      <c r="L628" s="1152" t="str">
        <f>L8</f>
        <v>Adjustments to 2023 Base Rates</v>
      </c>
      <c r="M628" s="1152"/>
      <c r="N628" s="1152"/>
      <c r="O628" s="1152"/>
      <c r="P628" s="1152"/>
      <c r="Q628" s="58"/>
      <c r="R628" s="3"/>
      <c r="S628" s="1152" t="str">
        <f>S8</f>
        <v>Adjustments to 2024 Base Rates</v>
      </c>
      <c r="T628" s="1152"/>
      <c r="U628" s="1152"/>
      <c r="V628" s="1152"/>
      <c r="W628" s="1152"/>
      <c r="X628" s="1152"/>
      <c r="Y628" s="3"/>
      <c r="Z628" s="1152" t="str">
        <f>Z8</f>
        <v>2024 Proposed Revenue</v>
      </c>
      <c r="AA628" s="1152"/>
      <c r="AB628" s="1152"/>
      <c r="AC628" s="1152"/>
      <c r="AD628" s="6"/>
      <c r="AF628" s="543"/>
      <c r="AI628" s="543"/>
      <c r="AK628" s="543"/>
      <c r="AM628" s="560"/>
    </row>
    <row r="629" spans="1:39" ht="37.5">
      <c r="A629" s="5" t="s">
        <v>56</v>
      </c>
      <c r="B629" s="5"/>
      <c r="C629" s="5"/>
      <c r="D629" s="5"/>
      <c r="E629" s="6" t="s">
        <v>233</v>
      </c>
      <c r="F629" s="5"/>
      <c r="G629" s="17" t="s">
        <v>234</v>
      </c>
      <c r="H629" s="5"/>
      <c r="I629" s="17" t="s">
        <v>235</v>
      </c>
      <c r="J629" s="17" t="s">
        <v>101</v>
      </c>
      <c r="K629" s="5"/>
      <c r="L629" s="17" t="s">
        <v>106</v>
      </c>
      <c r="M629" s="17" t="s">
        <v>236</v>
      </c>
      <c r="N629" s="5" t="s">
        <v>237</v>
      </c>
      <c r="O629" s="5" t="s">
        <v>109</v>
      </c>
      <c r="P629" s="5" t="s">
        <v>238</v>
      </c>
      <c r="Q629" s="5" t="s">
        <v>239</v>
      </c>
      <c r="R629" s="5"/>
      <c r="S629" s="5" t="s">
        <v>240</v>
      </c>
      <c r="T629" s="17" t="s">
        <v>106</v>
      </c>
      <c r="U629" s="17" t="s">
        <v>236</v>
      </c>
      <c r="V629" s="5" t="s">
        <v>237</v>
      </c>
      <c r="W629" s="5" t="s">
        <v>109</v>
      </c>
      <c r="X629" s="5" t="s">
        <v>238</v>
      </c>
      <c r="Y629" s="5"/>
      <c r="Z629" s="17" t="s">
        <v>241</v>
      </c>
      <c r="AA629" s="17" t="s">
        <v>242</v>
      </c>
      <c r="AB629" s="17" t="s">
        <v>243</v>
      </c>
      <c r="AC629" s="5" t="s">
        <v>244</v>
      </c>
      <c r="AD629" s="5"/>
      <c r="AF629" s="543"/>
      <c r="AI629" s="543"/>
      <c r="AK629" s="543"/>
      <c r="AM629" s="560"/>
    </row>
    <row r="630" spans="1:39" ht="14.45">
      <c r="A630" s="237" t="s">
        <v>57</v>
      </c>
      <c r="B630" s="58"/>
      <c r="C630" s="59" t="s">
        <v>194</v>
      </c>
      <c r="D630" s="58"/>
      <c r="E630" s="237" t="s">
        <v>245</v>
      </c>
      <c r="F630" s="58"/>
      <c r="G630" s="237" t="s">
        <v>246</v>
      </c>
      <c r="H630" s="58"/>
      <c r="I630" s="237" t="s">
        <v>247</v>
      </c>
      <c r="J630" s="237" t="s">
        <v>248</v>
      </c>
      <c r="K630" s="58"/>
      <c r="L630" s="237" t="s">
        <v>248</v>
      </c>
      <c r="M630" s="237" t="s">
        <v>248</v>
      </c>
      <c r="N630" s="237" t="s">
        <v>248</v>
      </c>
      <c r="O630" s="237" t="s">
        <v>248</v>
      </c>
      <c r="P630" s="237" t="s">
        <v>248</v>
      </c>
      <c r="Q630" s="237" t="s">
        <v>248</v>
      </c>
      <c r="R630" s="58"/>
      <c r="S630" s="237" t="s">
        <v>248</v>
      </c>
      <c r="T630" s="237" t="s">
        <v>248</v>
      </c>
      <c r="U630" s="237" t="s">
        <v>248</v>
      </c>
      <c r="V630" s="237" t="s">
        <v>248</v>
      </c>
      <c r="W630" s="237" t="s">
        <v>248</v>
      </c>
      <c r="X630" s="237" t="s">
        <v>248</v>
      </c>
      <c r="Y630" s="58"/>
      <c r="Z630" s="237" t="s">
        <v>248</v>
      </c>
      <c r="AA630" s="237" t="s">
        <v>247</v>
      </c>
      <c r="AB630" s="237" t="s">
        <v>248</v>
      </c>
      <c r="AC630" s="237" t="s">
        <v>249</v>
      </c>
      <c r="AD630" s="6"/>
      <c r="AF630" s="543"/>
      <c r="AI630" s="543"/>
      <c r="AK630" s="543"/>
      <c r="AM630" s="560"/>
    </row>
    <row r="631" spans="1:39">
      <c r="A631" s="6"/>
      <c r="B631" s="58"/>
      <c r="C631" s="58"/>
      <c r="D631" s="58"/>
      <c r="E631" s="6"/>
      <c r="F631" s="58"/>
      <c r="G631" s="6" t="s">
        <v>9</v>
      </c>
      <c r="H631" s="6"/>
      <c r="I631" s="6" t="s">
        <v>10</v>
      </c>
      <c r="J631" s="6" t="s">
        <v>58</v>
      </c>
      <c r="K631" s="6"/>
      <c r="L631" s="123" t="s">
        <v>12</v>
      </c>
      <c r="M631" s="123" t="s">
        <v>13</v>
      </c>
      <c r="N631" s="123" t="s">
        <v>115</v>
      </c>
      <c r="O631" s="123" t="s">
        <v>209</v>
      </c>
      <c r="P631" s="6" t="s">
        <v>210</v>
      </c>
      <c r="Q631" s="6" t="s">
        <v>250</v>
      </c>
      <c r="R631" s="6"/>
      <c r="S631" s="6" t="s">
        <v>251</v>
      </c>
      <c r="T631" s="6" t="s">
        <v>120</v>
      </c>
      <c r="U631" s="6" t="s">
        <v>121</v>
      </c>
      <c r="V631" s="6" t="s">
        <v>122</v>
      </c>
      <c r="W631" s="6" t="s">
        <v>252</v>
      </c>
      <c r="X631" s="6" t="s">
        <v>253</v>
      </c>
      <c r="Y631" s="6"/>
      <c r="Z631" s="6" t="s">
        <v>254</v>
      </c>
      <c r="AA631" s="6" t="s">
        <v>255</v>
      </c>
      <c r="AB631" s="6" t="s">
        <v>256</v>
      </c>
      <c r="AC631" s="6" t="s">
        <v>257</v>
      </c>
      <c r="AD631" s="6"/>
      <c r="AF631" s="543"/>
      <c r="AI631" s="543"/>
      <c r="AK631" s="543"/>
      <c r="AM631" s="560"/>
    </row>
    <row r="632" spans="1:39">
      <c r="A632" s="58"/>
      <c r="B632" s="58"/>
      <c r="C632" s="10"/>
      <c r="D632" s="58"/>
      <c r="E632" s="30"/>
      <c r="F632" s="58"/>
      <c r="G632" s="132"/>
      <c r="H632" s="58"/>
      <c r="I632" s="58"/>
      <c r="J632" s="539"/>
      <c r="K632" s="539"/>
      <c r="L632" s="538"/>
      <c r="M632" s="538"/>
      <c r="N632" s="538"/>
      <c r="O632" s="538"/>
      <c r="P632" s="538"/>
      <c r="Q632" s="538"/>
      <c r="R632" s="564"/>
      <c r="S632" s="564"/>
      <c r="T632" s="538"/>
      <c r="U632" s="538"/>
      <c r="V632" s="538"/>
      <c r="W632" s="538"/>
      <c r="X632" s="538"/>
      <c r="Y632" s="564"/>
      <c r="Z632" s="564"/>
      <c r="AA632" s="564"/>
      <c r="AB632" s="538"/>
      <c r="AC632" s="501"/>
      <c r="AI632" s="543"/>
    </row>
    <row r="633" spans="1:39">
      <c r="A633" s="6"/>
      <c r="B633" s="58"/>
      <c r="C633" s="9" t="s">
        <v>153</v>
      </c>
      <c r="D633" s="58"/>
      <c r="E633" s="30"/>
      <c r="F633" s="58"/>
      <c r="G633" s="29"/>
      <c r="H633" s="58"/>
      <c r="I633" s="58"/>
      <c r="J633" s="58"/>
      <c r="K633" s="58"/>
      <c r="L633" s="538"/>
      <c r="M633" s="538"/>
      <c r="N633" s="538"/>
      <c r="O633" s="538"/>
      <c r="P633" s="538"/>
      <c r="Q633" s="538"/>
      <c r="R633" s="564"/>
      <c r="S633" s="564"/>
      <c r="T633" s="538"/>
      <c r="U633" s="538"/>
      <c r="V633" s="538"/>
      <c r="W633" s="538"/>
      <c r="X633" s="538"/>
      <c r="Y633" s="564"/>
      <c r="Z633" s="564"/>
      <c r="AA633" s="564"/>
      <c r="AB633" s="538"/>
      <c r="AC633" s="501"/>
    </row>
    <row r="634" spans="1:39">
      <c r="A634" s="6">
        <v>292</v>
      </c>
      <c r="B634" s="58"/>
      <c r="C634" s="10" t="s">
        <v>258</v>
      </c>
      <c r="D634" s="58"/>
      <c r="E634" s="6" t="s">
        <v>366</v>
      </c>
      <c r="F634" s="58"/>
      <c r="G634" s="29">
        <v>501.00000000000347</v>
      </c>
      <c r="H634" s="58"/>
      <c r="I634" s="537">
        <v>6803.81</v>
      </c>
      <c r="J634" s="539">
        <f>G634*I634/1000</f>
        <v>3408.7088100000237</v>
      </c>
      <c r="K634" s="58"/>
      <c r="L634" s="29">
        <v>0</v>
      </c>
      <c r="M634" s="29">
        <v>0</v>
      </c>
      <c r="N634" s="29">
        <v>0</v>
      </c>
      <c r="O634" s="29">
        <v>0</v>
      </c>
      <c r="P634" s="29">
        <v>0</v>
      </c>
      <c r="Q634" s="538">
        <f>J634-L634-M634-N634-O634-P634</f>
        <v>3408.7088100000237</v>
      </c>
      <c r="R634" s="564"/>
      <c r="S634" s="29">
        <v>93.143944963042031</v>
      </c>
      <c r="T634" s="29">
        <v>0</v>
      </c>
      <c r="U634" s="29">
        <v>0</v>
      </c>
      <c r="V634" s="29">
        <v>0</v>
      </c>
      <c r="W634" s="29">
        <v>0</v>
      </c>
      <c r="X634" s="29">
        <v>0</v>
      </c>
      <c r="Y634" s="564"/>
      <c r="Z634" s="564">
        <f>Q634+S634+T634+U634+V634+W634+X634</f>
        <v>3501.8527549630658</v>
      </c>
      <c r="AA634" s="540">
        <f>Z634/G634*1000</f>
        <v>6989.7260578104624</v>
      </c>
      <c r="AB634" s="538">
        <f>Z634-J634</f>
        <v>93.143944963042031</v>
      </c>
      <c r="AC634" s="541">
        <f>AA634/I634-1</f>
        <v>2.7325286539521487E-2</v>
      </c>
      <c r="AD634" s="542"/>
      <c r="AF634" s="543"/>
      <c r="AI634" s="543"/>
      <c r="AK634" s="543"/>
      <c r="AM634" s="560"/>
    </row>
    <row r="635" spans="1:39" ht="14.45">
      <c r="A635" s="6"/>
      <c r="B635" s="58"/>
      <c r="C635" s="10" t="s">
        <v>367</v>
      </c>
      <c r="D635" s="58"/>
      <c r="E635" s="6"/>
      <c r="F635" s="58"/>
      <c r="G635" s="29"/>
      <c r="H635" s="58"/>
      <c r="I635" s="537"/>
      <c r="J635" s="539"/>
      <c r="K635" s="58"/>
      <c r="L635" s="29"/>
      <c r="M635" s="29"/>
      <c r="N635" s="29"/>
      <c r="O635" s="29"/>
      <c r="P635" s="29"/>
      <c r="Q635" s="538"/>
      <c r="R635" s="564"/>
      <c r="S635" s="29"/>
      <c r="T635" s="29"/>
      <c r="U635" s="29"/>
      <c r="V635" s="29"/>
      <c r="W635" s="29"/>
      <c r="X635" s="29"/>
      <c r="Y635" s="564"/>
      <c r="Z635" s="564"/>
      <c r="AA635" s="540"/>
      <c r="AB635" s="538"/>
      <c r="AC635" s="541"/>
      <c r="AD635" s="542"/>
      <c r="AF635" s="543"/>
      <c r="AI635" s="543"/>
      <c r="AK635" s="543"/>
      <c r="AM635" s="560"/>
    </row>
    <row r="636" spans="1:39">
      <c r="A636" s="6"/>
      <c r="B636" s="58"/>
      <c r="C636" s="526" t="s">
        <v>368</v>
      </c>
      <c r="D636" s="58"/>
      <c r="F636" s="58"/>
      <c r="G636" s="29"/>
      <c r="H636" s="58"/>
      <c r="I636" s="58"/>
      <c r="J636" s="539"/>
      <c r="K636" s="58"/>
      <c r="L636" s="538"/>
      <c r="M636" s="538"/>
      <c r="N636" s="538"/>
      <c r="O636" s="538"/>
      <c r="P636" s="538"/>
      <c r="Q636" s="538"/>
      <c r="R636" s="564"/>
      <c r="S636" s="29"/>
      <c r="T636" s="29"/>
      <c r="U636" s="538"/>
      <c r="V636" s="538"/>
      <c r="W636" s="538"/>
      <c r="X636" s="538"/>
      <c r="Y636" s="564"/>
      <c r="Z636" s="564"/>
      <c r="AA636" s="548"/>
      <c r="AB636" s="538"/>
      <c r="AC636" s="541"/>
      <c r="AD636" s="542"/>
      <c r="AF636" s="543"/>
      <c r="AI636" s="543"/>
      <c r="AK636" s="543"/>
      <c r="AM636" s="560"/>
    </row>
    <row r="637" spans="1:39">
      <c r="A637" s="6">
        <f>MAX(A$633:A636)+1</f>
        <v>293</v>
      </c>
      <c r="B637" s="58"/>
      <c r="C637" s="697" t="s">
        <v>393</v>
      </c>
      <c r="D637" s="58"/>
      <c r="E637" s="522" t="s">
        <v>370</v>
      </c>
      <c r="F637" s="58"/>
      <c r="G637" s="29">
        <v>60333.714</v>
      </c>
      <c r="H637" s="58"/>
      <c r="I637" s="684">
        <v>33.160600000000002</v>
      </c>
      <c r="J637" s="539">
        <f>G637*I637/100</f>
        <v>20007.021564684001</v>
      </c>
      <c r="K637" s="58"/>
      <c r="L637" s="29">
        <v>1497.5431151939999</v>
      </c>
      <c r="M637" s="29">
        <v>0</v>
      </c>
      <c r="N637" s="29">
        <v>0</v>
      </c>
      <c r="O637" s="29">
        <v>0</v>
      </c>
      <c r="P637" s="29">
        <v>0</v>
      </c>
      <c r="Q637" s="538">
        <f t="shared" ref="Q637:Q646" si="214">J637-L637-M637-N637-O637-P637</f>
        <v>18509.478449490001</v>
      </c>
      <c r="R637" s="564"/>
      <c r="S637" s="29">
        <v>505.77680232941202</v>
      </c>
      <c r="T637" s="29">
        <v>1052.1210252863157</v>
      </c>
      <c r="U637" s="29">
        <v>0</v>
      </c>
      <c r="V637" s="29">
        <v>0</v>
      </c>
      <c r="W637" s="29">
        <v>0</v>
      </c>
      <c r="X637" s="29">
        <v>0</v>
      </c>
      <c r="Y637" s="564"/>
      <c r="Z637" s="564">
        <f>Q637+S637+T637+U637+V637+W637+X637</f>
        <v>20067.37627710573</v>
      </c>
      <c r="AA637" s="548">
        <f>Z637/G637*100</f>
        <v>33.260634803794325</v>
      </c>
      <c r="AB637" s="538">
        <f>Z637-J637</f>
        <v>60.354712421729346</v>
      </c>
      <c r="AC637" s="541">
        <f>AA637/I637-1</f>
        <v>3.0166765316164135E-3</v>
      </c>
      <c r="AD637" s="542"/>
      <c r="AF637" s="543"/>
      <c r="AI637" s="543"/>
      <c r="AK637" s="543"/>
      <c r="AM637" s="560"/>
    </row>
    <row r="638" spans="1:39">
      <c r="A638" s="6">
        <f>MAX(A$633:A637)+1</f>
        <v>294</v>
      </c>
      <c r="C638" s="697" t="s">
        <v>394</v>
      </c>
      <c r="E638" s="522" t="s">
        <v>370</v>
      </c>
      <c r="G638" s="29">
        <v>248379.71</v>
      </c>
      <c r="I638" s="684">
        <v>18.477399999999999</v>
      </c>
      <c r="J638" s="539">
        <f t="shared" ref="J638:J644" si="215">G638*I638/100</f>
        <v>45894.112535539993</v>
      </c>
      <c r="L638" s="29">
        <v>3260.9772125899995</v>
      </c>
      <c r="M638" s="29">
        <v>0</v>
      </c>
      <c r="N638" s="29">
        <v>0</v>
      </c>
      <c r="O638" s="29">
        <v>0</v>
      </c>
      <c r="P638" s="29">
        <v>0</v>
      </c>
      <c r="Q638" s="538">
        <f t="shared" si="214"/>
        <v>42633.135322949995</v>
      </c>
      <c r="R638" s="64"/>
      <c r="S638" s="29">
        <v>1164.9626387778044</v>
      </c>
      <c r="T638" s="29">
        <v>2423.3647733271655</v>
      </c>
      <c r="U638" s="29">
        <v>0</v>
      </c>
      <c r="V638" s="29">
        <v>0</v>
      </c>
      <c r="W638" s="29">
        <v>0</v>
      </c>
      <c r="X638" s="29">
        <v>0</v>
      </c>
      <c r="Y638" s="64"/>
      <c r="Z638" s="564">
        <f>Q638+S638+T638+U638+V638+W638+X638</f>
        <v>46221.462735054964</v>
      </c>
      <c r="AA638" s="548">
        <f>Z638/G638*100</f>
        <v>18.609194259488817</v>
      </c>
      <c r="AB638" s="538">
        <f>Z638-J638</f>
        <v>327.35019951497088</v>
      </c>
      <c r="AC638" s="541">
        <f>AA638/I638-1</f>
        <v>7.1327275205828045E-3</v>
      </c>
      <c r="AD638" s="542"/>
      <c r="AF638" s="543"/>
      <c r="AI638" s="543"/>
      <c r="AK638" s="543"/>
      <c r="AM638" s="560"/>
    </row>
    <row r="639" spans="1:39">
      <c r="A639" s="6"/>
      <c r="C639" s="526" t="s">
        <v>372</v>
      </c>
      <c r="E639" s="30"/>
      <c r="G639" s="29"/>
      <c r="I639" s="684"/>
      <c r="J639" s="539"/>
      <c r="L639" s="29"/>
      <c r="M639" s="538"/>
      <c r="N639" s="538"/>
      <c r="O639" s="538"/>
      <c r="P639" s="538"/>
      <c r="Q639" s="538"/>
      <c r="R639" s="64"/>
      <c r="S639" s="29"/>
      <c r="T639" s="29"/>
      <c r="U639" s="538"/>
      <c r="V639" s="538"/>
      <c r="W639" s="538"/>
      <c r="X639" s="538"/>
      <c r="Y639" s="64"/>
      <c r="Z639" s="564"/>
      <c r="AA639" s="548"/>
      <c r="AB639" s="538"/>
      <c r="AC639" s="541"/>
      <c r="AD639" s="542"/>
      <c r="AF639" s="543"/>
      <c r="AI639" s="543"/>
      <c r="AK639" s="543"/>
      <c r="AM639" s="560"/>
    </row>
    <row r="640" spans="1:39">
      <c r="A640" s="6">
        <f>MAX(A$633:A639)+1</f>
        <v>295</v>
      </c>
      <c r="C640" s="698" t="s">
        <v>373</v>
      </c>
      <c r="E640" s="30" t="s">
        <v>262</v>
      </c>
      <c r="G640" s="29">
        <v>4963881.1019000001</v>
      </c>
      <c r="I640" s="684">
        <v>3.0599999999999999E-2</v>
      </c>
      <c r="J640" s="539">
        <f t="shared" si="215"/>
        <v>1518.9476171813999</v>
      </c>
      <c r="L640" s="29">
        <v>0</v>
      </c>
      <c r="M640" s="29">
        <v>0</v>
      </c>
      <c r="N640" s="29">
        <v>108.47513420704212</v>
      </c>
      <c r="O640" s="29">
        <v>0</v>
      </c>
      <c r="P640" s="29">
        <v>0</v>
      </c>
      <c r="Q640" s="538">
        <f t="shared" si="214"/>
        <v>1410.4724829743577</v>
      </c>
      <c r="R640" s="64"/>
      <c r="S640" s="29">
        <v>24.415105222355919</v>
      </c>
      <c r="T640" s="29">
        <v>0</v>
      </c>
      <c r="U640" s="29">
        <v>0</v>
      </c>
      <c r="V640" s="29">
        <v>0</v>
      </c>
      <c r="W640" s="29">
        <v>0</v>
      </c>
      <c r="X640" s="538"/>
      <c r="Y640" s="29">
        <v>0</v>
      </c>
      <c r="Z640" s="564">
        <f>Q640+S640+T640+U640+V640+W640+X640</f>
        <v>1434.8875881967138</v>
      </c>
      <c r="AA640" s="548">
        <f>Z640/G640*100</f>
        <v>2.8906566429391087E-2</v>
      </c>
      <c r="AB640" s="538">
        <f>Z640-J640</f>
        <v>-84.060028984686141</v>
      </c>
      <c r="AC640" s="559">
        <f>AA640/I640-1</f>
        <v>-5.5340966359768373E-2</v>
      </c>
      <c r="AD640" s="542"/>
      <c r="AF640" s="543"/>
      <c r="AI640" s="543"/>
      <c r="AK640" s="543"/>
      <c r="AM640" s="560"/>
    </row>
    <row r="641" spans="1:39">
      <c r="A641" s="6">
        <f>MAX(A$633:A640)+1</f>
        <v>296</v>
      </c>
      <c r="C641" s="698" t="s">
        <v>374</v>
      </c>
      <c r="E641" s="30" t="s">
        <v>262</v>
      </c>
      <c r="G641" s="29">
        <v>41762.222750000008</v>
      </c>
      <c r="I641" s="684">
        <v>2.7176999999999998</v>
      </c>
      <c r="J641" s="539">
        <f t="shared" si="215"/>
        <v>1134.9719276767503</v>
      </c>
      <c r="L641" s="29">
        <v>41.469887190750008</v>
      </c>
      <c r="M641" s="29">
        <v>0</v>
      </c>
      <c r="N641" s="29">
        <v>0.91262514645176551</v>
      </c>
      <c r="O641" s="29">
        <v>0</v>
      </c>
      <c r="P641" s="29">
        <v>0</v>
      </c>
      <c r="Q641" s="538">
        <f t="shared" si="214"/>
        <v>1092.5894153395484</v>
      </c>
      <c r="R641" s="64"/>
      <c r="S641" s="29">
        <v>29.736463268311809</v>
      </c>
      <c r="T641" s="29">
        <v>61.910325756040926</v>
      </c>
      <c r="U641" s="29">
        <v>0</v>
      </c>
      <c r="V641" s="29">
        <v>0</v>
      </c>
      <c r="W641" s="29">
        <v>0</v>
      </c>
      <c r="X641" s="29">
        <v>0</v>
      </c>
      <c r="Y641" s="64"/>
      <c r="Z641" s="564">
        <f>Q641+S641+T641+U641+V641+W641+X641</f>
        <v>1184.2362043639012</v>
      </c>
      <c r="AA641" s="548">
        <f>Z641/G641*100</f>
        <v>2.8356637323953287</v>
      </c>
      <c r="AB641" s="538">
        <f>Z641-J641</f>
        <v>49.264276687150868</v>
      </c>
      <c r="AC641" s="541">
        <f>AA641/I641-1</f>
        <v>4.3405722631390198E-2</v>
      </c>
      <c r="AD641" s="542"/>
      <c r="AF641" s="543"/>
      <c r="AI641" s="543"/>
      <c r="AK641" s="543"/>
      <c r="AM641" s="560"/>
    </row>
    <row r="642" spans="1:39">
      <c r="A642" s="6"/>
      <c r="C642" s="10"/>
      <c r="E642" s="30"/>
      <c r="G642" s="29"/>
      <c r="I642" s="684"/>
      <c r="J642" s="539"/>
      <c r="L642" s="29"/>
      <c r="M642" s="538"/>
      <c r="N642" s="29"/>
      <c r="O642" s="538"/>
      <c r="P642" s="29"/>
      <c r="Q642" s="538"/>
      <c r="R642" s="64"/>
      <c r="S642" s="29"/>
      <c r="T642" s="29"/>
      <c r="U642" s="538"/>
      <c r="V642" s="29"/>
      <c r="W642" s="538"/>
      <c r="X642" s="538"/>
      <c r="Y642" s="64"/>
      <c r="Z642" s="564"/>
      <c r="AA642" s="548"/>
      <c r="AB642" s="538"/>
      <c r="AC642" s="541"/>
      <c r="AD642" s="542"/>
      <c r="AF642" s="543"/>
      <c r="AI642" s="543"/>
      <c r="AK642" s="543"/>
      <c r="AM642" s="560"/>
    </row>
    <row r="643" spans="1:39">
      <c r="A643" s="6">
        <f>MAX(A$633:A642)+1</f>
        <v>297</v>
      </c>
      <c r="B643" s="58"/>
      <c r="C643" s="12" t="s">
        <v>375</v>
      </c>
      <c r="D643" s="58"/>
      <c r="E643" s="30" t="s">
        <v>262</v>
      </c>
      <c r="F643" s="58"/>
      <c r="G643" s="29">
        <v>24455.350999999999</v>
      </c>
      <c r="H643" s="58"/>
      <c r="I643" s="684">
        <v>3.0599999999999999E-2</v>
      </c>
      <c r="J643" s="539">
        <f t="shared" si="215"/>
        <v>7.4833374059999995</v>
      </c>
      <c r="K643" s="58"/>
      <c r="L643" s="29">
        <v>0</v>
      </c>
      <c r="M643" s="29">
        <v>0</v>
      </c>
      <c r="N643" s="29">
        <v>0.53442002887416529</v>
      </c>
      <c r="O643" s="29">
        <v>0</v>
      </c>
      <c r="P643" s="29">
        <v>0</v>
      </c>
      <c r="Q643" s="538">
        <f t="shared" si="214"/>
        <v>6.9489173771258343</v>
      </c>
      <c r="R643" s="564"/>
      <c r="S643" s="29">
        <v>0.12028490522992286</v>
      </c>
      <c r="T643" s="29">
        <v>0</v>
      </c>
      <c r="U643" s="29">
        <v>0</v>
      </c>
      <c r="V643" s="29">
        <v>0</v>
      </c>
      <c r="W643" s="29">
        <v>0</v>
      </c>
      <c r="X643" s="29">
        <v>0</v>
      </c>
      <c r="Y643" s="564"/>
      <c r="Z643" s="564">
        <f>Q643+S643+T643+U643+V643+W643+X643</f>
        <v>7.0692022823557572</v>
      </c>
      <c r="AA643" s="548">
        <f>Z643/G643*100</f>
        <v>2.8906566429391087E-2</v>
      </c>
      <c r="AB643" s="538">
        <f>Z643-J643</f>
        <v>-0.41413512364424232</v>
      </c>
      <c r="AC643" s="559">
        <f>AA643/I643-1</f>
        <v>-5.5340966359768373E-2</v>
      </c>
      <c r="AD643" s="542"/>
      <c r="AF643" s="543"/>
      <c r="AI643" s="543"/>
      <c r="AK643" s="543"/>
      <c r="AM643" s="560"/>
    </row>
    <row r="644" spans="1:39">
      <c r="A644" s="6">
        <f>MAX(A$633:A643)+1</f>
        <v>298</v>
      </c>
      <c r="B644" s="58"/>
      <c r="C644" s="12" t="s">
        <v>376</v>
      </c>
      <c r="D644" s="58"/>
      <c r="E644" s="30" t="s">
        <v>262</v>
      </c>
      <c r="F644" s="58"/>
      <c r="G644" s="29">
        <v>176.95000000000073</v>
      </c>
      <c r="H644" s="58"/>
      <c r="I644" s="684">
        <v>3.2397999999999998</v>
      </c>
      <c r="J644" s="539">
        <f t="shared" si="215"/>
        <v>5.7328261000000236</v>
      </c>
      <c r="K644" s="58"/>
      <c r="L644" s="29">
        <v>0.17571135000000074</v>
      </c>
      <c r="M644" s="29">
        <v>0</v>
      </c>
      <c r="N644" s="29">
        <v>3.8668684047627839E-3</v>
      </c>
      <c r="O644" s="29">
        <v>0</v>
      </c>
      <c r="P644" s="29">
        <v>0</v>
      </c>
      <c r="Q644" s="538">
        <f t="shared" si="214"/>
        <v>5.5532478815952597</v>
      </c>
      <c r="R644" s="564"/>
      <c r="S644" s="29">
        <v>0.15124051648565207</v>
      </c>
      <c r="T644" s="29">
        <v>0.26231918277222172</v>
      </c>
      <c r="U644" s="29">
        <v>0</v>
      </c>
      <c r="V644" s="29">
        <v>0</v>
      </c>
      <c r="W644" s="29">
        <v>0</v>
      </c>
      <c r="X644" s="29">
        <v>0</v>
      </c>
      <c r="Y644" s="564"/>
      <c r="Z644" s="564">
        <f>Q644+S644+T644+U644+V644+W644+X644</f>
        <v>5.9668075808531338</v>
      </c>
      <c r="AA644" s="548">
        <f>Z644/G644*100</f>
        <v>3.372030280222158</v>
      </c>
      <c r="AB644" s="538">
        <f>Z644-J644</f>
        <v>0.23398148085311021</v>
      </c>
      <c r="AC644" s="541">
        <f>AA644/I644-1</f>
        <v>4.0814334286733089E-2</v>
      </c>
      <c r="AD644" s="542"/>
      <c r="AF644" s="543"/>
      <c r="AI644" s="543"/>
      <c r="AK644" s="543"/>
      <c r="AM644" s="560"/>
    </row>
    <row r="645" spans="1:39">
      <c r="A645" s="6"/>
      <c r="C645" s="10"/>
      <c r="E645" s="30"/>
      <c r="G645" s="29"/>
      <c r="I645" s="684"/>
      <c r="J645" s="539"/>
      <c r="L645" s="538"/>
      <c r="M645" s="538"/>
      <c r="N645" s="538"/>
      <c r="O645" s="538"/>
      <c r="P645" s="538"/>
      <c r="Q645" s="538"/>
      <c r="R645" s="64"/>
      <c r="S645" s="29"/>
      <c r="T645" s="29"/>
      <c r="U645" s="538"/>
      <c r="V645" s="538"/>
      <c r="W645" s="538"/>
      <c r="X645" s="538"/>
      <c r="Y645" s="64"/>
      <c r="Z645" s="564"/>
      <c r="AA645" s="548"/>
      <c r="AB645" s="538"/>
      <c r="AC645" s="541"/>
      <c r="AD645" s="542"/>
      <c r="AF645" s="543"/>
      <c r="AI645" s="543"/>
      <c r="AK645" s="543"/>
      <c r="AM645" s="560"/>
    </row>
    <row r="646" spans="1:39">
      <c r="A646" s="6">
        <f>MAX(A$633:A645)+1</f>
        <v>299</v>
      </c>
      <c r="B646" s="58"/>
      <c r="C646" s="12" t="s">
        <v>377</v>
      </c>
      <c r="D646" s="58"/>
      <c r="E646" s="30" t="s">
        <v>331</v>
      </c>
      <c r="F646" s="58"/>
      <c r="G646" s="29">
        <v>0</v>
      </c>
      <c r="H646" s="58"/>
      <c r="I646" s="699">
        <v>3.0899999999999999E-3</v>
      </c>
      <c r="J646" s="29">
        <v>3215.4555231599979</v>
      </c>
      <c r="K646" s="58"/>
      <c r="L646" s="29">
        <v>0</v>
      </c>
      <c r="M646" s="29">
        <v>0</v>
      </c>
      <c r="N646" s="29">
        <v>0</v>
      </c>
      <c r="O646" s="29">
        <v>2139.6182019678349</v>
      </c>
      <c r="P646" s="29">
        <v>1075.8373211921632</v>
      </c>
      <c r="Q646" s="538">
        <f t="shared" si="214"/>
        <v>0</v>
      </c>
      <c r="R646" s="64"/>
      <c r="S646" s="29">
        <v>0</v>
      </c>
      <c r="T646" s="29">
        <v>0</v>
      </c>
      <c r="U646" s="29">
        <v>0</v>
      </c>
      <c r="V646" s="29">
        <v>103.04176993967982</v>
      </c>
      <c r="W646" s="29">
        <v>2610.9651036030414</v>
      </c>
      <c r="X646" s="29">
        <v>1069.9399683232759</v>
      </c>
      <c r="Y646" s="564"/>
      <c r="Z646" s="564">
        <f>Q646+S646+T646+U646+V646+W646+X646</f>
        <v>3783.9468418659972</v>
      </c>
      <c r="AA646" s="699">
        <v>3.6363108297250506E-3</v>
      </c>
      <c r="AB646" s="538">
        <f>Z646-J646</f>
        <v>568.49131870599922</v>
      </c>
      <c r="AC646" s="541">
        <f>AA646/I646-1</f>
        <v>0.17679962127024296</v>
      </c>
      <c r="AD646" s="542"/>
      <c r="AF646" s="543"/>
      <c r="AI646" s="543"/>
      <c r="AK646" s="543"/>
      <c r="AM646" s="700"/>
    </row>
    <row r="647" spans="1:39">
      <c r="A647" s="6"/>
      <c r="B647" s="58"/>
      <c r="C647" s="10"/>
      <c r="D647" s="58"/>
      <c r="E647" s="574"/>
      <c r="F647" s="58"/>
      <c r="G647" s="29"/>
      <c r="H647" s="58"/>
      <c r="I647" s="58"/>
      <c r="J647" s="539"/>
      <c r="K647" s="58"/>
      <c r="L647" s="538"/>
      <c r="M647" s="538"/>
      <c r="N647" s="538"/>
      <c r="O647" s="538"/>
      <c r="P647" s="538"/>
      <c r="Q647" s="538"/>
      <c r="R647" s="564"/>
      <c r="S647" s="564"/>
      <c r="T647" s="538"/>
      <c r="U647" s="538"/>
      <c r="V647" s="538"/>
      <c r="W647" s="538"/>
      <c r="X647" s="538"/>
      <c r="Y647" s="564"/>
      <c r="Z647" s="564"/>
      <c r="AA647" s="564"/>
      <c r="AB647" s="538"/>
      <c r="AC647" s="541"/>
      <c r="AD647" s="542"/>
      <c r="AF647" s="543"/>
      <c r="AI647" s="543"/>
      <c r="AK647" s="543"/>
      <c r="AM647" s="560"/>
    </row>
    <row r="648" spans="1:39">
      <c r="A648" s="6">
        <f>MAX(A$633:A647)+1</f>
        <v>300</v>
      </c>
      <c r="B648" s="58"/>
      <c r="C648" s="10" t="s">
        <v>378</v>
      </c>
      <c r="D648" s="58"/>
      <c r="E648" s="574"/>
      <c r="F648" s="58"/>
      <c r="G648" s="411">
        <f>G640+G641</f>
        <v>5005643.3246499998</v>
      </c>
      <c r="H648" s="58"/>
      <c r="I648" s="556">
        <f>J648/G648*100</f>
        <v>1.5021532551364056</v>
      </c>
      <c r="J648" s="554">
        <f>SUM(J634:J646)</f>
        <v>75192.434141748163</v>
      </c>
      <c r="K648" s="539"/>
      <c r="L648" s="619">
        <f t="shared" ref="L648:Q648" si="216">SUM(L634:L646)</f>
        <v>4800.1659263247493</v>
      </c>
      <c r="M648" s="619">
        <f t="shared" si="216"/>
        <v>0</v>
      </c>
      <c r="N648" s="619">
        <f t="shared" si="216"/>
        <v>109.9260462507728</v>
      </c>
      <c r="O648" s="619">
        <f t="shared" si="216"/>
        <v>2139.6182019678349</v>
      </c>
      <c r="P648" s="619">
        <f t="shared" si="216"/>
        <v>1075.8373211921632</v>
      </c>
      <c r="Q648" s="619">
        <f t="shared" si="216"/>
        <v>67066.886646012659</v>
      </c>
      <c r="R648" s="564"/>
      <c r="S648" s="619">
        <f>SUM(S634:S646)</f>
        <v>1818.3064799826418</v>
      </c>
      <c r="T648" s="619">
        <f t="shared" ref="T648:X648" si="217">SUM(T634:T646)</f>
        <v>3537.6584435522946</v>
      </c>
      <c r="U648" s="619">
        <f t="shared" si="217"/>
        <v>0</v>
      </c>
      <c r="V648" s="619">
        <f t="shared" si="217"/>
        <v>103.04176993967982</v>
      </c>
      <c r="W648" s="619">
        <f t="shared" si="217"/>
        <v>2610.9651036030414</v>
      </c>
      <c r="X648" s="619">
        <f t="shared" si="217"/>
        <v>1069.9399683232759</v>
      </c>
      <c r="Y648" s="564"/>
      <c r="Z648" s="619">
        <f>SUM(Z634:Z646)</f>
        <v>76206.798411413576</v>
      </c>
      <c r="AA648" s="556">
        <f>Z648/G648*100</f>
        <v>1.5224176687966884</v>
      </c>
      <c r="AB648" s="555">
        <f>SUM(AB634:AB646)</f>
        <v>1014.3642696654151</v>
      </c>
      <c r="AC648" s="562">
        <f>AA648/I648-1</f>
        <v>1.3490243815663439E-2</v>
      </c>
      <c r="AD648" s="542"/>
      <c r="AF648" s="543"/>
      <c r="AI648" s="543"/>
      <c r="AK648" s="543"/>
      <c r="AM648" s="560"/>
    </row>
    <row r="649" spans="1:39">
      <c r="A649" s="6"/>
      <c r="B649" s="58"/>
      <c r="D649" s="58"/>
      <c r="E649" s="574"/>
      <c r="F649" s="58"/>
      <c r="G649" s="132"/>
      <c r="H649" s="58"/>
      <c r="I649" s="58"/>
      <c r="J649" s="539"/>
      <c r="K649" s="58"/>
      <c r="L649" s="538"/>
      <c r="M649" s="538"/>
      <c r="N649" s="538"/>
      <c r="O649" s="538"/>
      <c r="P649" s="538"/>
      <c r="Q649" s="538"/>
      <c r="R649" s="564"/>
      <c r="S649" s="564"/>
      <c r="T649" s="538"/>
      <c r="U649" s="538"/>
      <c r="V649" s="538"/>
      <c r="W649" s="538"/>
      <c r="X649" s="538"/>
      <c r="Y649" s="564"/>
      <c r="Z649" s="564"/>
      <c r="AA649" s="564"/>
      <c r="AB649" s="538"/>
      <c r="AC649" s="501"/>
      <c r="AK649" s="543"/>
    </row>
    <row r="650" spans="1:39">
      <c r="A650" s="6"/>
      <c r="C650" s="521" t="s">
        <v>379</v>
      </c>
      <c r="E650" s="30"/>
      <c r="G650" s="129"/>
      <c r="J650" s="567"/>
      <c r="L650" s="538"/>
      <c r="M650" s="538"/>
      <c r="N650" s="538"/>
      <c r="O650" s="538"/>
      <c r="P650" s="538"/>
      <c r="Q650" s="538"/>
      <c r="R650" s="64"/>
      <c r="S650" s="64"/>
      <c r="T650" s="538"/>
      <c r="U650" s="538"/>
      <c r="V650" s="538"/>
      <c r="W650" s="538"/>
      <c r="X650" s="538"/>
      <c r="Y650" s="64"/>
      <c r="Z650" s="64"/>
      <c r="AA650" s="64"/>
      <c r="AB650" s="538"/>
      <c r="AC650" s="501"/>
    </row>
    <row r="651" spans="1:39">
      <c r="A651" s="6"/>
      <c r="B651" s="58"/>
      <c r="C651" s="526" t="s">
        <v>380</v>
      </c>
      <c r="D651" s="58"/>
      <c r="F651" s="58"/>
      <c r="G651" s="29"/>
      <c r="H651" s="58"/>
      <c r="I651" s="58"/>
      <c r="J651" s="539"/>
      <c r="K651" s="58"/>
      <c r="L651" s="538"/>
      <c r="M651" s="538"/>
      <c r="N651" s="538"/>
      <c r="O651" s="538"/>
      <c r="P651" s="538"/>
      <c r="Q651" s="538"/>
      <c r="R651" s="564"/>
      <c r="S651" s="564"/>
      <c r="T651" s="538"/>
      <c r="U651" s="538"/>
      <c r="V651" s="538"/>
      <c r="W651" s="538"/>
      <c r="X651" s="538"/>
      <c r="Y651" s="564"/>
      <c r="Z651" s="564"/>
      <c r="AA651" s="564"/>
      <c r="AB651" s="538"/>
      <c r="AC651" s="501"/>
    </row>
    <row r="652" spans="1:39">
      <c r="A652" s="6">
        <f>MAX(A$633:A651)+1</f>
        <v>301</v>
      </c>
      <c r="B652" s="58"/>
      <c r="C652" s="697" t="s">
        <v>381</v>
      </c>
      <c r="D652" s="58"/>
      <c r="E652" s="522" t="s">
        <v>382</v>
      </c>
      <c r="F652" s="58"/>
      <c r="G652" s="29">
        <v>113600526</v>
      </c>
      <c r="H652" s="58"/>
      <c r="I652" s="684">
        <v>1.2E-2</v>
      </c>
      <c r="J652" s="539">
        <f>G652*I652/1000</f>
        <v>1363.206312</v>
      </c>
      <c r="K652" s="58"/>
      <c r="L652" s="29">
        <v>0</v>
      </c>
      <c r="M652" s="29">
        <v>0</v>
      </c>
      <c r="N652" s="29">
        <v>0</v>
      </c>
      <c r="O652" s="29">
        <v>0</v>
      </c>
      <c r="P652" s="29">
        <v>0</v>
      </c>
      <c r="Q652" s="538">
        <f>J652-L652-M652-N652-O652-P652</f>
        <v>1363.206312</v>
      </c>
      <c r="R652" s="564"/>
      <c r="S652" s="132">
        <v>37.250003087884352</v>
      </c>
      <c r="T652" s="29">
        <v>0</v>
      </c>
      <c r="U652" s="29">
        <v>0</v>
      </c>
      <c r="V652" s="29">
        <v>0</v>
      </c>
      <c r="W652" s="29">
        <v>0</v>
      </c>
      <c r="X652" s="29">
        <v>0</v>
      </c>
      <c r="Y652" s="29"/>
      <c r="Z652" s="564">
        <f>Q652+S652+T652+U652+V652+W652+X652</f>
        <v>1400.4563150878844</v>
      </c>
      <c r="AA652" s="548">
        <f>Z652/G652*1000</f>
        <v>1.2327903438474258E-2</v>
      </c>
      <c r="AB652" s="538">
        <f>Z652-J652</f>
        <v>37.250003087884352</v>
      </c>
      <c r="AC652" s="541">
        <f>AA652/I652-1</f>
        <v>2.7325286539521487E-2</v>
      </c>
      <c r="AD652" s="542"/>
      <c r="AF652" s="543"/>
      <c r="AI652" s="543"/>
      <c r="AK652" s="543"/>
      <c r="AM652" s="560"/>
    </row>
    <row r="653" spans="1:39">
      <c r="A653" s="6"/>
      <c r="B653" s="58"/>
      <c r="C653" s="526" t="s">
        <v>383</v>
      </c>
      <c r="D653" s="58"/>
      <c r="E653" s="30"/>
      <c r="F653" s="58"/>
      <c r="G653" s="29"/>
      <c r="H653" s="58"/>
      <c r="I653" s="58"/>
      <c r="J653" s="539"/>
      <c r="K653" s="58"/>
      <c r="L653" s="538"/>
      <c r="M653" s="538"/>
      <c r="N653" s="538"/>
      <c r="O653" s="538"/>
      <c r="P653" s="538"/>
      <c r="Q653" s="538"/>
      <c r="R653" s="564"/>
      <c r="S653" s="132"/>
      <c r="T653" s="538"/>
      <c r="U653" s="538"/>
      <c r="V653" s="538"/>
      <c r="W653" s="538"/>
      <c r="X653" s="538"/>
      <c r="Y653" s="564"/>
      <c r="Z653" s="564"/>
      <c r="AA653" s="548"/>
      <c r="AB653" s="538"/>
      <c r="AC653" s="541"/>
      <c r="AD653" s="542"/>
      <c r="AF653" s="543"/>
      <c r="AI653" s="543"/>
      <c r="AK653" s="543"/>
      <c r="AM653" s="560"/>
    </row>
    <row r="654" spans="1:39">
      <c r="A654" s="6">
        <f>MAX(A$633:A653)+1</f>
        <v>302</v>
      </c>
      <c r="B654" s="58"/>
      <c r="C654" s="698" t="s">
        <v>384</v>
      </c>
      <c r="D654" s="58"/>
      <c r="E654" s="522" t="s">
        <v>382</v>
      </c>
      <c r="F654" s="58"/>
      <c r="G654" s="29">
        <v>2398062</v>
      </c>
      <c r="H654" s="58"/>
      <c r="I654" s="701">
        <v>1.8779999999999999</v>
      </c>
      <c r="J654" s="539">
        <f t="shared" ref="J654:J659" si="218">G654*I654/1000</f>
        <v>4503.5604359999998</v>
      </c>
      <c r="K654" s="58"/>
      <c r="L654" s="29">
        <v>0</v>
      </c>
      <c r="M654" s="29">
        <v>0</v>
      </c>
      <c r="N654" s="29">
        <v>0</v>
      </c>
      <c r="O654" s="29">
        <v>0</v>
      </c>
      <c r="P654" s="29">
        <v>0</v>
      </c>
      <c r="Q654" s="538">
        <f t="shared" ref="Q654:Q661" si="219">J654-L654-M654-N654-O654-P654</f>
        <v>4503.5604359999998</v>
      </c>
      <c r="R654" s="564"/>
      <c r="S654" s="132">
        <v>123.06107936175249</v>
      </c>
      <c r="T654" s="29">
        <v>0</v>
      </c>
      <c r="U654" s="29">
        <v>0</v>
      </c>
      <c r="V654" s="29">
        <v>0</v>
      </c>
      <c r="W654" s="29">
        <v>0</v>
      </c>
      <c r="X654" s="29">
        <v>0</v>
      </c>
      <c r="Y654" s="564"/>
      <c r="Z654" s="564">
        <f>Q654+S654+T654+U654+V654+W654+X654</f>
        <v>4626.6215153617522</v>
      </c>
      <c r="AA654" s="701">
        <v>1.927</v>
      </c>
      <c r="AB654" s="538">
        <f>Z654-J654</f>
        <v>123.06107936175249</v>
      </c>
      <c r="AC654" s="541">
        <f>AA654/I654-1</f>
        <v>2.6091586794462218E-2</v>
      </c>
      <c r="AD654" s="542"/>
      <c r="AF654" s="543"/>
      <c r="AI654" s="543"/>
      <c r="AK654" s="543"/>
      <c r="AM654" s="560"/>
    </row>
    <row r="655" spans="1:39" ht="24.95">
      <c r="A655" s="6">
        <f>MAX(A$633:A654)+1</f>
        <v>303</v>
      </c>
      <c r="B655" s="58"/>
      <c r="C655" s="698" t="s">
        <v>385</v>
      </c>
      <c r="D655" s="58"/>
      <c r="E655" s="522" t="s">
        <v>382</v>
      </c>
      <c r="F655" s="58"/>
      <c r="G655" s="29">
        <v>900000</v>
      </c>
      <c r="H655" s="58"/>
      <c r="I655" s="701">
        <v>1.4730000000000001</v>
      </c>
      <c r="J655" s="539">
        <f t="shared" si="218"/>
        <v>1325.7</v>
      </c>
      <c r="K655" s="58"/>
      <c r="L655" s="29">
        <v>0</v>
      </c>
      <c r="M655" s="29">
        <v>0</v>
      </c>
      <c r="N655" s="29">
        <v>0</v>
      </c>
      <c r="O655" s="29">
        <v>0</v>
      </c>
      <c r="P655" s="29">
        <v>0</v>
      </c>
      <c r="Q655" s="538">
        <f t="shared" si="219"/>
        <v>1325.7</v>
      </c>
      <c r="R655" s="564"/>
      <c r="S655" s="132">
        <v>36.225132365443642</v>
      </c>
      <c r="T655" s="29">
        <v>0</v>
      </c>
      <c r="U655" s="29">
        <v>0</v>
      </c>
      <c r="V655" s="29">
        <v>0</v>
      </c>
      <c r="W655" s="29">
        <v>0</v>
      </c>
      <c r="X655" s="29">
        <v>0</v>
      </c>
      <c r="Y655" s="564"/>
      <c r="Z655" s="564">
        <f>Q655+S655+T655+U655+V655+W655+X655</f>
        <v>1361.9251323654437</v>
      </c>
      <c r="AA655" s="701">
        <v>1.5187525197395906</v>
      </c>
      <c r="AB655" s="538">
        <f>Z655-J655</f>
        <v>36.225132365443642</v>
      </c>
      <c r="AC655" s="541">
        <f>AA655/I655-1</f>
        <v>3.1060773753964988E-2</v>
      </c>
      <c r="AD655" s="542"/>
      <c r="AF655" s="543"/>
      <c r="AI655" s="543"/>
      <c r="AK655" s="543"/>
      <c r="AM655" s="560"/>
    </row>
    <row r="656" spans="1:39">
      <c r="A656" s="6">
        <f>MAX(A$633:A655)+1</f>
        <v>304</v>
      </c>
      <c r="B656" s="58"/>
      <c r="C656" s="697" t="s">
        <v>386</v>
      </c>
      <c r="D656" s="58"/>
      <c r="E656" s="522" t="s">
        <v>382</v>
      </c>
      <c r="F656" s="58"/>
      <c r="G656" s="29">
        <v>12000</v>
      </c>
      <c r="H656" s="58"/>
      <c r="I656" s="701">
        <v>1.4730000000000001</v>
      </c>
      <c r="J656" s="539">
        <f t="shared" si="218"/>
        <v>17.675999999999998</v>
      </c>
      <c r="K656" s="58"/>
      <c r="L656" s="29">
        <v>0</v>
      </c>
      <c r="M656" s="29">
        <v>0</v>
      </c>
      <c r="N656" s="29">
        <v>0</v>
      </c>
      <c r="O656" s="29">
        <v>0</v>
      </c>
      <c r="P656" s="29">
        <v>0</v>
      </c>
      <c r="Q656" s="538">
        <f t="shared" si="219"/>
        <v>17.675999999999998</v>
      </c>
      <c r="R656" s="564"/>
      <c r="S656" s="132">
        <v>0.48300176487258284</v>
      </c>
      <c r="T656" s="29">
        <v>0</v>
      </c>
      <c r="U656" s="29">
        <v>0</v>
      </c>
      <c r="V656" s="29">
        <v>0</v>
      </c>
      <c r="W656" s="29">
        <v>0</v>
      </c>
      <c r="X656" s="29">
        <v>0</v>
      </c>
      <c r="Y656" s="564"/>
      <c r="Z656" s="564">
        <f>Q656+S656+T656+U656+V656+W656+X656</f>
        <v>18.159001764872581</v>
      </c>
      <c r="AA656" s="701">
        <v>1.5187525197395906</v>
      </c>
      <c r="AB656" s="538">
        <f>Z656-J656</f>
        <v>0.48300176487258284</v>
      </c>
      <c r="AC656" s="541">
        <f>AA656/I656-1</f>
        <v>3.1060773753964988E-2</v>
      </c>
      <c r="AD656" s="542"/>
      <c r="AF656" s="543"/>
      <c r="AI656" s="543"/>
      <c r="AK656" s="543"/>
      <c r="AM656" s="560"/>
    </row>
    <row r="657" spans="1:39">
      <c r="A657" s="6">
        <f>MAX(A$633:A656)+1</f>
        <v>305</v>
      </c>
      <c r="B657" s="58"/>
      <c r="C657" s="697" t="s">
        <v>387</v>
      </c>
      <c r="D657" s="58"/>
      <c r="E657" s="522" t="s">
        <v>382</v>
      </c>
      <c r="F657" s="58"/>
      <c r="G657" s="29">
        <v>180000</v>
      </c>
      <c r="H657" s="58"/>
      <c r="I657" s="701">
        <v>1.4730000000000001</v>
      </c>
      <c r="J657" s="539">
        <f t="shared" si="218"/>
        <v>265.14</v>
      </c>
      <c r="K657" s="58"/>
      <c r="L657" s="29">
        <v>0</v>
      </c>
      <c r="M657" s="29">
        <v>0</v>
      </c>
      <c r="N657" s="29">
        <v>0</v>
      </c>
      <c r="O657" s="29">
        <v>0</v>
      </c>
      <c r="P657" s="29">
        <v>0</v>
      </c>
      <c r="Q657" s="538">
        <f t="shared" si="219"/>
        <v>265.14</v>
      </c>
      <c r="R657" s="564"/>
      <c r="S657" s="132">
        <v>7.2450264730887284</v>
      </c>
      <c r="T657" s="29">
        <v>0</v>
      </c>
      <c r="U657" s="29">
        <v>0</v>
      </c>
      <c r="V657" s="29">
        <v>0</v>
      </c>
      <c r="W657" s="29">
        <v>0</v>
      </c>
      <c r="X657" s="29">
        <v>0</v>
      </c>
      <c r="Y657" s="564"/>
      <c r="Z657" s="564">
        <f>Q657+S657+T657+U657+V657+W657+X657</f>
        <v>272.38502647308871</v>
      </c>
      <c r="AA657" s="701">
        <v>1.5187525197395906</v>
      </c>
      <c r="AB657" s="538">
        <f>Z657-J657</f>
        <v>7.2450264730887284</v>
      </c>
      <c r="AC657" s="541">
        <f>AA657/I657-1</f>
        <v>3.1060773753964988E-2</v>
      </c>
      <c r="AD657" s="542"/>
      <c r="AF657" s="543"/>
      <c r="AI657" s="543"/>
      <c r="AK657" s="543"/>
      <c r="AM657" s="560"/>
    </row>
    <row r="658" spans="1:39">
      <c r="A658" s="6"/>
      <c r="C658" s="526" t="s">
        <v>388</v>
      </c>
      <c r="E658" s="522"/>
      <c r="G658" s="29"/>
      <c r="I658" s="701"/>
      <c r="J658" s="539"/>
      <c r="L658" s="538"/>
      <c r="M658" s="538"/>
      <c r="N658" s="538"/>
      <c r="O658" s="538"/>
      <c r="P658" s="538"/>
      <c r="Q658" s="538"/>
      <c r="R658" s="64"/>
      <c r="S658" s="130"/>
      <c r="T658" s="538"/>
      <c r="U658" s="538"/>
      <c r="V658" s="538"/>
      <c r="W658" s="538"/>
      <c r="X658" s="538"/>
      <c r="Y658" s="64"/>
      <c r="Z658" s="564"/>
      <c r="AA658" s="548"/>
      <c r="AB658" s="538"/>
      <c r="AC658" s="541"/>
      <c r="AD658" s="542"/>
      <c r="AF658" s="543"/>
      <c r="AI658" s="543"/>
      <c r="AK658" s="543"/>
      <c r="AM658" s="560"/>
    </row>
    <row r="659" spans="1:39">
      <c r="A659" s="6">
        <f>MAX(A$633:A658)+1</f>
        <v>306</v>
      </c>
      <c r="B659" s="581"/>
      <c r="C659" s="697" t="s">
        <v>389</v>
      </c>
      <c r="D659" s="581"/>
      <c r="E659" s="30" t="s">
        <v>331</v>
      </c>
      <c r="F659" s="581"/>
      <c r="G659" s="29">
        <v>31198326.559999999</v>
      </c>
      <c r="H659" s="581"/>
      <c r="I659" s="701">
        <v>1.2E-2</v>
      </c>
      <c r="J659" s="539">
        <f t="shared" si="218"/>
        <v>374.37991872000003</v>
      </c>
      <c r="K659" s="581"/>
      <c r="L659" s="29">
        <v>0</v>
      </c>
      <c r="M659" s="29">
        <v>0</v>
      </c>
      <c r="N659" s="29">
        <v>0</v>
      </c>
      <c r="O659" s="29">
        <v>0</v>
      </c>
      <c r="P659" s="29">
        <v>0</v>
      </c>
      <c r="Q659" s="538">
        <f t="shared" si="219"/>
        <v>374.37991872000003</v>
      </c>
      <c r="R659" s="582"/>
      <c r="S659" s="130">
        <v>10.230038553666759</v>
      </c>
      <c r="T659" s="29">
        <v>0</v>
      </c>
      <c r="U659" s="29">
        <v>0</v>
      </c>
      <c r="V659" s="29">
        <v>0</v>
      </c>
      <c r="W659" s="29">
        <v>0</v>
      </c>
      <c r="X659" s="29">
        <v>0</v>
      </c>
      <c r="Y659" s="582"/>
      <c r="Z659" s="564">
        <f>Q659+S659+T659+U659+V659+W659+X659</f>
        <v>384.60995727366679</v>
      </c>
      <c r="AA659" s="702">
        <f>Z659/G659*1000</f>
        <v>1.232790343847426E-2</v>
      </c>
      <c r="AB659" s="538">
        <f>Z659-J659</f>
        <v>10.230038553666759</v>
      </c>
      <c r="AC659" s="541">
        <f>AA659/I659-1</f>
        <v>2.7325286539521709E-2</v>
      </c>
      <c r="AD659" s="542"/>
      <c r="AF659" s="543"/>
      <c r="AI659" s="543"/>
      <c r="AK659" s="543"/>
      <c r="AM659" s="560"/>
    </row>
    <row r="660" spans="1:39">
      <c r="A660" s="6"/>
      <c r="B660" s="581"/>
      <c r="C660" s="697"/>
      <c r="D660" s="581"/>
      <c r="E660" s="30"/>
      <c r="F660" s="581"/>
      <c r="G660" s="29"/>
      <c r="H660" s="581"/>
      <c r="I660" s="701"/>
      <c r="J660" s="539"/>
      <c r="K660" s="581"/>
      <c r="L660" s="29"/>
      <c r="M660" s="29"/>
      <c r="N660" s="29"/>
      <c r="O660" s="29"/>
      <c r="P660" s="29"/>
      <c r="Q660" s="538"/>
      <c r="R660" s="582"/>
      <c r="S660" s="130"/>
      <c r="T660" s="29"/>
      <c r="U660" s="29"/>
      <c r="V660" s="29"/>
      <c r="W660" s="29"/>
      <c r="X660" s="29"/>
      <c r="Y660" s="582"/>
      <c r="Z660" s="564"/>
      <c r="AA660" s="702"/>
      <c r="AB660" s="538"/>
      <c r="AC660" s="541"/>
      <c r="AD660" s="542"/>
      <c r="AF660" s="543"/>
      <c r="AI660" s="543"/>
      <c r="AK660" s="543"/>
      <c r="AM660" s="560"/>
    </row>
    <row r="661" spans="1:39">
      <c r="A661" s="6">
        <f>MAX(A$633:A660)+1</f>
        <v>307</v>
      </c>
      <c r="B661" s="3"/>
      <c r="C661" s="12" t="s">
        <v>390</v>
      </c>
      <c r="D661" s="3"/>
      <c r="E661" s="30" t="s">
        <v>331</v>
      </c>
      <c r="F661" s="3"/>
      <c r="G661" s="29">
        <v>0</v>
      </c>
      <c r="H661" s="3"/>
      <c r="I661" s="699">
        <v>3.0899999999999999E-3</v>
      </c>
      <c r="J661" s="701">
        <v>737.06227340000055</v>
      </c>
      <c r="K661" s="3"/>
      <c r="L661" s="29">
        <v>0</v>
      </c>
      <c r="M661" s="29">
        <v>0</v>
      </c>
      <c r="N661" s="29">
        <v>0</v>
      </c>
      <c r="O661" s="29">
        <v>425.80073937659938</v>
      </c>
      <c r="P661" s="29">
        <v>311.26153402340117</v>
      </c>
      <c r="Q661" s="538">
        <f t="shared" si="219"/>
        <v>0</v>
      </c>
      <c r="R661" s="584"/>
      <c r="S661" s="29">
        <v>0</v>
      </c>
      <c r="T661" s="29">
        <v>0</v>
      </c>
      <c r="U661" s="29">
        <v>0</v>
      </c>
      <c r="V661" s="29">
        <v>0</v>
      </c>
      <c r="W661" s="29">
        <v>519.60245551200785</v>
      </c>
      <c r="X661" s="29">
        <v>309.55531035511177</v>
      </c>
      <c r="Y661" s="584"/>
      <c r="Z661" s="564">
        <f>Q661+S661+T661+U661+V661+W661+X661</f>
        <v>829.15776586711968</v>
      </c>
      <c r="AA661" s="699">
        <v>3.6363108297250506E-3</v>
      </c>
      <c r="AB661" s="538">
        <f>Z661-J661</f>
        <v>92.095492467119129</v>
      </c>
      <c r="AC661" s="541">
        <f>AA661/I661-1</f>
        <v>0.17679962127024296</v>
      </c>
      <c r="AD661" s="542"/>
      <c r="AF661" s="543"/>
      <c r="AI661" s="543"/>
      <c r="AK661" s="543"/>
      <c r="AM661" s="700"/>
    </row>
    <row r="662" spans="1:39">
      <c r="A662" s="6"/>
      <c r="B662" s="5"/>
      <c r="D662" s="5"/>
      <c r="E662" s="30"/>
      <c r="F662" s="5"/>
      <c r="G662" s="17"/>
      <c r="H662" s="5"/>
      <c r="I662" s="5"/>
      <c r="J662" s="5"/>
      <c r="K662" s="5"/>
      <c r="L662" s="538"/>
      <c r="M662" s="538"/>
      <c r="N662" s="538"/>
      <c r="O662" s="538"/>
      <c r="P662" s="538"/>
      <c r="Q662" s="538"/>
      <c r="R662" s="585"/>
      <c r="S662" s="675"/>
      <c r="T662" s="538"/>
      <c r="U662" s="538"/>
      <c r="V662" s="538"/>
      <c r="W662" s="538"/>
      <c r="X662" s="538"/>
      <c r="Y662" s="585"/>
      <c r="Z662" s="585"/>
      <c r="AA662" s="585"/>
      <c r="AB662" s="538"/>
      <c r="AC662" s="541"/>
      <c r="AD662" s="542"/>
      <c r="AF662" s="543"/>
      <c r="AI662" s="543"/>
      <c r="AK662" s="543"/>
      <c r="AM662" s="560"/>
    </row>
    <row r="663" spans="1:39">
      <c r="A663" s="6">
        <f>MAX(A$633:A662)+1</f>
        <v>308</v>
      </c>
      <c r="B663" s="58"/>
      <c r="C663" s="10" t="s">
        <v>391</v>
      </c>
      <c r="D663" s="58"/>
      <c r="E663" s="6"/>
      <c r="F663" s="58"/>
      <c r="G663" s="703">
        <f>G648</f>
        <v>5005643.3246499998</v>
      </c>
      <c r="H663" s="58"/>
      <c r="I663" s="556">
        <f>J663/G663*100</f>
        <v>0.17154088661961137</v>
      </c>
      <c r="J663" s="554">
        <f>SUM(J652:J661)</f>
        <v>8586.7249401200006</v>
      </c>
      <c r="K663" s="58"/>
      <c r="L663" s="555">
        <f t="shared" ref="L663:Q663" si="220">SUM(L652:L661)</f>
        <v>0</v>
      </c>
      <c r="M663" s="555">
        <f t="shared" si="220"/>
        <v>0</v>
      </c>
      <c r="N663" s="555">
        <f t="shared" si="220"/>
        <v>0</v>
      </c>
      <c r="O663" s="555">
        <f t="shared" si="220"/>
        <v>425.80073937659938</v>
      </c>
      <c r="P663" s="555">
        <f t="shared" si="220"/>
        <v>311.26153402340117</v>
      </c>
      <c r="Q663" s="555">
        <f t="shared" si="220"/>
        <v>7849.6626667200007</v>
      </c>
      <c r="R663" s="538"/>
      <c r="S663" s="131">
        <f t="shared" ref="S663:X663" si="221">SUM(S652:S661)</f>
        <v>214.49428160670857</v>
      </c>
      <c r="T663" s="131">
        <f t="shared" si="221"/>
        <v>0</v>
      </c>
      <c r="U663" s="131">
        <f t="shared" si="221"/>
        <v>0</v>
      </c>
      <c r="V663" s="131">
        <f t="shared" si="221"/>
        <v>0</v>
      </c>
      <c r="W663" s="131">
        <f t="shared" si="221"/>
        <v>519.60245551200785</v>
      </c>
      <c r="X663" s="131">
        <f t="shared" si="221"/>
        <v>309.55531035511177</v>
      </c>
      <c r="Y663" s="132"/>
      <c r="Z663" s="619">
        <f>SUM(Z652:Z661)</f>
        <v>8893.314714193828</v>
      </c>
      <c r="AA663" s="556">
        <f>Z663/G663*100</f>
        <v>0.17766576916096311</v>
      </c>
      <c r="AB663" s="555">
        <f>SUM(AB652:AB661)</f>
        <v>306.5897740738277</v>
      </c>
      <c r="AC663" s="562">
        <f>AA663/I663-1</f>
        <v>3.5705088518829697E-2</v>
      </c>
      <c r="AD663" s="542"/>
      <c r="AF663" s="543"/>
      <c r="AI663" s="543"/>
      <c r="AK663" s="543"/>
      <c r="AM663" s="560"/>
    </row>
    <row r="664" spans="1:39">
      <c r="A664" s="6"/>
      <c r="B664" s="58"/>
      <c r="C664" s="10"/>
      <c r="D664" s="58"/>
      <c r="E664" s="6"/>
      <c r="F664" s="58"/>
      <c r="G664" s="6"/>
      <c r="H664" s="58"/>
      <c r="I664" s="58"/>
      <c r="J664" s="58"/>
      <c r="K664" s="58"/>
      <c r="L664" s="538"/>
      <c r="M664" s="538"/>
      <c r="N664" s="538"/>
      <c r="O664" s="538"/>
      <c r="P664" s="538"/>
      <c r="Q664" s="538"/>
      <c r="R664" s="564"/>
      <c r="S664" s="132"/>
      <c r="T664" s="538"/>
      <c r="U664" s="538"/>
      <c r="V664" s="538"/>
      <c r="W664" s="538"/>
      <c r="X664" s="538"/>
      <c r="Y664" s="564"/>
      <c r="Z664" s="564"/>
      <c r="AA664" s="564"/>
      <c r="AB664" s="538"/>
      <c r="AC664" s="501"/>
      <c r="AF664" s="543"/>
      <c r="AI664" s="543"/>
      <c r="AK664" s="543"/>
      <c r="AM664" s="560"/>
    </row>
    <row r="665" spans="1:39" ht="12.95" thickBot="1">
      <c r="A665" s="6">
        <f>MAX(A$633:A664)+1</f>
        <v>309</v>
      </c>
      <c r="B665" s="58"/>
      <c r="C665" s="10" t="s">
        <v>395</v>
      </c>
      <c r="D665" s="58"/>
      <c r="E665" s="574"/>
      <c r="F665" s="58"/>
      <c r="G665" s="439">
        <f>G663</f>
        <v>5005643.3246499998</v>
      </c>
      <c r="H665" s="58"/>
      <c r="I665" s="572">
        <f>J665/G665*100</f>
        <v>1.6736941417560169</v>
      </c>
      <c r="J665" s="627">
        <f>J648+J663</f>
        <v>83779.159081868158</v>
      </c>
      <c r="K665" s="539"/>
      <c r="L665" s="628">
        <f t="shared" ref="L665:Q665" si="222">L648+L663</f>
        <v>4800.1659263247493</v>
      </c>
      <c r="M665" s="628">
        <f t="shared" si="222"/>
        <v>0</v>
      </c>
      <c r="N665" s="628">
        <f t="shared" si="222"/>
        <v>109.9260462507728</v>
      </c>
      <c r="O665" s="628">
        <f t="shared" si="222"/>
        <v>2565.4189413444342</v>
      </c>
      <c r="P665" s="628">
        <f t="shared" si="222"/>
        <v>1387.0988552155645</v>
      </c>
      <c r="Q665" s="628">
        <f t="shared" si="222"/>
        <v>74916.549312732663</v>
      </c>
      <c r="R665" s="564"/>
      <c r="S665" s="628">
        <f t="shared" ref="S665:X665" si="223">S648+S663</f>
        <v>2032.8007615893503</v>
      </c>
      <c r="T665" s="628">
        <f t="shared" si="223"/>
        <v>3537.6584435522946</v>
      </c>
      <c r="U665" s="628">
        <f t="shared" si="223"/>
        <v>0</v>
      </c>
      <c r="V665" s="628">
        <f t="shared" si="223"/>
        <v>103.04176993967982</v>
      </c>
      <c r="W665" s="628">
        <f t="shared" si="223"/>
        <v>3130.5675591150493</v>
      </c>
      <c r="X665" s="628">
        <f t="shared" si="223"/>
        <v>1379.4952786783876</v>
      </c>
      <c r="Y665" s="564"/>
      <c r="Z665" s="628">
        <f>Z648+Z663</f>
        <v>85100.1131256074</v>
      </c>
      <c r="AA665" s="572">
        <f>Z665/G665*100</f>
        <v>1.7000834379576515</v>
      </c>
      <c r="AB665" s="587">
        <f>AB648+AB663</f>
        <v>1320.9540437392429</v>
      </c>
      <c r="AC665" s="573">
        <f>AA665/I665-1</f>
        <v>1.5767095996373159E-2</v>
      </c>
      <c r="AD665" s="542"/>
      <c r="AF665" s="543"/>
      <c r="AI665" s="543"/>
      <c r="AK665" s="543"/>
      <c r="AM665" s="560"/>
    </row>
    <row r="666" spans="1:39" ht="13.5" thickTop="1">
      <c r="A666" s="6"/>
      <c r="B666" s="58"/>
      <c r="C666" s="9"/>
      <c r="D666" s="58"/>
      <c r="E666" s="128"/>
      <c r="F666" s="58"/>
      <c r="G666" s="575"/>
      <c r="H666" s="58"/>
      <c r="I666" s="58"/>
      <c r="J666" s="58"/>
      <c r="K666" s="58"/>
      <c r="L666" s="538"/>
      <c r="M666" s="538"/>
      <c r="N666" s="538"/>
      <c r="O666" s="538"/>
      <c r="P666" s="538"/>
      <c r="Q666" s="538"/>
      <c r="R666" s="564"/>
      <c r="S666" s="564"/>
      <c r="T666" s="538"/>
      <c r="U666" s="538"/>
      <c r="V666" s="538"/>
      <c r="W666" s="538"/>
      <c r="X666" s="538"/>
      <c r="Y666" s="564"/>
      <c r="Z666" s="564"/>
      <c r="AA666" s="564"/>
      <c r="AB666" s="538"/>
      <c r="AC666" s="501"/>
    </row>
    <row r="667" spans="1:39" ht="12.95">
      <c r="A667" s="6"/>
      <c r="B667" s="58"/>
      <c r="C667" s="9"/>
      <c r="D667" s="58"/>
      <c r="E667" s="128"/>
      <c r="F667" s="58"/>
      <c r="G667" s="575"/>
      <c r="H667" s="58"/>
      <c r="I667" s="58"/>
      <c r="J667" s="58"/>
      <c r="K667" s="58"/>
      <c r="L667" s="538"/>
      <c r="M667" s="538"/>
      <c r="N667" s="538"/>
      <c r="O667" s="538"/>
      <c r="P667" s="538"/>
      <c r="Q667" s="538"/>
      <c r="R667" s="564"/>
      <c r="S667" s="564"/>
      <c r="T667" s="538"/>
      <c r="U667" s="538"/>
      <c r="V667" s="538"/>
      <c r="W667" s="538"/>
      <c r="X667" s="538"/>
      <c r="Y667" s="564"/>
      <c r="Z667" s="564"/>
      <c r="AA667" s="564"/>
      <c r="AB667" s="538"/>
      <c r="AC667" s="501"/>
    </row>
    <row r="668" spans="1:39" ht="12.95">
      <c r="A668" s="6"/>
      <c r="B668" s="58"/>
      <c r="C668" s="9"/>
      <c r="D668" s="58"/>
      <c r="E668" s="128"/>
      <c r="F668" s="58"/>
      <c r="G668" s="575"/>
      <c r="H668" s="58"/>
      <c r="I668" s="58"/>
      <c r="J668" s="58"/>
      <c r="K668" s="58"/>
      <c r="L668" s="538"/>
      <c r="M668" s="538"/>
      <c r="N668" s="538"/>
      <c r="O668" s="538"/>
      <c r="P668" s="538"/>
      <c r="Q668" s="538"/>
      <c r="R668" s="564"/>
      <c r="S668" s="564"/>
      <c r="T668" s="538"/>
      <c r="U668" s="538"/>
      <c r="V668" s="538"/>
      <c r="W668" s="538"/>
      <c r="X668" s="538"/>
      <c r="Y668" s="564"/>
      <c r="Z668" s="564"/>
      <c r="AA668" s="564"/>
      <c r="AB668" s="538"/>
      <c r="AC668" s="501"/>
    </row>
    <row r="669" spans="1:39" ht="12.95">
      <c r="A669" s="6"/>
      <c r="B669" s="58"/>
      <c r="C669" s="9"/>
      <c r="D669" s="58"/>
      <c r="E669" s="128"/>
      <c r="F669" s="58"/>
      <c r="G669" s="575"/>
      <c r="H669" s="58"/>
      <c r="I669" s="58"/>
      <c r="J669" s="58"/>
      <c r="K669" s="58"/>
      <c r="L669" s="538"/>
      <c r="M669" s="538"/>
      <c r="N669" s="538"/>
      <c r="O669" s="538"/>
      <c r="P669" s="538"/>
      <c r="Q669" s="538"/>
      <c r="R669" s="564"/>
      <c r="S669" s="564"/>
      <c r="T669" s="538"/>
      <c r="U669" s="538"/>
      <c r="V669" s="538"/>
      <c r="W669" s="538"/>
      <c r="X669" s="538"/>
      <c r="Y669" s="564"/>
      <c r="Z669" s="564"/>
      <c r="AA669" s="564"/>
      <c r="AB669" s="538"/>
      <c r="AC669" s="501"/>
    </row>
    <row r="670" spans="1:39" ht="12.95">
      <c r="A670" s="6"/>
      <c r="B670" s="58"/>
      <c r="C670" s="9"/>
      <c r="D670" s="58"/>
      <c r="E670" s="128"/>
      <c r="F670" s="58"/>
      <c r="G670" s="575"/>
      <c r="H670" s="58"/>
      <c r="I670" s="58"/>
      <c r="J670" s="58"/>
      <c r="K670" s="58"/>
      <c r="L670" s="538"/>
      <c r="M670" s="538"/>
      <c r="N670" s="538"/>
      <c r="O670" s="538"/>
      <c r="P670" s="538"/>
      <c r="Q670" s="538"/>
      <c r="R670" s="564"/>
      <c r="S670" s="564"/>
      <c r="T670" s="538"/>
      <c r="U670" s="538"/>
      <c r="V670" s="538"/>
      <c r="W670" s="538"/>
      <c r="X670" s="538"/>
      <c r="Y670" s="564"/>
      <c r="Z670" s="564"/>
      <c r="AA670" s="564"/>
      <c r="AB670" s="538"/>
      <c r="AC670" s="501"/>
    </row>
    <row r="671" spans="1:39" ht="12.95">
      <c r="A671" s="6"/>
      <c r="B671" s="58"/>
      <c r="C671" s="9"/>
      <c r="D671" s="58"/>
      <c r="E671" s="128"/>
      <c r="F671" s="58"/>
      <c r="G671" s="575"/>
      <c r="H671" s="58"/>
      <c r="I671" s="58"/>
      <c r="J671" s="58"/>
      <c r="K671" s="58"/>
      <c r="L671" s="538"/>
      <c r="M671" s="538"/>
      <c r="N671" s="538"/>
      <c r="O671" s="538"/>
      <c r="P671" s="538"/>
      <c r="Q671" s="538"/>
      <c r="R671" s="564"/>
      <c r="S671" s="564"/>
      <c r="T671" s="538"/>
      <c r="U671" s="538"/>
      <c r="V671" s="538"/>
      <c r="W671" s="538"/>
      <c r="X671" s="538"/>
      <c r="Y671" s="564"/>
      <c r="Z671" s="564"/>
      <c r="AA671" s="564"/>
      <c r="AB671" s="538"/>
      <c r="AC671" s="501"/>
    </row>
    <row r="672" spans="1:39" ht="12.95">
      <c r="A672" s="6"/>
      <c r="B672" s="58"/>
      <c r="C672" s="9"/>
      <c r="D672" s="58"/>
      <c r="E672" s="128"/>
      <c r="F672" s="58"/>
      <c r="G672" s="575"/>
      <c r="H672" s="58"/>
      <c r="I672" s="58"/>
      <c r="J672" s="58"/>
      <c r="K672" s="58"/>
      <c r="L672" s="538"/>
      <c r="M672" s="538"/>
      <c r="N672" s="538"/>
      <c r="O672" s="538"/>
      <c r="P672" s="538"/>
      <c r="Q672" s="538"/>
      <c r="R672" s="564"/>
      <c r="S672" s="564"/>
      <c r="T672" s="538"/>
      <c r="U672" s="538"/>
      <c r="V672" s="538"/>
      <c r="W672" s="538"/>
      <c r="X672" s="538"/>
      <c r="Y672" s="564"/>
      <c r="Z672" s="564"/>
      <c r="AA672" s="564"/>
      <c r="AB672" s="538"/>
      <c r="AC672" s="501"/>
    </row>
    <row r="673" spans="1:39" ht="12.95">
      <c r="A673" s="6"/>
      <c r="B673" s="58"/>
      <c r="C673" s="9"/>
      <c r="D673" s="58"/>
      <c r="E673" s="128"/>
      <c r="F673" s="58"/>
      <c r="G673" s="575"/>
      <c r="H673" s="58"/>
      <c r="I673" s="58"/>
      <c r="J673" s="58"/>
      <c r="K673" s="58"/>
      <c r="L673" s="538"/>
      <c r="M673" s="538"/>
      <c r="N673" s="538"/>
      <c r="O673" s="538"/>
      <c r="P673" s="538"/>
      <c r="Q673" s="538"/>
      <c r="R673" s="564"/>
      <c r="S673" s="564"/>
      <c r="T673" s="538"/>
      <c r="U673" s="538"/>
      <c r="V673" s="538"/>
      <c r="W673" s="538"/>
      <c r="X673" s="538"/>
      <c r="Y673" s="564"/>
      <c r="Z673" s="564"/>
      <c r="AA673" s="564"/>
      <c r="AB673" s="538"/>
      <c r="AC673" s="501"/>
    </row>
    <row r="674" spans="1:39">
      <c r="A674" s="1156" t="s">
        <v>279</v>
      </c>
      <c r="B674" s="1156"/>
      <c r="C674" s="1156"/>
      <c r="D674" s="1156"/>
      <c r="E674" s="1156"/>
      <c r="F674" s="1156"/>
      <c r="G674" s="1156"/>
      <c r="H674" s="1156"/>
      <c r="I674" s="1156"/>
      <c r="J674" s="1156"/>
      <c r="K674" s="1156"/>
      <c r="L674" s="1156"/>
      <c r="M674" s="1156"/>
      <c r="N674" s="1156"/>
      <c r="O674" s="1156"/>
      <c r="P674" s="1156"/>
      <c r="Q674" s="1156"/>
      <c r="R674" s="1156"/>
      <c r="S674" s="1156"/>
      <c r="T674" s="1156"/>
      <c r="U674" s="1156"/>
      <c r="V674" s="1156"/>
      <c r="W674" s="1156"/>
      <c r="X674" s="1156"/>
      <c r="Y674" s="1156"/>
      <c r="Z674" s="1156"/>
      <c r="AA674" s="1156"/>
      <c r="AB674" s="1156"/>
      <c r="AC674" s="1156"/>
    </row>
    <row r="675" spans="1:39">
      <c r="A675" s="57"/>
      <c r="B675" s="57"/>
      <c r="C675" s="57"/>
      <c r="D675" s="57"/>
      <c r="E675" s="3"/>
      <c r="F675" s="57"/>
      <c r="G675" s="3"/>
      <c r="H675" s="57"/>
      <c r="I675" s="57"/>
      <c r="J675" s="57"/>
      <c r="K675" s="57"/>
      <c r="L675" s="57"/>
      <c r="M675" s="57"/>
      <c r="N675" s="4"/>
      <c r="O675" s="4"/>
      <c r="P675" s="501"/>
      <c r="Q675" s="501"/>
      <c r="R675" s="57"/>
      <c r="S675" s="57"/>
      <c r="T675" s="501"/>
      <c r="U675" s="501"/>
      <c r="V675" s="501"/>
      <c r="W675" s="501"/>
      <c r="X675" s="501"/>
      <c r="Y675" s="57"/>
      <c r="Z675" s="57"/>
      <c r="AA675" s="57"/>
      <c r="AB675" s="501"/>
      <c r="AC675" s="501"/>
    </row>
    <row r="676" spans="1:39">
      <c r="A676" s="3"/>
      <c r="B676" s="3"/>
      <c r="C676" s="3"/>
      <c r="D676" s="3"/>
      <c r="E676" s="57"/>
      <c r="F676" s="3"/>
      <c r="G676" s="1152" t="str">
        <f>G628</f>
        <v>Current Approved Revenue</v>
      </c>
      <c r="H676" s="1152"/>
      <c r="I676" s="1152"/>
      <c r="J676" s="1152"/>
      <c r="K676" s="3"/>
      <c r="L676" s="1152" t="str">
        <f>L628</f>
        <v>Adjustments to 2023 Base Rates</v>
      </c>
      <c r="M676" s="1152"/>
      <c r="N676" s="1152"/>
      <c r="O676" s="1152"/>
      <c r="P676" s="1152"/>
      <c r="Q676" s="58"/>
      <c r="R676" s="3"/>
      <c r="S676" s="1152" t="str">
        <f>S628</f>
        <v>Adjustments to 2024 Base Rates</v>
      </c>
      <c r="T676" s="1152"/>
      <c r="U676" s="1152"/>
      <c r="V676" s="1152"/>
      <c r="W676" s="1152"/>
      <c r="X676" s="1152"/>
      <c r="Y676" s="3"/>
      <c r="Z676" s="1152" t="str">
        <f>Z628</f>
        <v>2024 Proposed Revenue</v>
      </c>
      <c r="AA676" s="1152"/>
      <c r="AB676" s="1152"/>
      <c r="AC676" s="1152"/>
    </row>
    <row r="677" spans="1:39" ht="37.5">
      <c r="A677" s="5" t="s">
        <v>56</v>
      </c>
      <c r="B677" s="5"/>
      <c r="C677" s="5"/>
      <c r="D677" s="5"/>
      <c r="E677" s="6" t="s">
        <v>233</v>
      </c>
      <c r="F677" s="5"/>
      <c r="G677" s="17" t="s">
        <v>234</v>
      </c>
      <c r="H677" s="5"/>
      <c r="I677" s="17" t="s">
        <v>235</v>
      </c>
      <c r="J677" s="17" t="s">
        <v>101</v>
      </c>
      <c r="K677" s="5"/>
      <c r="L677" s="17" t="s">
        <v>106</v>
      </c>
      <c r="M677" s="17" t="s">
        <v>236</v>
      </c>
      <c r="N677" s="5" t="s">
        <v>237</v>
      </c>
      <c r="O677" s="5" t="s">
        <v>109</v>
      </c>
      <c r="P677" s="5" t="s">
        <v>238</v>
      </c>
      <c r="Q677" s="5" t="s">
        <v>239</v>
      </c>
      <c r="R677" s="5"/>
      <c r="S677" s="5" t="s">
        <v>240</v>
      </c>
      <c r="T677" s="17" t="s">
        <v>106</v>
      </c>
      <c r="U677" s="17" t="s">
        <v>236</v>
      </c>
      <c r="V677" s="5" t="s">
        <v>237</v>
      </c>
      <c r="W677" s="5" t="s">
        <v>109</v>
      </c>
      <c r="X677" s="5" t="s">
        <v>238</v>
      </c>
      <c r="Y677" s="5"/>
      <c r="Z677" s="17" t="s">
        <v>241</v>
      </c>
      <c r="AA677" s="17" t="s">
        <v>242</v>
      </c>
      <c r="AB677" s="17" t="s">
        <v>243</v>
      </c>
      <c r="AC677" s="5" t="s">
        <v>244</v>
      </c>
    </row>
    <row r="678" spans="1:39" ht="14.45">
      <c r="A678" s="237" t="s">
        <v>57</v>
      </c>
      <c r="B678" s="58"/>
      <c r="C678" s="59" t="s">
        <v>194</v>
      </c>
      <c r="D678" s="58"/>
      <c r="E678" s="237" t="s">
        <v>245</v>
      </c>
      <c r="F678" s="58"/>
      <c r="G678" s="237" t="s">
        <v>246</v>
      </c>
      <c r="H678" s="58"/>
      <c r="I678" s="237" t="s">
        <v>247</v>
      </c>
      <c r="J678" s="237" t="s">
        <v>248</v>
      </c>
      <c r="K678" s="58"/>
      <c r="L678" s="237" t="s">
        <v>248</v>
      </c>
      <c r="M678" s="237" t="s">
        <v>248</v>
      </c>
      <c r="N678" s="237" t="s">
        <v>248</v>
      </c>
      <c r="O678" s="237" t="s">
        <v>248</v>
      </c>
      <c r="P678" s="237" t="s">
        <v>248</v>
      </c>
      <c r="Q678" s="237" t="s">
        <v>248</v>
      </c>
      <c r="R678" s="58"/>
      <c r="S678" s="237" t="s">
        <v>248</v>
      </c>
      <c r="T678" s="237" t="s">
        <v>248</v>
      </c>
      <c r="U678" s="237" t="s">
        <v>248</v>
      </c>
      <c r="V678" s="237" t="s">
        <v>248</v>
      </c>
      <c r="W678" s="237" t="s">
        <v>248</v>
      </c>
      <c r="X678" s="237" t="s">
        <v>248</v>
      </c>
      <c r="Y678" s="58"/>
      <c r="Z678" s="237" t="s">
        <v>248</v>
      </c>
      <c r="AA678" s="237" t="s">
        <v>247</v>
      </c>
      <c r="AB678" s="237" t="s">
        <v>248</v>
      </c>
      <c r="AC678" s="237" t="s">
        <v>249</v>
      </c>
    </row>
    <row r="679" spans="1:39">
      <c r="A679" s="6"/>
      <c r="B679" s="58"/>
      <c r="C679" s="58"/>
      <c r="D679" s="58"/>
      <c r="E679" s="6"/>
      <c r="F679" s="58"/>
      <c r="G679" s="6" t="s">
        <v>9</v>
      </c>
      <c r="H679" s="6"/>
      <c r="I679" s="6" t="s">
        <v>10</v>
      </c>
      <c r="J679" s="6" t="s">
        <v>58</v>
      </c>
      <c r="K679" s="6"/>
      <c r="L679" s="123" t="s">
        <v>12</v>
      </c>
      <c r="M679" s="123" t="s">
        <v>13</v>
      </c>
      <c r="N679" s="123" t="s">
        <v>115</v>
      </c>
      <c r="O679" s="123" t="s">
        <v>209</v>
      </c>
      <c r="P679" s="6" t="s">
        <v>210</v>
      </c>
      <c r="Q679" s="6" t="s">
        <v>250</v>
      </c>
      <c r="R679" s="6"/>
      <c r="S679" s="6" t="s">
        <v>251</v>
      </c>
      <c r="T679" s="6" t="s">
        <v>120</v>
      </c>
      <c r="U679" s="6" t="s">
        <v>121</v>
      </c>
      <c r="V679" s="6" t="s">
        <v>122</v>
      </c>
      <c r="W679" s="6" t="s">
        <v>252</v>
      </c>
      <c r="X679" s="6" t="s">
        <v>253</v>
      </c>
      <c r="Y679" s="6"/>
      <c r="Z679" s="6" t="s">
        <v>254</v>
      </c>
      <c r="AA679" s="6" t="s">
        <v>255</v>
      </c>
      <c r="AB679" s="6" t="s">
        <v>256</v>
      </c>
      <c r="AC679" s="6" t="s">
        <v>257</v>
      </c>
    </row>
    <row r="680" spans="1:39">
      <c r="A680" s="6"/>
      <c r="B680" s="58"/>
      <c r="C680" s="58"/>
      <c r="D680" s="58"/>
      <c r="E680" s="6"/>
      <c r="F680" s="58"/>
      <c r="G680" s="6"/>
      <c r="H680" s="6"/>
      <c r="I680" s="6"/>
      <c r="J680" s="6"/>
      <c r="K680" s="6"/>
      <c r="L680" s="123"/>
      <c r="M680" s="123"/>
      <c r="N680" s="123"/>
      <c r="O680" s="123"/>
      <c r="P680" s="6"/>
      <c r="Q680" s="6"/>
      <c r="R680" s="6"/>
      <c r="S680" s="6"/>
      <c r="T680" s="6"/>
      <c r="U680" s="6"/>
      <c r="V680" s="6"/>
      <c r="W680" s="6"/>
      <c r="X680" s="6"/>
      <c r="Y680" s="6"/>
      <c r="Z680" s="6"/>
      <c r="AA680" s="6"/>
      <c r="AB680" s="6"/>
      <c r="AC680" s="6"/>
    </row>
    <row r="681" spans="1:39">
      <c r="A681" s="6"/>
      <c r="C681" s="9" t="s">
        <v>154</v>
      </c>
      <c r="E681" s="30"/>
      <c r="G681" s="29"/>
      <c r="L681" s="538"/>
      <c r="M681" s="538"/>
      <c r="N681" s="538"/>
      <c r="O681" s="538"/>
      <c r="P681" s="538"/>
      <c r="Q681" s="538"/>
      <c r="R681" s="64"/>
      <c r="S681" s="64"/>
      <c r="T681" s="538"/>
      <c r="U681" s="538"/>
      <c r="V681" s="538"/>
      <c r="W681" s="538"/>
      <c r="X681" s="538"/>
      <c r="Y681" s="64"/>
      <c r="Z681" s="64"/>
      <c r="AA681" s="64"/>
      <c r="AB681" s="538"/>
      <c r="AC681" s="501"/>
    </row>
    <row r="682" spans="1:39">
      <c r="A682" s="6">
        <v>310</v>
      </c>
      <c r="B682" s="58"/>
      <c r="C682" s="10" t="s">
        <v>258</v>
      </c>
      <c r="D682" s="58"/>
      <c r="E682" s="6" t="s">
        <v>366</v>
      </c>
      <c r="F682" s="58"/>
      <c r="G682" s="29">
        <v>12.000000000000004</v>
      </c>
      <c r="H682" s="58"/>
      <c r="I682" s="537">
        <v>22703.73</v>
      </c>
      <c r="J682" s="539">
        <f>G682*I682/1000</f>
        <v>272.44476000000009</v>
      </c>
      <c r="K682" s="58"/>
      <c r="L682" s="29">
        <v>0</v>
      </c>
      <c r="M682" s="29">
        <v>0</v>
      </c>
      <c r="N682" s="29">
        <v>0</v>
      </c>
      <c r="O682" s="29">
        <v>0</v>
      </c>
      <c r="P682" s="29">
        <v>0</v>
      </c>
      <c r="Q682" s="538">
        <f>J682-L682-M682-N682-O682-P682</f>
        <v>272.44476000000009</v>
      </c>
      <c r="R682" s="564"/>
      <c r="S682" s="29">
        <v>7.4446311331911375</v>
      </c>
      <c r="T682" s="29">
        <v>0</v>
      </c>
      <c r="U682" s="29">
        <v>0</v>
      </c>
      <c r="V682" s="29">
        <v>0</v>
      </c>
      <c r="W682" s="29">
        <v>0</v>
      </c>
      <c r="X682" s="29">
        <v>0</v>
      </c>
      <c r="Y682" s="564"/>
      <c r="Z682" s="564">
        <f>Q682+S682+T682+U682+V682+W682+X682</f>
        <v>279.88939113319122</v>
      </c>
      <c r="AA682" s="540">
        <f>Z682/G682*1000</f>
        <v>23324.115927765928</v>
      </c>
      <c r="AB682" s="538">
        <f>Z682-J682</f>
        <v>7.4446311331911375</v>
      </c>
      <c r="AC682" s="541">
        <f>AA682/I682-1</f>
        <v>2.7325286539521487E-2</v>
      </c>
      <c r="AD682" s="542"/>
      <c r="AF682" s="543"/>
      <c r="AI682" s="543"/>
      <c r="AK682" s="543"/>
      <c r="AM682" s="560"/>
    </row>
    <row r="683" spans="1:39" ht="14.45">
      <c r="A683" s="6"/>
      <c r="B683" s="58"/>
      <c r="C683" s="10" t="s">
        <v>367</v>
      </c>
      <c r="D683" s="58"/>
      <c r="E683" s="6"/>
      <c r="F683" s="58"/>
      <c r="G683" s="29"/>
      <c r="H683" s="58"/>
      <c r="I683" s="537"/>
      <c r="J683" s="539"/>
      <c r="K683" s="58"/>
      <c r="L683" s="29"/>
      <c r="M683" s="29"/>
      <c r="N683" s="29"/>
      <c r="O683" s="29"/>
      <c r="P683" s="29"/>
      <c r="Q683" s="538"/>
      <c r="R683" s="564"/>
      <c r="S683" s="29"/>
      <c r="T683" s="29"/>
      <c r="U683" s="29"/>
      <c r="V683" s="29"/>
      <c r="W683" s="29"/>
      <c r="X683" s="29"/>
      <c r="Y683" s="564"/>
      <c r="Z683" s="564"/>
      <c r="AA683" s="540"/>
      <c r="AB683" s="538"/>
      <c r="AC683" s="541"/>
      <c r="AD683" s="542"/>
      <c r="AF683" s="543"/>
      <c r="AI683" s="543"/>
      <c r="AK683" s="543"/>
      <c r="AM683" s="560"/>
    </row>
    <row r="684" spans="1:39">
      <c r="A684" s="6">
        <f>MAX(A$681:A683)+1</f>
        <v>311</v>
      </c>
      <c r="B684" s="58"/>
      <c r="C684" s="526" t="s">
        <v>368</v>
      </c>
      <c r="D684" s="58"/>
      <c r="E684" s="522" t="s">
        <v>370</v>
      </c>
      <c r="F684" s="58"/>
      <c r="G684" s="29">
        <v>28200</v>
      </c>
      <c r="H684" s="58"/>
      <c r="I684" s="684">
        <v>20.7133</v>
      </c>
      <c r="J684" s="539">
        <f>G684*I684/100</f>
        <v>5841.1506000000008</v>
      </c>
      <c r="K684" s="58"/>
      <c r="L684" s="29">
        <v>106.2576</v>
      </c>
      <c r="M684" s="29">
        <v>0</v>
      </c>
      <c r="N684" s="29">
        <v>0</v>
      </c>
      <c r="O684" s="29">
        <v>0</v>
      </c>
      <c r="P684" s="29">
        <v>0</v>
      </c>
      <c r="Q684" s="538">
        <f t="shared" ref="Q684:Q687" si="224">J684-L684-M684-N684-O684-P684</f>
        <v>5734.8930000000009</v>
      </c>
      <c r="R684" s="564"/>
      <c r="S684" s="29">
        <v>156.70759449849629</v>
      </c>
      <c r="T684" s="29">
        <v>111.50384979625936</v>
      </c>
      <c r="U684" s="29">
        <v>0</v>
      </c>
      <c r="V684" s="29">
        <v>0</v>
      </c>
      <c r="W684" s="29">
        <v>0</v>
      </c>
      <c r="X684" s="29">
        <v>0</v>
      </c>
      <c r="Y684" s="564"/>
      <c r="Z684" s="564">
        <f>Q684+S684+T684+U684+V684+W684+X684</f>
        <v>6003.1044442947568</v>
      </c>
      <c r="AA684" s="548">
        <f>Z684/G684*100</f>
        <v>21.287604412392756</v>
      </c>
      <c r="AB684" s="538">
        <f>Z684-J684</f>
        <v>161.95384429475598</v>
      </c>
      <c r="AC684" s="541">
        <f>AA684/I684-1</f>
        <v>2.7726359990573934E-2</v>
      </c>
      <c r="AD684" s="542"/>
      <c r="AF684" s="543"/>
      <c r="AI684" s="543"/>
      <c r="AK684" s="543"/>
      <c r="AM684" s="560"/>
    </row>
    <row r="685" spans="1:39">
      <c r="A685" s="6">
        <f>MAX(A$681:A684)+1</f>
        <v>312</v>
      </c>
      <c r="B685" s="58"/>
      <c r="C685" s="12" t="s">
        <v>372</v>
      </c>
      <c r="D685" s="58"/>
      <c r="E685" s="522" t="s">
        <v>262</v>
      </c>
      <c r="F685" s="58"/>
      <c r="G685" s="29">
        <v>249200.14546999999</v>
      </c>
      <c r="H685" s="58"/>
      <c r="I685" s="684">
        <v>8.2100000000000006E-2</v>
      </c>
      <c r="J685" s="539">
        <f t="shared" ref="J685" si="225">G685*I685/100</f>
        <v>204.59331943087</v>
      </c>
      <c r="K685" s="58"/>
      <c r="L685" s="29">
        <v>0</v>
      </c>
      <c r="M685" s="29">
        <v>0</v>
      </c>
      <c r="N685" s="29">
        <v>10.217205964270001</v>
      </c>
      <c r="O685" s="29">
        <v>0</v>
      </c>
      <c r="P685" s="29">
        <v>0</v>
      </c>
      <c r="Q685" s="538">
        <f t="shared" si="224"/>
        <v>194.3761134666</v>
      </c>
      <c r="R685" s="564"/>
      <c r="S685" s="29">
        <v>5.3113829969133803</v>
      </c>
      <c r="T685" s="29">
        <v>0</v>
      </c>
      <c r="U685" s="29">
        <v>0</v>
      </c>
      <c r="V685" s="29">
        <v>0</v>
      </c>
      <c r="W685" s="29">
        <v>0</v>
      </c>
      <c r="X685" s="29">
        <v>0</v>
      </c>
      <c r="Y685" s="564"/>
      <c r="Z685" s="564">
        <f>Q685+S685+T685+U685+V685+W685+X685</f>
        <v>199.68749646351338</v>
      </c>
      <c r="AA685" s="548">
        <f>Z685/G685*100</f>
        <v>8.0131372350082677E-2</v>
      </c>
      <c r="AB685" s="538">
        <f>Z685-J685</f>
        <v>-4.9058229673566132</v>
      </c>
      <c r="AC685" s="559">
        <f>AA685/I685-1</f>
        <v>-2.3978412301063678E-2</v>
      </c>
      <c r="AD685" s="542"/>
      <c r="AF685" s="543"/>
      <c r="AI685" s="543"/>
      <c r="AK685" s="543"/>
      <c r="AM685" s="560"/>
    </row>
    <row r="686" spans="1:39">
      <c r="A686" s="6"/>
      <c r="B686" s="58"/>
      <c r="C686" s="12"/>
      <c r="D686" s="58"/>
      <c r="E686" s="522"/>
      <c r="F686" s="58"/>
      <c r="G686" s="29"/>
      <c r="H686" s="58"/>
      <c r="I686" s="684"/>
      <c r="J686" s="539"/>
      <c r="K686" s="58"/>
      <c r="L686" s="29"/>
      <c r="M686" s="29"/>
      <c r="N686" s="29"/>
      <c r="O686" s="29"/>
      <c r="P686" s="29"/>
      <c r="Q686" s="538"/>
      <c r="R686" s="564"/>
      <c r="S686" s="29"/>
      <c r="T686" s="29"/>
      <c r="U686" s="29"/>
      <c r="V686" s="29"/>
      <c r="W686" s="29"/>
      <c r="X686" s="29"/>
      <c r="Y686" s="564"/>
      <c r="Z686" s="564"/>
      <c r="AA686" s="548"/>
      <c r="AB686" s="538"/>
      <c r="AC686" s="559"/>
      <c r="AD686" s="542"/>
      <c r="AF686" s="543"/>
      <c r="AI686" s="543"/>
      <c r="AK686" s="543"/>
      <c r="AM686" s="560"/>
    </row>
    <row r="687" spans="1:39">
      <c r="A687" s="6">
        <f>MAX(A$681:A686)+1</f>
        <v>313</v>
      </c>
      <c r="B687" s="58"/>
      <c r="C687" s="12" t="s">
        <v>377</v>
      </c>
      <c r="D687" s="58"/>
      <c r="E687" s="522" t="s">
        <v>262</v>
      </c>
      <c r="F687" s="58"/>
      <c r="G687" s="29">
        <v>0</v>
      </c>
      <c r="H687" s="58"/>
      <c r="I687" s="699">
        <v>4.1900000000000001E-3</v>
      </c>
      <c r="J687" s="29">
        <v>216.63544388</v>
      </c>
      <c r="K687" s="58"/>
      <c r="L687" s="29">
        <v>0</v>
      </c>
      <c r="M687" s="29">
        <v>0</v>
      </c>
      <c r="N687" s="29">
        <v>0</v>
      </c>
      <c r="O687" s="29">
        <v>104.835140629248</v>
      </c>
      <c r="P687" s="29">
        <v>111.80030325075201</v>
      </c>
      <c r="Q687" s="538">
        <f t="shared" si="224"/>
        <v>0</v>
      </c>
      <c r="R687" s="564"/>
      <c r="S687" s="29">
        <v>0</v>
      </c>
      <c r="T687" s="29">
        <v>0</v>
      </c>
      <c r="U687" s="29">
        <v>0</v>
      </c>
      <c r="V687" s="29">
        <v>9.5773387864319055</v>
      </c>
      <c r="W687" s="29">
        <v>127.92978371680481</v>
      </c>
      <c r="X687" s="29">
        <v>111.18745423898166</v>
      </c>
      <c r="Y687" s="564"/>
      <c r="Z687" s="564">
        <f>Q687+S687+T687+U687+V687+W687+X687</f>
        <v>248.69457674221837</v>
      </c>
      <c r="AA687" s="699">
        <v>4.8100636621914127E-3</v>
      </c>
      <c r="AB687" s="538">
        <f>Z687-J687</f>
        <v>32.059132862218377</v>
      </c>
      <c r="AC687" s="541">
        <f>AA687/I687-1</f>
        <v>0.14798655422229423</v>
      </c>
      <c r="AD687" s="542"/>
      <c r="AF687" s="543"/>
      <c r="AI687" s="543"/>
      <c r="AK687" s="543"/>
      <c r="AM687" s="700"/>
    </row>
    <row r="688" spans="1:39">
      <c r="A688" s="6"/>
      <c r="B688" s="58"/>
      <c r="C688" s="12"/>
      <c r="D688" s="58"/>
      <c r="E688" s="522"/>
      <c r="F688" s="58"/>
      <c r="G688" s="29"/>
      <c r="H688" s="58"/>
      <c r="I688" s="684"/>
      <c r="J688" s="539"/>
      <c r="K688" s="58"/>
      <c r="L688" s="538"/>
      <c r="M688" s="538"/>
      <c r="N688" s="538"/>
      <c r="O688" s="538"/>
      <c r="P688" s="538"/>
      <c r="Q688" s="538"/>
      <c r="R688" s="564"/>
      <c r="S688" s="564"/>
      <c r="T688" s="538"/>
      <c r="U688" s="538"/>
      <c r="V688" s="538"/>
      <c r="W688" s="538"/>
      <c r="X688" s="538"/>
      <c r="Y688" s="564"/>
      <c r="Z688" s="564"/>
      <c r="AA688" s="564"/>
      <c r="AB688" s="538"/>
      <c r="AC688" s="541"/>
      <c r="AD688" s="542"/>
      <c r="AF688" s="543"/>
      <c r="AI688" s="543"/>
      <c r="AK688" s="543"/>
      <c r="AM688" s="560"/>
    </row>
    <row r="689" spans="1:39">
      <c r="A689" s="6">
        <f>MAX(A$681:A688)+1</f>
        <v>314</v>
      </c>
      <c r="B689" s="58"/>
      <c r="C689" s="10" t="s">
        <v>378</v>
      </c>
      <c r="D689" s="58"/>
      <c r="E689" s="30"/>
      <c r="F689" s="58"/>
      <c r="G689" s="411">
        <f>G685</f>
        <v>249200.14546999999</v>
      </c>
      <c r="H689" s="58"/>
      <c r="I689" s="668">
        <f>J689/G689*100</f>
        <v>2.6223195459962394</v>
      </c>
      <c r="J689" s="554">
        <f>SUM(J682:J688)</f>
        <v>6534.8241233108711</v>
      </c>
      <c r="K689" s="58"/>
      <c r="L689" s="555">
        <f>SUM(L682:L688)</f>
        <v>106.2576</v>
      </c>
      <c r="M689" s="555">
        <f t="shared" ref="M689:Q689" si="226">SUM(M682:M688)</f>
        <v>0</v>
      </c>
      <c r="N689" s="555">
        <f t="shared" si="226"/>
        <v>10.217205964270001</v>
      </c>
      <c r="O689" s="555">
        <f t="shared" si="226"/>
        <v>104.835140629248</v>
      </c>
      <c r="P689" s="555">
        <f t="shared" si="226"/>
        <v>111.80030325075201</v>
      </c>
      <c r="Q689" s="555">
        <f t="shared" si="226"/>
        <v>6201.7138734666014</v>
      </c>
      <c r="R689" s="538"/>
      <c r="S689" s="619">
        <f>SUM(S682:S688)</f>
        <v>169.46360862860081</v>
      </c>
      <c r="T689" s="619">
        <f t="shared" ref="T689:X689" si="227">SUM(T682:T688)</f>
        <v>111.50384979625936</v>
      </c>
      <c r="U689" s="619">
        <f t="shared" si="227"/>
        <v>0</v>
      </c>
      <c r="V689" s="619">
        <f t="shared" si="227"/>
        <v>9.5773387864319055</v>
      </c>
      <c r="W689" s="619">
        <f t="shared" si="227"/>
        <v>127.92978371680481</v>
      </c>
      <c r="X689" s="619">
        <f t="shared" si="227"/>
        <v>111.18745423898166</v>
      </c>
      <c r="Y689" s="564"/>
      <c r="Z689" s="619">
        <f>SUM(Z682:Z688)</f>
        <v>6731.3759086336804</v>
      </c>
      <c r="AA689" s="556">
        <f>Z689/G689*100</f>
        <v>2.7011926080292108</v>
      </c>
      <c r="AB689" s="555">
        <f>SUM(AB682:AB687)</f>
        <v>196.55178532280888</v>
      </c>
      <c r="AC689" s="562">
        <f>AA689/I689-1</f>
        <v>3.007759376746999E-2</v>
      </c>
      <c r="AD689" s="542"/>
      <c r="AF689" s="543"/>
      <c r="AI689" s="543"/>
      <c r="AK689" s="543"/>
      <c r="AM689" s="560"/>
    </row>
    <row r="690" spans="1:39">
      <c r="A690" s="6"/>
      <c r="E690" s="30"/>
      <c r="G690" s="29"/>
      <c r="I690" s="684"/>
      <c r="J690" s="567"/>
      <c r="L690" s="538"/>
      <c r="M690" s="538"/>
      <c r="N690" s="538"/>
      <c r="O690" s="538"/>
      <c r="P690" s="538"/>
      <c r="Q690" s="538"/>
      <c r="R690" s="64"/>
      <c r="S690" s="64"/>
      <c r="T690" s="538"/>
      <c r="U690" s="538"/>
      <c r="V690" s="538"/>
      <c r="W690" s="538"/>
      <c r="X690" s="538"/>
      <c r="Y690" s="64"/>
      <c r="Z690" s="64"/>
      <c r="AA690" s="64"/>
      <c r="AB690" s="538"/>
      <c r="AC690" s="501"/>
      <c r="AF690" s="543"/>
      <c r="AI690" s="543"/>
      <c r="AK690" s="543"/>
      <c r="AM690" s="560"/>
    </row>
    <row r="691" spans="1:39">
      <c r="A691" s="6"/>
      <c r="C691" s="521" t="s">
        <v>379</v>
      </c>
      <c r="E691" s="30"/>
      <c r="G691" s="29"/>
      <c r="I691" s="684"/>
      <c r="J691" s="567"/>
      <c r="L691" s="538"/>
      <c r="M691" s="538"/>
      <c r="N691" s="538"/>
      <c r="O691" s="538"/>
      <c r="P691" s="538"/>
      <c r="Q691" s="538"/>
      <c r="R691" s="64"/>
      <c r="S691" s="64"/>
      <c r="T691" s="538"/>
      <c r="U691" s="538"/>
      <c r="V691" s="538"/>
      <c r="W691" s="538"/>
      <c r="X691" s="538"/>
      <c r="Y691" s="64"/>
      <c r="Z691" s="64"/>
      <c r="AA691" s="64"/>
      <c r="AB691" s="538"/>
      <c r="AC691" s="501"/>
      <c r="AF691" s="543"/>
      <c r="AI691" s="543"/>
      <c r="AK691" s="543"/>
      <c r="AM691" s="560"/>
    </row>
    <row r="692" spans="1:39">
      <c r="A692" s="6"/>
      <c r="B692" s="58"/>
      <c r="C692" s="526" t="s">
        <v>380</v>
      </c>
      <c r="D692" s="58"/>
      <c r="E692" s="522"/>
      <c r="F692" s="58"/>
      <c r="G692" s="29"/>
      <c r="H692" s="58"/>
      <c r="I692" s="684"/>
      <c r="J692" s="539"/>
      <c r="K692" s="58"/>
      <c r="L692" s="538"/>
      <c r="M692" s="538"/>
      <c r="N692" s="538"/>
      <c r="O692" s="538"/>
      <c r="P692" s="538"/>
      <c r="Q692" s="538"/>
      <c r="R692" s="564"/>
      <c r="S692" s="564"/>
      <c r="T692" s="538"/>
      <c r="U692" s="538"/>
      <c r="V692" s="538"/>
      <c r="W692" s="538"/>
      <c r="X692" s="538"/>
      <c r="Y692" s="564"/>
      <c r="Z692" s="564"/>
      <c r="AA692" s="564"/>
      <c r="AB692" s="538"/>
      <c r="AC692" s="501"/>
      <c r="AF692" s="543"/>
      <c r="AI692" s="543"/>
      <c r="AK692" s="543"/>
      <c r="AM692" s="560"/>
    </row>
    <row r="693" spans="1:39">
      <c r="A693" s="6">
        <f>MAX(A$681:A692)+1</f>
        <v>315</v>
      </c>
      <c r="C693" s="697" t="s">
        <v>381</v>
      </c>
      <c r="E693" s="522" t="s">
        <v>382</v>
      </c>
      <c r="G693" s="29">
        <v>38472252</v>
      </c>
      <c r="I693" s="701">
        <v>1.2E-2</v>
      </c>
      <c r="J693" s="567">
        <f>G693*I693/1000</f>
        <v>461.66702400000003</v>
      </c>
      <c r="L693" s="29">
        <v>0</v>
      </c>
      <c r="M693" s="29">
        <v>0</v>
      </c>
      <c r="N693" s="29">
        <v>0</v>
      </c>
      <c r="O693" s="29">
        <v>0</v>
      </c>
      <c r="P693" s="29">
        <v>0</v>
      </c>
      <c r="Q693" s="538">
        <f>J693-L693-M693-N693-O693-P693</f>
        <v>461.66702400000003</v>
      </c>
      <c r="R693" s="64"/>
      <c r="S693" s="29">
        <v>12.615183716648119</v>
      </c>
      <c r="T693" s="29">
        <v>0</v>
      </c>
      <c r="U693" s="29">
        <v>0</v>
      </c>
      <c r="V693" s="29">
        <v>0</v>
      </c>
      <c r="W693" s="29">
        <v>0</v>
      </c>
      <c r="X693" s="29">
        <v>0</v>
      </c>
      <c r="Y693" s="64"/>
      <c r="Z693" s="64">
        <f>Q693+S693+T693+U693+V693+W693+X693</f>
        <v>474.28220771664814</v>
      </c>
      <c r="AA693" s="702">
        <f>Z693/G693*1000</f>
        <v>1.2327903438474258E-2</v>
      </c>
      <c r="AB693" s="538">
        <f>Z693-J693</f>
        <v>12.615183716648119</v>
      </c>
      <c r="AC693" s="541">
        <f>AA693/I693-1</f>
        <v>2.7325286539521487E-2</v>
      </c>
      <c r="AD693" s="542"/>
      <c r="AF693" s="543"/>
      <c r="AI693" s="543"/>
      <c r="AK693" s="543"/>
      <c r="AM693" s="560"/>
    </row>
    <row r="694" spans="1:39">
      <c r="A694" s="6"/>
      <c r="C694" s="526" t="s">
        <v>383</v>
      </c>
      <c r="E694" s="30"/>
      <c r="G694" s="29"/>
      <c r="I694" s="684"/>
      <c r="J694" s="567"/>
      <c r="L694" s="538"/>
      <c r="M694" s="538"/>
      <c r="N694" s="538"/>
      <c r="O694" s="538"/>
      <c r="P694" s="538"/>
      <c r="Q694" s="538"/>
      <c r="R694" s="64"/>
      <c r="S694" s="29"/>
      <c r="T694" s="538"/>
      <c r="U694" s="538"/>
      <c r="V694" s="538"/>
      <c r="W694" s="538"/>
      <c r="X694" s="538"/>
      <c r="Y694" s="64"/>
      <c r="Z694" s="64"/>
      <c r="AA694" s="64"/>
      <c r="AB694" s="538"/>
      <c r="AC694" s="541"/>
      <c r="AD694" s="542"/>
      <c r="AF694" s="543"/>
      <c r="AI694" s="543"/>
      <c r="AK694" s="543"/>
      <c r="AM694" s="560"/>
    </row>
    <row r="695" spans="1:39">
      <c r="A695" s="6">
        <f>MAX(A$681:A694)+1</f>
        <v>316</v>
      </c>
      <c r="B695" s="58"/>
      <c r="C695" s="697" t="s">
        <v>384</v>
      </c>
      <c r="D695" s="58"/>
      <c r="E695" s="522" t="s">
        <v>382</v>
      </c>
      <c r="F695" s="58"/>
      <c r="G695" s="29">
        <v>0</v>
      </c>
      <c r="H695" s="58"/>
      <c r="I695" s="701">
        <v>1.8779999999999999</v>
      </c>
      <c r="J695" s="64">
        <f t="shared" ref="J695:J700" si="228">G695*I695/1000</f>
        <v>0</v>
      </c>
      <c r="K695" s="58"/>
      <c r="L695" s="29">
        <v>0</v>
      </c>
      <c r="M695" s="29">
        <v>0</v>
      </c>
      <c r="N695" s="29">
        <v>0</v>
      </c>
      <c r="O695" s="29">
        <v>0</v>
      </c>
      <c r="P695" s="29">
        <v>0</v>
      </c>
      <c r="Q695" s="538">
        <f t="shared" ref="Q695:Q702" si="229">J695-L695-M695-N695-O695-P695</f>
        <v>0</v>
      </c>
      <c r="R695" s="564"/>
      <c r="S695" s="29">
        <v>0</v>
      </c>
      <c r="T695" s="29">
        <v>0</v>
      </c>
      <c r="U695" s="29">
        <v>0</v>
      </c>
      <c r="V695" s="29">
        <v>0</v>
      </c>
      <c r="W695" s="29">
        <v>0</v>
      </c>
      <c r="X695" s="29">
        <v>0</v>
      </c>
      <c r="Y695" s="564"/>
      <c r="Z695" s="64">
        <f>Q695+S695+T695+U695+V695+W695+X695</f>
        <v>0</v>
      </c>
      <c r="AA695" s="701">
        <v>1.927</v>
      </c>
      <c r="AB695" s="538"/>
      <c r="AC695" s="541"/>
      <c r="AD695" s="542"/>
      <c r="AF695" s="543"/>
      <c r="AI695" s="543"/>
      <c r="AK695" s="543"/>
      <c r="AM695" s="560"/>
    </row>
    <row r="696" spans="1:39">
      <c r="A696" s="6">
        <f>MAX(A$681:A695)+1</f>
        <v>317</v>
      </c>
      <c r="B696" s="58"/>
      <c r="C696" s="697" t="s">
        <v>385</v>
      </c>
      <c r="D696" s="58"/>
      <c r="E696" s="522" t="s">
        <v>382</v>
      </c>
      <c r="F696" s="58"/>
      <c r="G696" s="29">
        <v>649668</v>
      </c>
      <c r="H696" s="58"/>
      <c r="I696" s="701">
        <v>1.4730000000000001</v>
      </c>
      <c r="J696" s="567">
        <f t="shared" si="228"/>
        <v>956.96096399999999</v>
      </c>
      <c r="K696" s="58"/>
      <c r="L696" s="29">
        <v>0</v>
      </c>
      <c r="M696" s="29">
        <v>0</v>
      </c>
      <c r="N696" s="29">
        <v>0</v>
      </c>
      <c r="O696" s="29">
        <v>0</v>
      </c>
      <c r="P696" s="29">
        <v>0</v>
      </c>
      <c r="Q696" s="538">
        <f t="shared" si="229"/>
        <v>956.96096399999999</v>
      </c>
      <c r="R696" s="564"/>
      <c r="S696" s="29">
        <v>26.149232548436657</v>
      </c>
      <c r="T696" s="29">
        <v>0</v>
      </c>
      <c r="U696" s="29">
        <v>0</v>
      </c>
      <c r="V696" s="29">
        <v>0</v>
      </c>
      <c r="W696" s="29">
        <v>0</v>
      </c>
      <c r="X696" s="29">
        <v>0</v>
      </c>
      <c r="Y696" s="564"/>
      <c r="Z696" s="64">
        <f>Q696+S696+T696+U696+V696+W696+X696</f>
        <v>983.11019654843665</v>
      </c>
      <c r="AA696" s="701">
        <v>1.5187525197395906</v>
      </c>
      <c r="AB696" s="538">
        <f>Z696-J696</f>
        <v>26.149232548436657</v>
      </c>
      <c r="AC696" s="559">
        <f>AA696/I696-1</f>
        <v>3.1060773753964988E-2</v>
      </c>
      <c r="AD696" s="542"/>
      <c r="AF696" s="543"/>
      <c r="AI696" s="543"/>
      <c r="AK696" s="543"/>
      <c r="AM696" s="560"/>
    </row>
    <row r="697" spans="1:39">
      <c r="A697" s="6">
        <f>MAX(A$681:A696)+1</f>
        <v>318</v>
      </c>
      <c r="C697" s="697" t="s">
        <v>386</v>
      </c>
      <c r="E697" s="522" t="s">
        <v>382</v>
      </c>
      <c r="G697" s="29">
        <v>0</v>
      </c>
      <c r="I697" s="701">
        <v>1.4730000000000001</v>
      </c>
      <c r="J697" s="64">
        <f t="shared" si="228"/>
        <v>0</v>
      </c>
      <c r="L697" s="29">
        <v>0</v>
      </c>
      <c r="M697" s="29">
        <v>0</v>
      </c>
      <c r="N697" s="29">
        <v>0</v>
      </c>
      <c r="O697" s="29">
        <v>0</v>
      </c>
      <c r="P697" s="29">
        <v>0</v>
      </c>
      <c r="Q697" s="538">
        <f t="shared" si="229"/>
        <v>0</v>
      </c>
      <c r="R697" s="64"/>
      <c r="S697" s="29">
        <v>0</v>
      </c>
      <c r="T697" s="29">
        <v>0</v>
      </c>
      <c r="U697" s="29">
        <v>0</v>
      </c>
      <c r="V697" s="29">
        <v>0</v>
      </c>
      <c r="W697" s="29">
        <v>0</v>
      </c>
      <c r="X697" s="29">
        <v>0</v>
      </c>
      <c r="Y697" s="64"/>
      <c r="Z697" s="64">
        <f>Q697+S697+T697+U697+V697+W697+X697</f>
        <v>0</v>
      </c>
      <c r="AA697" s="701">
        <v>1.5187525197395906</v>
      </c>
      <c r="AB697" s="538"/>
      <c r="AC697" s="541"/>
      <c r="AD697" s="542"/>
      <c r="AF697" s="543"/>
      <c r="AI697" s="543"/>
      <c r="AK697" s="543"/>
      <c r="AM697" s="560"/>
    </row>
    <row r="698" spans="1:39">
      <c r="A698" s="6">
        <f>MAX(A$681:A697)+1</f>
        <v>319</v>
      </c>
      <c r="B698" s="58"/>
      <c r="C698" s="697" t="s">
        <v>387</v>
      </c>
      <c r="D698" s="58"/>
      <c r="E698" s="522" t="s">
        <v>382</v>
      </c>
      <c r="F698" s="58"/>
      <c r="G698" s="29">
        <v>0</v>
      </c>
      <c r="H698" s="58"/>
      <c r="I698" s="701">
        <v>1.4730000000000001</v>
      </c>
      <c r="J698" s="64">
        <f t="shared" si="228"/>
        <v>0</v>
      </c>
      <c r="K698" s="58"/>
      <c r="L698" s="29">
        <v>0</v>
      </c>
      <c r="M698" s="29">
        <v>0</v>
      </c>
      <c r="N698" s="29">
        <v>0</v>
      </c>
      <c r="O698" s="29">
        <v>0</v>
      </c>
      <c r="P698" s="29">
        <v>0</v>
      </c>
      <c r="Q698" s="538">
        <f t="shared" si="229"/>
        <v>0</v>
      </c>
      <c r="R698" s="564"/>
      <c r="S698" s="29">
        <v>0</v>
      </c>
      <c r="T698" s="29">
        <v>0</v>
      </c>
      <c r="U698" s="29">
        <v>0</v>
      </c>
      <c r="V698" s="29">
        <v>0</v>
      </c>
      <c r="W698" s="29">
        <v>0</v>
      </c>
      <c r="X698" s="29">
        <v>0</v>
      </c>
      <c r="Y698" s="564"/>
      <c r="Z698" s="64">
        <f>Q698+S698+T698+U698+V698+W698+X698</f>
        <v>0</v>
      </c>
      <c r="AA698" s="701">
        <v>1.5187525197395906</v>
      </c>
      <c r="AB698" s="538"/>
      <c r="AC698" s="541"/>
      <c r="AD698" s="542"/>
      <c r="AF698" s="543"/>
      <c r="AI698" s="543"/>
      <c r="AK698" s="543"/>
      <c r="AM698" s="560"/>
    </row>
    <row r="699" spans="1:39">
      <c r="A699" s="6"/>
      <c r="B699" s="58"/>
      <c r="C699" s="526" t="s">
        <v>388</v>
      </c>
      <c r="D699" s="58"/>
      <c r="E699" s="574"/>
      <c r="F699" s="58"/>
      <c r="G699" s="29"/>
      <c r="H699" s="58"/>
      <c r="I699" s="701"/>
      <c r="J699" s="567"/>
      <c r="K699" s="58"/>
      <c r="L699" s="538"/>
      <c r="M699" s="538"/>
      <c r="N699" s="538"/>
      <c r="O699" s="538"/>
      <c r="P699" s="538"/>
      <c r="Q699" s="538"/>
      <c r="R699" s="564"/>
      <c r="S699" s="29"/>
      <c r="T699" s="538"/>
      <c r="U699" s="538"/>
      <c r="V699" s="538"/>
      <c r="W699" s="538"/>
      <c r="X699" s="538"/>
      <c r="Y699" s="564"/>
      <c r="Z699" s="64"/>
      <c r="AA699" s="548"/>
      <c r="AB699" s="538"/>
      <c r="AC699" s="541"/>
      <c r="AD699" s="542"/>
      <c r="AF699" s="543"/>
      <c r="AI699" s="543"/>
      <c r="AK699" s="543"/>
      <c r="AM699" s="560"/>
    </row>
    <row r="700" spans="1:39">
      <c r="A700" s="6">
        <f>MAX(A$681:A699)+1</f>
        <v>320</v>
      </c>
      <c r="B700" s="58"/>
      <c r="C700" s="697" t="s">
        <v>389</v>
      </c>
      <c r="D700" s="58"/>
      <c r="E700" s="522" t="s">
        <v>331</v>
      </c>
      <c r="F700" s="58"/>
      <c r="G700" s="29">
        <v>6433273.9199999999</v>
      </c>
      <c r="H700" s="58"/>
      <c r="I700" s="701">
        <v>1.2E-2</v>
      </c>
      <c r="J700" s="567">
        <f t="shared" si="228"/>
        <v>77.199287040000002</v>
      </c>
      <c r="K700" s="58"/>
      <c r="L700" s="29">
        <v>0</v>
      </c>
      <c r="M700" s="29">
        <v>0</v>
      </c>
      <c r="N700" s="29">
        <v>0</v>
      </c>
      <c r="O700" s="29">
        <v>0</v>
      </c>
      <c r="P700" s="29">
        <v>0</v>
      </c>
      <c r="Q700" s="538">
        <f t="shared" si="229"/>
        <v>77.199287040000002</v>
      </c>
      <c r="R700" s="564"/>
      <c r="S700" s="29">
        <v>2.1094926390147606</v>
      </c>
      <c r="T700" s="29">
        <v>0</v>
      </c>
      <c r="U700" s="29">
        <v>0</v>
      </c>
      <c r="V700" s="29">
        <v>0</v>
      </c>
      <c r="W700" s="29">
        <v>0</v>
      </c>
      <c r="X700" s="29">
        <v>0</v>
      </c>
      <c r="Y700" s="564"/>
      <c r="Z700" s="64">
        <f>Q700+S700+T700+U700+V700+W700+X700</f>
        <v>79.308779679014762</v>
      </c>
      <c r="AA700" s="702">
        <f>Z700/G700*1000</f>
        <v>1.2327903438474256E-2</v>
      </c>
      <c r="AB700" s="538">
        <f>Z700-J700</f>
        <v>2.1094926390147606</v>
      </c>
      <c r="AC700" s="541">
        <f>AA700/I700-1</f>
        <v>2.7325286539521265E-2</v>
      </c>
      <c r="AD700" s="542"/>
      <c r="AF700" s="543"/>
      <c r="AI700" s="543"/>
      <c r="AK700" s="543"/>
      <c r="AM700" s="560"/>
    </row>
    <row r="701" spans="1:39">
      <c r="A701" s="6"/>
      <c r="B701" s="58"/>
      <c r="C701" s="697"/>
      <c r="D701" s="58"/>
      <c r="E701" s="522"/>
      <c r="F701" s="58"/>
      <c r="G701" s="29"/>
      <c r="H701" s="58"/>
      <c r="I701" s="701"/>
      <c r="J701" s="567"/>
      <c r="K701" s="58"/>
      <c r="L701" s="29"/>
      <c r="M701" s="29"/>
      <c r="N701" s="29"/>
      <c r="O701" s="29"/>
      <c r="P701" s="29"/>
      <c r="Q701" s="538"/>
      <c r="R701" s="564"/>
      <c r="S701" s="29"/>
      <c r="T701" s="29"/>
      <c r="U701" s="29"/>
      <c r="V701" s="29"/>
      <c r="W701" s="29"/>
      <c r="X701" s="29"/>
      <c r="Y701" s="564"/>
      <c r="Z701" s="64"/>
      <c r="AA701" s="702"/>
      <c r="AB701" s="538"/>
      <c r="AC701" s="541"/>
      <c r="AD701" s="542"/>
      <c r="AF701" s="543"/>
      <c r="AI701" s="543"/>
      <c r="AK701" s="543"/>
      <c r="AM701" s="560"/>
    </row>
    <row r="702" spans="1:39">
      <c r="A702" s="6">
        <f>MAX(A$681:A701)+1</f>
        <v>321</v>
      </c>
      <c r="C702" s="12" t="s">
        <v>390</v>
      </c>
      <c r="E702" s="522" t="s">
        <v>331</v>
      </c>
      <c r="G702" s="29">
        <v>0</v>
      </c>
      <c r="I702" s="699">
        <v>4.1900000000000001E-3</v>
      </c>
      <c r="J702" s="29">
        <v>151.98647672000001</v>
      </c>
      <c r="L702" s="29">
        <v>0</v>
      </c>
      <c r="M702" s="29">
        <v>0</v>
      </c>
      <c r="N702" s="29">
        <v>0</v>
      </c>
      <c r="O702" s="29">
        <v>58.760979199992988</v>
      </c>
      <c r="P702" s="29">
        <v>93.225497520007025</v>
      </c>
      <c r="Q702" s="538">
        <f t="shared" si="229"/>
        <v>0</v>
      </c>
      <c r="R702" s="64"/>
      <c r="S702" s="29">
        <v>0</v>
      </c>
      <c r="T702" s="29">
        <v>0</v>
      </c>
      <c r="U702" s="29">
        <v>0</v>
      </c>
      <c r="V702" s="29">
        <v>0</v>
      </c>
      <c r="W702" s="29">
        <v>71.705721143903546</v>
      </c>
      <c r="X702" s="29">
        <v>92.714468905900361</v>
      </c>
      <c r="Y702" s="64"/>
      <c r="Z702" s="64">
        <f>Q702+S702+T702+U702+V702+W702+X702</f>
        <v>164.42019004980392</v>
      </c>
      <c r="AA702" s="699">
        <v>4.8100636621914127E-3</v>
      </c>
      <c r="AB702" s="538">
        <f>Z702-J702</f>
        <v>12.433713329803908</v>
      </c>
      <c r="AC702" s="541">
        <f>AA702/I702-1</f>
        <v>0.14798655422229423</v>
      </c>
      <c r="AD702" s="542"/>
      <c r="AF702" s="543"/>
      <c r="AI702" s="543"/>
      <c r="AK702" s="543"/>
      <c r="AM702" s="700"/>
    </row>
    <row r="703" spans="1:39">
      <c r="A703" s="6"/>
      <c r="B703" s="58"/>
      <c r="D703" s="58"/>
      <c r="E703" s="30"/>
      <c r="F703" s="58"/>
      <c r="G703" s="29"/>
      <c r="H703" s="58"/>
      <c r="I703" s="58"/>
      <c r="J703" s="539"/>
      <c r="K703" s="58"/>
      <c r="L703" s="538"/>
      <c r="M703" s="538"/>
      <c r="N703" s="538"/>
      <c r="O703" s="538"/>
      <c r="P703" s="538"/>
      <c r="Q703" s="538"/>
      <c r="R703" s="564"/>
      <c r="S703" s="564"/>
      <c r="T703" s="538"/>
      <c r="U703" s="538"/>
      <c r="V703" s="538"/>
      <c r="W703" s="538"/>
      <c r="X703" s="538"/>
      <c r="Y703" s="564"/>
      <c r="Z703" s="564"/>
      <c r="AA703" s="564"/>
      <c r="AB703" s="538"/>
      <c r="AC703" s="541"/>
      <c r="AD703" s="542"/>
      <c r="AF703" s="543"/>
      <c r="AI703" s="543"/>
      <c r="AK703" s="543"/>
      <c r="AM703" s="560"/>
    </row>
    <row r="704" spans="1:39">
      <c r="A704" s="6">
        <f>MAX(A$681:A703)+1</f>
        <v>322</v>
      </c>
      <c r="B704" s="58"/>
      <c r="C704" s="10" t="s">
        <v>391</v>
      </c>
      <c r="D704" s="58"/>
      <c r="E704" s="522"/>
      <c r="F704" s="58"/>
      <c r="G704" s="411">
        <f>G689</f>
        <v>249200.14546999999</v>
      </c>
      <c r="H704" s="58"/>
      <c r="I704" s="556">
        <f>J704/G704*100</f>
        <v>0.66124108742078247</v>
      </c>
      <c r="J704" s="554">
        <f>SUM(J693:J702)</f>
        <v>1647.8137517599998</v>
      </c>
      <c r="K704" s="58"/>
      <c r="L704" s="555">
        <f t="shared" ref="L704:Q704" si="230">SUM(L693:L702)</f>
        <v>0</v>
      </c>
      <c r="M704" s="555">
        <f t="shared" si="230"/>
        <v>0</v>
      </c>
      <c r="N704" s="555">
        <f t="shared" si="230"/>
        <v>0</v>
      </c>
      <c r="O704" s="555">
        <f t="shared" si="230"/>
        <v>58.760979199992988</v>
      </c>
      <c r="P704" s="555">
        <f t="shared" si="230"/>
        <v>93.225497520007025</v>
      </c>
      <c r="Q704" s="555">
        <f t="shared" si="230"/>
        <v>1495.8272750399999</v>
      </c>
      <c r="R704" s="564"/>
      <c r="S704" s="619">
        <f t="shared" ref="S704:X704" si="231">SUM(S693:S702)</f>
        <v>40.873908904099537</v>
      </c>
      <c r="T704" s="619">
        <f t="shared" si="231"/>
        <v>0</v>
      </c>
      <c r="U704" s="619">
        <f t="shared" si="231"/>
        <v>0</v>
      </c>
      <c r="V704" s="619">
        <f t="shared" si="231"/>
        <v>0</v>
      </c>
      <c r="W704" s="619">
        <f t="shared" si="231"/>
        <v>71.705721143903546</v>
      </c>
      <c r="X704" s="619">
        <f t="shared" si="231"/>
        <v>92.714468905900361</v>
      </c>
      <c r="Y704" s="564"/>
      <c r="Z704" s="619">
        <f>SUM(Z693:Z702)</f>
        <v>1701.1213739939035</v>
      </c>
      <c r="AA704" s="556">
        <f>Z704/G704*100</f>
        <v>0.68263257663254184</v>
      </c>
      <c r="AB704" s="555">
        <f>SUM(AB693:AB702)</f>
        <v>53.307622233903444</v>
      </c>
      <c r="AC704" s="562">
        <f>AA704/I704-1</f>
        <v>3.2350514235584438E-2</v>
      </c>
      <c r="AD704" s="542"/>
      <c r="AF704" s="543"/>
      <c r="AI704" s="543"/>
      <c r="AK704" s="543"/>
      <c r="AM704" s="560"/>
    </row>
    <row r="705" spans="1:39">
      <c r="A705" s="6"/>
      <c r="B705" s="58"/>
      <c r="C705" s="10"/>
      <c r="D705" s="58"/>
      <c r="E705" s="30"/>
      <c r="F705" s="58"/>
      <c r="G705" s="29"/>
      <c r="H705" s="58"/>
      <c r="I705" s="58"/>
      <c r="J705" s="539"/>
      <c r="K705" s="58"/>
      <c r="L705" s="538"/>
      <c r="M705" s="538"/>
      <c r="N705" s="538"/>
      <c r="O705" s="538"/>
      <c r="P705" s="538"/>
      <c r="Q705" s="538"/>
      <c r="R705" s="564"/>
      <c r="S705" s="564"/>
      <c r="T705" s="538"/>
      <c r="U705" s="538"/>
      <c r="V705" s="538"/>
      <c r="W705" s="538"/>
      <c r="X705" s="538"/>
      <c r="Y705" s="564"/>
      <c r="Z705" s="564"/>
      <c r="AA705" s="564"/>
      <c r="AB705" s="538"/>
      <c r="AC705" s="501"/>
      <c r="AF705" s="543"/>
      <c r="AI705" s="543"/>
      <c r="AK705" s="543"/>
      <c r="AM705" s="560"/>
    </row>
    <row r="706" spans="1:39">
      <c r="A706" s="6">
        <f>MAX(A$681:A705)+1</f>
        <v>323</v>
      </c>
      <c r="B706" s="58"/>
      <c r="C706" s="10" t="s">
        <v>396</v>
      </c>
      <c r="D706" s="58"/>
      <c r="E706" s="30"/>
      <c r="F706" s="58"/>
      <c r="G706" s="132"/>
      <c r="H706" s="58"/>
      <c r="I706" s="58"/>
      <c r="J706" s="539"/>
      <c r="K706" s="58"/>
      <c r="L706" s="538"/>
      <c r="M706" s="538"/>
      <c r="N706" s="538"/>
      <c r="O706" s="538"/>
      <c r="P706" s="538"/>
      <c r="Q706" s="538"/>
      <c r="R706" s="564"/>
      <c r="S706" s="564"/>
      <c r="T706" s="538"/>
      <c r="U706" s="538"/>
      <c r="V706" s="538"/>
      <c r="W706" s="538"/>
      <c r="X706" s="538"/>
      <c r="Y706" s="564"/>
      <c r="Z706" s="564"/>
      <c r="AA706" s="564"/>
      <c r="AB706" s="538"/>
      <c r="AC706" s="501"/>
      <c r="AF706" s="543"/>
      <c r="AI706" s="543"/>
      <c r="AK706" s="543"/>
      <c r="AM706" s="560"/>
    </row>
    <row r="707" spans="1:39" ht="12.95" thickBot="1">
      <c r="A707" s="6"/>
      <c r="B707" s="58"/>
      <c r="C707" s="10"/>
      <c r="D707" s="58"/>
      <c r="E707" s="30"/>
      <c r="F707" s="58"/>
      <c r="G707" s="439">
        <f>G689</f>
        <v>249200.14546999999</v>
      </c>
      <c r="H707" s="58"/>
      <c r="I707" s="572">
        <f>J707/G707*100</f>
        <v>3.2835606334170215</v>
      </c>
      <c r="J707" s="627">
        <f>J689+J704</f>
        <v>8182.6378750708709</v>
      </c>
      <c r="K707" s="539"/>
      <c r="L707" s="628">
        <f t="shared" ref="L707:Q707" si="232">L689+L704</f>
        <v>106.2576</v>
      </c>
      <c r="M707" s="628">
        <f t="shared" si="232"/>
        <v>0</v>
      </c>
      <c r="N707" s="628">
        <f t="shared" si="232"/>
        <v>10.217205964270001</v>
      </c>
      <c r="O707" s="628">
        <f t="shared" si="232"/>
        <v>163.59611982924099</v>
      </c>
      <c r="P707" s="628">
        <f t="shared" si="232"/>
        <v>205.02580077075902</v>
      </c>
      <c r="Q707" s="628">
        <f t="shared" si="232"/>
        <v>7697.5411485066015</v>
      </c>
      <c r="R707" s="564"/>
      <c r="S707" s="628">
        <f t="shared" ref="S707:X707" si="233">S689+S704</f>
        <v>210.33751753270036</v>
      </c>
      <c r="T707" s="628">
        <f t="shared" si="233"/>
        <v>111.50384979625936</v>
      </c>
      <c r="U707" s="628">
        <f t="shared" si="233"/>
        <v>0</v>
      </c>
      <c r="V707" s="628">
        <f t="shared" si="233"/>
        <v>9.5773387864319055</v>
      </c>
      <c r="W707" s="628">
        <f t="shared" si="233"/>
        <v>199.63550486070835</v>
      </c>
      <c r="X707" s="628">
        <f t="shared" si="233"/>
        <v>203.90192314488201</v>
      </c>
      <c r="Y707" s="564"/>
      <c r="Z707" s="628">
        <f>Z689+Z704</f>
        <v>8432.4972826275844</v>
      </c>
      <c r="AA707" s="572">
        <f>Z707/G707*100</f>
        <v>3.3838251846617533</v>
      </c>
      <c r="AB707" s="628">
        <f>AB689+AB704</f>
        <v>249.85940755671231</v>
      </c>
      <c r="AC707" s="629">
        <f>AA707/I707-1</f>
        <v>3.0535312862608022E-2</v>
      </c>
      <c r="AD707" s="630"/>
      <c r="AF707" s="543"/>
      <c r="AI707" s="543"/>
      <c r="AK707" s="543"/>
      <c r="AM707" s="560"/>
    </row>
    <row r="708" spans="1:39" ht="12.95" thickTop="1">
      <c r="A708" s="6"/>
      <c r="B708" s="58"/>
      <c r="C708" s="10"/>
      <c r="D708" s="58"/>
      <c r="E708" s="30"/>
      <c r="F708" s="58"/>
      <c r="G708" s="132"/>
      <c r="H708" s="58"/>
      <c r="I708" s="548"/>
      <c r="J708" s="539"/>
      <c r="K708" s="539"/>
      <c r="L708" s="564"/>
      <c r="M708" s="564"/>
      <c r="N708" s="564"/>
      <c r="O708" s="564"/>
      <c r="P708" s="564"/>
      <c r="Q708" s="564"/>
      <c r="R708" s="564"/>
      <c r="S708" s="564"/>
      <c r="T708" s="564"/>
      <c r="U708" s="564"/>
      <c r="V708" s="564"/>
      <c r="W708" s="564"/>
      <c r="X708" s="564"/>
      <c r="Y708" s="564"/>
      <c r="Z708" s="564"/>
      <c r="AA708" s="564"/>
      <c r="AB708" s="564"/>
      <c r="AC708" s="630"/>
      <c r="AD708" s="630"/>
      <c r="AK708" s="543"/>
    </row>
    <row r="709" spans="1:39" ht="13.5" thickBot="1">
      <c r="A709" s="6">
        <f>MAX(A$681:A708)+1</f>
        <v>324</v>
      </c>
      <c r="B709" s="58"/>
      <c r="C709" s="501" t="s">
        <v>156</v>
      </c>
      <c r="D709" s="58"/>
      <c r="E709" s="128"/>
      <c r="F709" s="58"/>
      <c r="G709" s="575"/>
      <c r="H709" s="58"/>
      <c r="I709" s="58"/>
      <c r="J709" s="627">
        <f>J33+J57+J85+J106+J137+J146+J188+J213+J246+J266+J307+J336+J388+J404+J442+J459+J487+J516+J548+J566+J587+J621+J665+J707</f>
        <v>5782469.5617205743</v>
      </c>
      <c r="K709" s="539"/>
      <c r="L709" s="627">
        <f t="shared" ref="L709:X709" si="234">L33+L57+L85+L106+L137+L146+L188+L213+L246+L266+L307+L336+L388+L404+L442+L459+L487+L516+L548+L566+L587+L621+L665+L707</f>
        <v>143871.4637834662</v>
      </c>
      <c r="M709" s="627">
        <f t="shared" si="234"/>
        <v>46925.204694014014</v>
      </c>
      <c r="N709" s="628">
        <f t="shared" si="234"/>
        <v>4279.0945088308627</v>
      </c>
      <c r="O709" s="628">
        <f t="shared" si="234"/>
        <v>38156.803959081393</v>
      </c>
      <c r="P709" s="628">
        <f t="shared" si="234"/>
        <v>20462.561851652143</v>
      </c>
      <c r="Q709" s="704">
        <f t="shared" si="234"/>
        <v>5530816.8300091317</v>
      </c>
      <c r="R709" s="539">
        <f t="shared" si="234"/>
        <v>0</v>
      </c>
      <c r="S709" s="628">
        <f t="shared" si="234"/>
        <v>67721.838835478338</v>
      </c>
      <c r="T709" s="628">
        <f t="shared" si="234"/>
        <v>183081.13465239876</v>
      </c>
      <c r="U709" s="628">
        <f t="shared" si="234"/>
        <v>46390.692841946395</v>
      </c>
      <c r="V709" s="628">
        <f t="shared" si="234"/>
        <v>3884.1941707516062</v>
      </c>
      <c r="W709" s="628">
        <f t="shared" si="234"/>
        <v>42874.998378134667</v>
      </c>
      <c r="X709" s="628">
        <f t="shared" si="234"/>
        <v>19261.161824881954</v>
      </c>
      <c r="Y709" s="539"/>
      <c r="Z709" s="627">
        <f>Z33+Z57+Z85+Z106+Z137+Z146+Z188+Z213+Z246+Z266+Z307+Z336+Z388+Z404+Z442+Z459+Z487+Z516+Z548+Z566+Z587+Z621+Z665+Z707</f>
        <v>5894030.850712724</v>
      </c>
      <c r="AA709" s="539"/>
      <c r="AB709" s="627">
        <f>AB33+AB57+AB85+AB106+AB137+AB146+AB188+AB213+AB246+AB266+AB307+AB336+AB388+AB404+AB442+AB459+AB487+AB516+AB548+AB566+AB587+AB621+AB665+AB707</f>
        <v>111561.28899214949</v>
      </c>
      <c r="AC709" s="534"/>
    </row>
    <row r="710" spans="1:39" ht="12.95" thickTop="1">
      <c r="L710" s="2"/>
      <c r="M710" s="2"/>
      <c r="N710" s="2"/>
      <c r="O710" s="2"/>
      <c r="P710" s="501"/>
      <c r="Q710" s="501"/>
      <c r="T710" s="501"/>
      <c r="U710" s="501"/>
      <c r="V710" s="501"/>
      <c r="W710" s="501"/>
      <c r="X710" s="501"/>
      <c r="AB710" s="534"/>
      <c r="AC710" s="501"/>
    </row>
    <row r="711" spans="1:39">
      <c r="L711" s="2"/>
      <c r="M711" s="2"/>
      <c r="N711" s="2"/>
      <c r="O711" s="2"/>
      <c r="P711" s="501"/>
      <c r="Q711" s="501"/>
      <c r="T711" s="501"/>
      <c r="U711" s="501"/>
      <c r="V711" s="501"/>
      <c r="W711" s="501"/>
      <c r="X711" s="501"/>
      <c r="AB711" s="534"/>
      <c r="AC711" s="501"/>
    </row>
    <row r="712" spans="1:39">
      <c r="L712" s="2"/>
      <c r="M712" s="2"/>
      <c r="N712" s="2"/>
      <c r="O712" s="2"/>
      <c r="P712" s="501"/>
      <c r="Q712" s="501"/>
      <c r="T712" s="501"/>
      <c r="U712" s="501"/>
      <c r="V712" s="501"/>
      <c r="W712" s="501"/>
      <c r="X712" s="501"/>
      <c r="AB712" s="501"/>
      <c r="AC712" s="501"/>
    </row>
    <row r="713" spans="1:39">
      <c r="L713" s="2"/>
      <c r="M713" s="2"/>
      <c r="N713" s="2"/>
      <c r="O713" s="2"/>
      <c r="P713" s="501"/>
      <c r="Q713" s="501"/>
      <c r="T713" s="501"/>
      <c r="U713" s="501"/>
      <c r="V713" s="501"/>
      <c r="W713" s="501"/>
      <c r="X713" s="501"/>
      <c r="AB713" s="501"/>
      <c r="AC713" s="501"/>
    </row>
    <row r="714" spans="1:39">
      <c r="L714" s="2"/>
      <c r="M714" s="2"/>
      <c r="N714" s="2"/>
      <c r="O714" s="2"/>
      <c r="P714" s="501"/>
      <c r="Q714" s="501"/>
      <c r="T714" s="501"/>
      <c r="U714" s="501"/>
      <c r="V714" s="501"/>
      <c r="W714" s="501"/>
      <c r="X714" s="501"/>
      <c r="AB714" s="501"/>
      <c r="AC714" s="501"/>
    </row>
    <row r="715" spans="1:39">
      <c r="A715" s="1156" t="s">
        <v>279</v>
      </c>
      <c r="B715" s="1156"/>
      <c r="C715" s="1156"/>
      <c r="D715" s="1156"/>
      <c r="E715" s="1156"/>
      <c r="F715" s="1156"/>
      <c r="G715" s="1156"/>
      <c r="H715" s="1156"/>
      <c r="I715" s="1156"/>
      <c r="J715" s="1156"/>
      <c r="K715" s="1156"/>
      <c r="L715" s="1156"/>
      <c r="M715" s="1156"/>
      <c r="N715" s="1156"/>
      <c r="O715" s="1156"/>
      <c r="P715" s="1156"/>
      <c r="Q715" s="1156"/>
      <c r="R715" s="1156"/>
      <c r="S715" s="1156"/>
      <c r="T715" s="1156"/>
      <c r="U715" s="1156"/>
      <c r="V715" s="1156"/>
      <c r="W715" s="1156"/>
      <c r="X715" s="1156"/>
      <c r="Y715" s="1156"/>
      <c r="Z715" s="1156"/>
      <c r="AA715" s="1156"/>
      <c r="AB715" s="1156"/>
      <c r="AC715" s="1156"/>
      <c r="AD715" s="531"/>
    </row>
    <row r="716" spans="1:39">
      <c r="A716" s="57"/>
      <c r="B716" s="57"/>
      <c r="C716" s="57"/>
      <c r="D716" s="57"/>
      <c r="E716" s="3"/>
      <c r="F716" s="57"/>
      <c r="G716" s="3"/>
      <c r="H716" s="57"/>
      <c r="I716" s="57"/>
      <c r="J716" s="57"/>
      <c r="K716" s="57"/>
      <c r="L716" s="57"/>
      <c r="M716" s="57"/>
      <c r="N716" s="4"/>
      <c r="O716" s="4"/>
      <c r="P716" s="501"/>
      <c r="Q716" s="501"/>
      <c r="R716" s="57"/>
      <c r="S716" s="57"/>
      <c r="T716" s="501"/>
      <c r="U716" s="501"/>
      <c r="V716" s="501"/>
      <c r="W716" s="501"/>
      <c r="X716" s="501"/>
      <c r="Y716" s="57"/>
      <c r="Z716" s="57"/>
      <c r="AA716" s="57"/>
      <c r="AB716" s="501"/>
      <c r="AC716" s="501"/>
    </row>
    <row r="717" spans="1:39">
      <c r="A717" s="3"/>
      <c r="B717" s="3"/>
      <c r="C717" s="3"/>
      <c r="D717" s="3"/>
      <c r="E717" s="57"/>
      <c r="F717" s="3"/>
      <c r="G717" s="1152" t="str">
        <f>G8</f>
        <v>Current Approved Revenue</v>
      </c>
      <c r="H717" s="1152"/>
      <c r="I717" s="1152"/>
      <c r="J717" s="1152"/>
      <c r="K717" s="3"/>
      <c r="L717" s="1152" t="str">
        <f>L8</f>
        <v>Adjustments to 2023 Base Rates</v>
      </c>
      <c r="M717" s="1152"/>
      <c r="N717" s="1152"/>
      <c r="O717" s="1152"/>
      <c r="P717" s="1152"/>
      <c r="Q717" s="58"/>
      <c r="R717" s="3"/>
      <c r="S717" s="1152" t="str">
        <f>S8</f>
        <v>Adjustments to 2024 Base Rates</v>
      </c>
      <c r="T717" s="1152"/>
      <c r="U717" s="1152"/>
      <c r="V717" s="1152"/>
      <c r="W717" s="1152"/>
      <c r="X717" s="1152"/>
      <c r="Y717" s="3"/>
      <c r="Z717" s="1152" t="str">
        <f>Z8</f>
        <v>2024 Proposed Revenue</v>
      </c>
      <c r="AA717" s="1152"/>
      <c r="AB717" s="1152"/>
      <c r="AC717" s="1152"/>
      <c r="AD717" s="6"/>
    </row>
    <row r="718" spans="1:39" ht="37.5">
      <c r="A718" s="5" t="s">
        <v>56</v>
      </c>
      <c r="B718" s="5"/>
      <c r="C718" s="5"/>
      <c r="D718" s="5"/>
      <c r="E718" s="6" t="s">
        <v>233</v>
      </c>
      <c r="F718" s="5"/>
      <c r="G718" s="17" t="s">
        <v>234</v>
      </c>
      <c r="H718" s="5"/>
      <c r="I718" s="17" t="s">
        <v>235</v>
      </c>
      <c r="J718" s="17" t="s">
        <v>101</v>
      </c>
      <c r="K718" s="5"/>
      <c r="L718" s="17" t="s">
        <v>106</v>
      </c>
      <c r="M718" s="17" t="s">
        <v>236</v>
      </c>
      <c r="N718" s="5" t="s">
        <v>237</v>
      </c>
      <c r="O718" s="5" t="s">
        <v>109</v>
      </c>
      <c r="P718" s="5" t="s">
        <v>238</v>
      </c>
      <c r="Q718" s="5" t="s">
        <v>239</v>
      </c>
      <c r="R718" s="5"/>
      <c r="S718" s="5" t="s">
        <v>240</v>
      </c>
      <c r="T718" s="17" t="s">
        <v>106</v>
      </c>
      <c r="U718" s="17" t="s">
        <v>236</v>
      </c>
      <c r="V718" s="5" t="s">
        <v>237</v>
      </c>
      <c r="W718" s="5" t="s">
        <v>109</v>
      </c>
      <c r="X718" s="5" t="s">
        <v>238</v>
      </c>
      <c r="Y718" s="5"/>
      <c r="Z718" s="17" t="s">
        <v>241</v>
      </c>
      <c r="AA718" s="17" t="s">
        <v>242</v>
      </c>
      <c r="AB718" s="17" t="s">
        <v>243</v>
      </c>
      <c r="AC718" s="5" t="s">
        <v>244</v>
      </c>
      <c r="AD718" s="5"/>
    </row>
    <row r="719" spans="1:39">
      <c r="A719" s="237" t="s">
        <v>57</v>
      </c>
      <c r="B719" s="58"/>
      <c r="C719" s="59" t="s">
        <v>194</v>
      </c>
      <c r="D719" s="58"/>
      <c r="E719" s="237" t="s">
        <v>245</v>
      </c>
      <c r="F719" s="58"/>
      <c r="G719" s="237" t="s">
        <v>246</v>
      </c>
      <c r="H719" s="58"/>
      <c r="I719" s="237" t="s">
        <v>397</v>
      </c>
      <c r="J719" s="237" t="s">
        <v>248</v>
      </c>
      <c r="K719" s="58"/>
      <c r="L719" s="237" t="s">
        <v>248</v>
      </c>
      <c r="M719" s="237" t="s">
        <v>248</v>
      </c>
      <c r="N719" s="237" t="s">
        <v>248</v>
      </c>
      <c r="O719" s="237" t="s">
        <v>248</v>
      </c>
      <c r="P719" s="237" t="s">
        <v>248</v>
      </c>
      <c r="Q719" s="237" t="s">
        <v>248</v>
      </c>
      <c r="R719" s="58"/>
      <c r="S719" s="237" t="s">
        <v>248</v>
      </c>
      <c r="T719" s="237" t="s">
        <v>248</v>
      </c>
      <c r="U719" s="237" t="s">
        <v>248</v>
      </c>
      <c r="V719" s="237" t="s">
        <v>248</v>
      </c>
      <c r="W719" s="237" t="s">
        <v>248</v>
      </c>
      <c r="X719" s="237" t="s">
        <v>248</v>
      </c>
      <c r="Y719" s="58"/>
      <c r="Z719" s="237" t="s">
        <v>248</v>
      </c>
      <c r="AA719" s="237" t="s">
        <v>397</v>
      </c>
      <c r="AB719" s="237" t="s">
        <v>248</v>
      </c>
      <c r="AC719" s="237" t="s">
        <v>249</v>
      </c>
      <c r="AD719" s="6"/>
    </row>
    <row r="720" spans="1:39">
      <c r="A720" s="6"/>
      <c r="B720" s="58"/>
      <c r="C720" s="58"/>
      <c r="D720" s="58"/>
      <c r="E720" s="6"/>
      <c r="F720" s="58"/>
      <c r="G720" s="6" t="s">
        <v>9</v>
      </c>
      <c r="H720" s="6"/>
      <c r="I720" s="6" t="s">
        <v>10</v>
      </c>
      <c r="J720" s="6" t="s">
        <v>58</v>
      </c>
      <c r="K720" s="6"/>
      <c r="L720" s="123" t="s">
        <v>12</v>
      </c>
      <c r="M720" s="123" t="s">
        <v>13</v>
      </c>
      <c r="N720" s="123" t="s">
        <v>115</v>
      </c>
      <c r="O720" s="123" t="s">
        <v>209</v>
      </c>
      <c r="P720" s="6" t="s">
        <v>210</v>
      </c>
      <c r="Q720" s="6" t="s">
        <v>250</v>
      </c>
      <c r="R720" s="6"/>
      <c r="S720" s="6" t="s">
        <v>251</v>
      </c>
      <c r="T720" s="6" t="s">
        <v>120</v>
      </c>
      <c r="U720" s="6" t="s">
        <v>121</v>
      </c>
      <c r="V720" s="6" t="s">
        <v>122</v>
      </c>
      <c r="W720" s="6" t="s">
        <v>252</v>
      </c>
      <c r="X720" s="6" t="s">
        <v>253</v>
      </c>
      <c r="Y720" s="6"/>
      <c r="Z720" s="6" t="s">
        <v>254</v>
      </c>
      <c r="AA720" s="6" t="s">
        <v>255</v>
      </c>
      <c r="AB720" s="6" t="s">
        <v>256</v>
      </c>
      <c r="AC720" s="6" t="s">
        <v>257</v>
      </c>
      <c r="AD720" s="6"/>
    </row>
    <row r="721" spans="1:39">
      <c r="A721" s="6"/>
      <c r="B721" s="58"/>
      <c r="C721" s="58"/>
      <c r="D721" s="58"/>
      <c r="E721" s="6"/>
      <c r="F721" s="58"/>
      <c r="G721" s="6"/>
      <c r="H721" s="6"/>
      <c r="I721" s="6"/>
      <c r="J721" s="6"/>
      <c r="K721" s="6"/>
      <c r="L721" s="123"/>
      <c r="M721" s="123"/>
      <c r="N721" s="123"/>
      <c r="O721" s="123"/>
      <c r="P721" s="6"/>
      <c r="Q721" s="6"/>
      <c r="R721" s="6"/>
      <c r="S721" s="6"/>
      <c r="T721" s="6"/>
      <c r="U721" s="6"/>
      <c r="V721" s="6"/>
      <c r="W721" s="6"/>
      <c r="X721" s="6"/>
      <c r="Y721" s="6"/>
      <c r="Z721" s="6"/>
      <c r="AA721" s="6"/>
      <c r="AB721" s="6"/>
      <c r="AC721" s="6"/>
      <c r="AD721" s="6"/>
    </row>
    <row r="722" spans="1:39">
      <c r="A722" s="6"/>
      <c r="C722" s="652" t="s">
        <v>157</v>
      </c>
      <c r="E722" s="30"/>
      <c r="G722" s="29"/>
      <c r="L722" s="538"/>
      <c r="M722" s="538"/>
      <c r="N722" s="538"/>
      <c r="O722" s="538"/>
      <c r="P722" s="538"/>
      <c r="Q722" s="538"/>
      <c r="R722" s="64"/>
      <c r="S722" s="64"/>
      <c r="T722" s="538"/>
      <c r="U722" s="538"/>
      <c r="V722" s="538"/>
      <c r="W722" s="538"/>
      <c r="X722" s="538"/>
      <c r="Y722" s="64"/>
      <c r="Z722" s="64"/>
      <c r="AA722" s="64"/>
      <c r="AB722" s="538"/>
      <c r="AC722" s="501"/>
    </row>
    <row r="723" spans="1:39">
      <c r="A723" s="6"/>
      <c r="C723" s="9" t="s">
        <v>158</v>
      </c>
      <c r="E723" s="30"/>
      <c r="L723" s="538"/>
      <c r="M723" s="538"/>
      <c r="N723" s="538"/>
      <c r="O723" s="538"/>
      <c r="P723" s="538"/>
      <c r="Q723" s="538"/>
      <c r="R723" s="64"/>
      <c r="S723" s="64"/>
      <c r="T723" s="538"/>
      <c r="U723" s="538"/>
      <c r="V723" s="538"/>
      <c r="W723" s="538"/>
      <c r="X723" s="538"/>
      <c r="Y723" s="64"/>
      <c r="Z723" s="64"/>
      <c r="AA723" s="64"/>
      <c r="AB723" s="538"/>
      <c r="AC723" s="501"/>
    </row>
    <row r="724" spans="1:39">
      <c r="A724" s="6"/>
      <c r="B724" s="58"/>
      <c r="C724" s="521" t="s">
        <v>398</v>
      </c>
      <c r="D724" s="58"/>
      <c r="E724" s="30"/>
      <c r="F724" s="58"/>
      <c r="H724" s="58"/>
      <c r="I724" s="58"/>
      <c r="J724" s="58"/>
      <c r="K724" s="58"/>
      <c r="L724" s="538"/>
      <c r="M724" s="538"/>
      <c r="N724" s="538"/>
      <c r="O724" s="538"/>
      <c r="P724" s="538"/>
      <c r="Q724" s="538"/>
      <c r="R724" s="564"/>
      <c r="S724" s="564"/>
      <c r="T724" s="538"/>
      <c r="U724" s="538"/>
      <c r="V724" s="538"/>
      <c r="W724" s="538"/>
      <c r="X724" s="538"/>
      <c r="Y724" s="564"/>
      <c r="Z724" s="564"/>
      <c r="AA724" s="564"/>
      <c r="AB724" s="538"/>
      <c r="AC724" s="501"/>
    </row>
    <row r="725" spans="1:39">
      <c r="A725" s="6">
        <v>325</v>
      </c>
      <c r="B725" s="58"/>
      <c r="C725" s="705" t="s">
        <v>399</v>
      </c>
      <c r="D725" s="58"/>
      <c r="E725" s="522" t="s">
        <v>382</v>
      </c>
      <c r="F725" s="58"/>
      <c r="G725" s="29">
        <v>91095.48</v>
      </c>
      <c r="H725" s="58"/>
      <c r="I725" s="706">
        <v>0.15459999999999999</v>
      </c>
      <c r="J725" s="539">
        <f>(G725*I725*12/1000)</f>
        <v>169.00033449599997</v>
      </c>
      <c r="K725" s="58"/>
      <c r="L725" s="29">
        <v>0</v>
      </c>
      <c r="M725" s="29">
        <v>0</v>
      </c>
      <c r="N725" s="29">
        <v>0</v>
      </c>
      <c r="O725" s="29">
        <v>0</v>
      </c>
      <c r="P725" s="29">
        <v>0</v>
      </c>
      <c r="Q725" s="538">
        <f>J725-L725-M725-N725-O725-P725</f>
        <v>169.00033449599997</v>
      </c>
      <c r="R725" s="564"/>
      <c r="S725" s="29">
        <v>4.8098413440000343</v>
      </c>
      <c r="T725" s="29">
        <v>0</v>
      </c>
      <c r="U725" s="29">
        <v>0</v>
      </c>
      <c r="V725" s="29">
        <v>0</v>
      </c>
      <c r="W725" s="29">
        <v>0</v>
      </c>
      <c r="X725" s="29">
        <v>0</v>
      </c>
      <c r="Y725" s="564"/>
      <c r="Z725" s="564">
        <f>Q725+S725+T725+U725+V725+W725+X725</f>
        <v>173.81017584</v>
      </c>
      <c r="AA725" s="707">
        <v>0.159</v>
      </c>
      <c r="AB725" s="538">
        <f>Z725-J725</f>
        <v>4.8098413440000343</v>
      </c>
      <c r="AC725" s="541">
        <f>IFERROR((AA725-I725)/I725,"")</f>
        <v>2.8460543337645635E-2</v>
      </c>
      <c r="AD725" s="542"/>
      <c r="AF725" s="543"/>
      <c r="AI725" s="543"/>
      <c r="AK725" s="543"/>
      <c r="AM725" s="560"/>
    </row>
    <row r="726" spans="1:39">
      <c r="A726" s="1">
        <f>MAX(A$724:A725)+1</f>
        <v>326</v>
      </c>
      <c r="C726" s="705" t="s">
        <v>400</v>
      </c>
      <c r="E726" s="522" t="s">
        <v>331</v>
      </c>
      <c r="G726" s="29">
        <v>0</v>
      </c>
      <c r="I726" s="706">
        <v>5.8999999999999999E-3</v>
      </c>
      <c r="J726" s="564">
        <f>(G726*I726*12/1000)</f>
        <v>0</v>
      </c>
      <c r="L726" s="29">
        <v>0</v>
      </c>
      <c r="M726" s="29">
        <v>0</v>
      </c>
      <c r="N726" s="29">
        <v>0</v>
      </c>
      <c r="O726" s="29">
        <v>0</v>
      </c>
      <c r="P726" s="29">
        <v>0</v>
      </c>
      <c r="Q726" s="538">
        <f>J726-L726-M726-N726-O726-P726</f>
        <v>0</v>
      </c>
      <c r="R726" s="64"/>
      <c r="S726" s="29">
        <v>0</v>
      </c>
      <c r="T726" s="29">
        <v>0</v>
      </c>
      <c r="U726" s="29">
        <v>0</v>
      </c>
      <c r="V726" s="29">
        <v>0</v>
      </c>
      <c r="W726" s="29">
        <v>0</v>
      </c>
      <c r="X726" s="29">
        <v>0</v>
      </c>
      <c r="Y726" s="29"/>
      <c r="Z726" s="564">
        <f>Q726+S726+T726+U726+V726+W726+X726</f>
        <v>0</v>
      </c>
      <c r="AA726" s="707">
        <v>6.2728767123287664E-3</v>
      </c>
      <c r="AB726" s="538">
        <f>Z726-J726</f>
        <v>0</v>
      </c>
      <c r="AC726" s="541">
        <f>IFERROR((AA726-I726)/I726,"")</f>
        <v>6.3199442767587558E-2</v>
      </c>
      <c r="AD726" s="542"/>
      <c r="AF726" s="543"/>
      <c r="AI726" s="543"/>
      <c r="AK726" s="543"/>
      <c r="AM726" s="560"/>
    </row>
    <row r="727" spans="1:39">
      <c r="E727" s="30"/>
      <c r="G727" s="29"/>
      <c r="J727" s="567"/>
      <c r="L727" s="538"/>
      <c r="M727" s="538"/>
      <c r="N727" s="538"/>
      <c r="O727" s="538"/>
      <c r="P727" s="538"/>
      <c r="Q727" s="538"/>
      <c r="R727" s="64"/>
      <c r="S727" s="64"/>
      <c r="T727" s="538"/>
      <c r="U727" s="538"/>
      <c r="V727" s="538"/>
      <c r="W727" s="538"/>
      <c r="X727" s="538"/>
      <c r="Y727" s="64"/>
      <c r="Z727" s="64"/>
      <c r="AA727" s="64"/>
      <c r="AB727" s="538"/>
      <c r="AC727" s="501"/>
      <c r="AF727" s="543"/>
      <c r="AI727" s="543"/>
      <c r="AK727" s="543"/>
    </row>
    <row r="728" spans="1:39" ht="12.95" thickBot="1">
      <c r="A728" s="1">
        <f>MAX(A$724:A727)+1</f>
        <v>327</v>
      </c>
      <c r="C728" s="501" t="s">
        <v>401</v>
      </c>
      <c r="E728" s="30"/>
      <c r="G728" s="589">
        <f>G725+G726</f>
        <v>91095.48</v>
      </c>
      <c r="I728" s="708">
        <f>J728/G728*100</f>
        <v>0.18551999999999999</v>
      </c>
      <c r="J728" s="709">
        <f>SUM(J725:J727)</f>
        <v>169.00033449599997</v>
      </c>
      <c r="L728" s="587">
        <f>SUM(L725:L727)</f>
        <v>0</v>
      </c>
      <c r="M728" s="587">
        <f t="shared" ref="M728:Q728" si="235">SUM(M725:M727)</f>
        <v>0</v>
      </c>
      <c r="N728" s="587">
        <f t="shared" si="235"/>
        <v>0</v>
      </c>
      <c r="O728" s="587">
        <f t="shared" si="235"/>
        <v>0</v>
      </c>
      <c r="P728" s="587">
        <f t="shared" si="235"/>
        <v>0</v>
      </c>
      <c r="Q728" s="587">
        <f t="shared" si="235"/>
        <v>169.00033449599997</v>
      </c>
      <c r="R728" s="538"/>
      <c r="S728" s="587">
        <f t="shared" ref="S728:X728" si="236">SUM(S725:S727)</f>
        <v>4.8098413440000343</v>
      </c>
      <c r="T728" s="587">
        <f t="shared" si="236"/>
        <v>0</v>
      </c>
      <c r="U728" s="587">
        <f t="shared" si="236"/>
        <v>0</v>
      </c>
      <c r="V728" s="587">
        <f t="shared" si="236"/>
        <v>0</v>
      </c>
      <c r="W728" s="587">
        <f t="shared" si="236"/>
        <v>0</v>
      </c>
      <c r="X728" s="587">
        <f t="shared" si="236"/>
        <v>0</v>
      </c>
      <c r="Y728" s="64"/>
      <c r="Z728" s="710">
        <f>SUM(Z725:Z727)</f>
        <v>173.81017584</v>
      </c>
      <c r="AA728" s="628">
        <v>0</v>
      </c>
      <c r="AB728" s="587">
        <f>AB725+AB726</f>
        <v>4.8098413440000343</v>
      </c>
      <c r="AC728" s="573">
        <f>(Z728-J728)/J728</f>
        <v>2.8460543337645746E-2</v>
      </c>
      <c r="AD728" s="542"/>
      <c r="AF728" s="543"/>
      <c r="AI728" s="543"/>
      <c r="AK728" s="543"/>
    </row>
    <row r="729" spans="1:39" ht="12.95" thickTop="1">
      <c r="C729" s="12"/>
      <c r="E729" s="30"/>
      <c r="G729" s="29"/>
      <c r="J729" s="567"/>
      <c r="L729" s="538"/>
      <c r="M729" s="538"/>
      <c r="N729" s="538"/>
      <c r="O729" s="538"/>
      <c r="P729" s="538"/>
      <c r="Q729" s="538"/>
      <c r="R729" s="64"/>
      <c r="S729" s="64"/>
      <c r="T729" s="538"/>
      <c r="U729" s="538"/>
      <c r="V729" s="538"/>
      <c r="W729" s="538"/>
      <c r="X729" s="538"/>
      <c r="Y729" s="64"/>
      <c r="Z729" s="64"/>
      <c r="AA729" s="64"/>
      <c r="AB729" s="538"/>
      <c r="AC729" s="501"/>
      <c r="AF729" s="543"/>
    </row>
    <row r="730" spans="1:39">
      <c r="B730" s="58"/>
      <c r="C730" s="9" t="s">
        <v>159</v>
      </c>
      <c r="D730" s="58"/>
      <c r="E730" s="30"/>
      <c r="F730" s="58"/>
      <c r="G730" s="29"/>
      <c r="H730" s="58"/>
      <c r="I730" s="58"/>
      <c r="J730" s="539"/>
      <c r="K730" s="58"/>
      <c r="L730" s="538"/>
      <c r="M730" s="538"/>
      <c r="N730" s="538"/>
      <c r="O730" s="538"/>
      <c r="P730" s="538"/>
      <c r="Q730" s="538"/>
      <c r="R730" s="564"/>
      <c r="S730" s="564"/>
      <c r="T730" s="538"/>
      <c r="U730" s="538"/>
      <c r="V730" s="538"/>
      <c r="W730" s="538"/>
      <c r="X730" s="538"/>
      <c r="Y730" s="564"/>
      <c r="Z730" s="564"/>
      <c r="AA730" s="564"/>
      <c r="AB730" s="538"/>
      <c r="AC730" s="501"/>
      <c r="AF730" s="543"/>
    </row>
    <row r="731" spans="1:39">
      <c r="A731" s="1">
        <f>MAX(A$724:A730)+1</f>
        <v>328</v>
      </c>
      <c r="C731" s="711" t="s">
        <v>402</v>
      </c>
      <c r="E731" s="522" t="s">
        <v>382</v>
      </c>
      <c r="G731" s="29">
        <v>1210000</v>
      </c>
      <c r="I731" s="706">
        <v>1.3209</v>
      </c>
      <c r="J731" s="567">
        <f>(G731*I731*12/1000)</f>
        <v>19179.468000000001</v>
      </c>
      <c r="L731" s="29">
        <v>0</v>
      </c>
      <c r="M731" s="29">
        <v>0</v>
      </c>
      <c r="N731" s="29">
        <v>0</v>
      </c>
      <c r="O731" s="29">
        <v>0</v>
      </c>
      <c r="P731" s="29">
        <v>0</v>
      </c>
      <c r="Q731" s="538">
        <f>J731-L731-M731-N731-O731-P731</f>
        <v>19179.468000000001</v>
      </c>
      <c r="R731" s="64"/>
      <c r="S731" s="29">
        <v>524.08445877558188</v>
      </c>
      <c r="T731" s="29">
        <v>0</v>
      </c>
      <c r="U731" s="29">
        <v>0</v>
      </c>
      <c r="V731" s="29">
        <v>0</v>
      </c>
      <c r="W731" s="29">
        <v>0</v>
      </c>
      <c r="X731" s="29">
        <v>0</v>
      </c>
      <c r="Y731" s="64"/>
      <c r="Z731" s="64">
        <f>Q731+S731+T731+U731+V731+W731+X731</f>
        <v>19703.552458775583</v>
      </c>
      <c r="AA731" s="707">
        <v>1.357</v>
      </c>
      <c r="AB731" s="538">
        <f>Z731-J731</f>
        <v>524.08445877558188</v>
      </c>
      <c r="AC731" s="541">
        <f>IFERROR((AA731-I731)/I731,"")</f>
        <v>2.7329850859262639E-2</v>
      </c>
      <c r="AD731" s="542"/>
      <c r="AF731" s="543"/>
      <c r="AH731" s="543"/>
      <c r="AI731" s="543"/>
      <c r="AK731" s="543"/>
      <c r="AM731" s="560"/>
    </row>
    <row r="732" spans="1:39">
      <c r="B732" s="58"/>
      <c r="C732" s="501"/>
      <c r="D732" s="58"/>
      <c r="E732" s="574"/>
      <c r="F732" s="58"/>
      <c r="G732" s="29"/>
      <c r="H732" s="58"/>
      <c r="I732" s="58"/>
      <c r="J732" s="58"/>
      <c r="K732" s="58"/>
      <c r="L732" s="538"/>
      <c r="M732" s="538"/>
      <c r="N732" s="538"/>
      <c r="O732" s="538"/>
      <c r="P732" s="538"/>
      <c r="Q732" s="538"/>
      <c r="R732" s="564"/>
      <c r="S732" s="564"/>
      <c r="T732" s="538"/>
      <c r="U732" s="538"/>
      <c r="V732" s="538"/>
      <c r="W732" s="538"/>
      <c r="X732" s="538"/>
      <c r="Y732" s="564"/>
      <c r="Z732" s="564"/>
      <c r="AA732" s="564"/>
      <c r="AB732" s="538"/>
      <c r="AC732" s="501"/>
      <c r="AF732" s="543"/>
      <c r="AH732" s="543"/>
      <c r="AI732" s="543"/>
      <c r="AK732" s="543"/>
    </row>
    <row r="733" spans="1:39" ht="12.95" thickBot="1">
      <c r="A733" s="1">
        <f>MAX(A$724:A732)+1</f>
        <v>329</v>
      </c>
      <c r="B733" s="58"/>
      <c r="C733" s="501" t="s">
        <v>403</v>
      </c>
      <c r="D733" s="58"/>
      <c r="E733" s="30"/>
      <c r="F733" s="58"/>
      <c r="G733" s="439">
        <f>G731</f>
        <v>1210000</v>
      </c>
      <c r="H733" s="58"/>
      <c r="I733" s="712">
        <f>I731</f>
        <v>1.3209</v>
      </c>
      <c r="J733" s="627">
        <f>SUM(J731:J732)</f>
        <v>19179.468000000001</v>
      </c>
      <c r="K733" s="58"/>
      <c r="L733" s="587">
        <f t="shared" ref="L733:Q733" si="237">SUM(L731:L732)</f>
        <v>0</v>
      </c>
      <c r="M733" s="587">
        <f t="shared" si="237"/>
        <v>0</v>
      </c>
      <c r="N733" s="587">
        <f t="shared" si="237"/>
        <v>0</v>
      </c>
      <c r="O733" s="587">
        <f t="shared" si="237"/>
        <v>0</v>
      </c>
      <c r="P733" s="587">
        <f t="shared" si="237"/>
        <v>0</v>
      </c>
      <c r="Q733" s="587">
        <f t="shared" si="237"/>
        <v>19179.468000000001</v>
      </c>
      <c r="R733" s="538"/>
      <c r="S733" s="628">
        <f t="shared" ref="S733:X733" si="238">SUM(S731:S732)</f>
        <v>524.08445877558188</v>
      </c>
      <c r="T733" s="628">
        <f t="shared" si="238"/>
        <v>0</v>
      </c>
      <c r="U733" s="628">
        <f t="shared" si="238"/>
        <v>0</v>
      </c>
      <c r="V733" s="628">
        <f t="shared" si="238"/>
        <v>0</v>
      </c>
      <c r="W733" s="628">
        <f t="shared" si="238"/>
        <v>0</v>
      </c>
      <c r="X733" s="628">
        <f t="shared" si="238"/>
        <v>0</v>
      </c>
      <c r="Y733" s="564"/>
      <c r="Z733" s="628">
        <f>SUM(Z731:Z732)</f>
        <v>19703.552458775583</v>
      </c>
      <c r="AA733" s="628">
        <v>0</v>
      </c>
      <c r="AB733" s="587">
        <f>AB731</f>
        <v>524.08445877558188</v>
      </c>
      <c r="AC733" s="573">
        <f>(Z733-J733)/J733</f>
        <v>2.7325286539521421E-2</v>
      </c>
      <c r="AD733" s="542"/>
      <c r="AF733" s="543"/>
      <c r="AH733" s="543"/>
      <c r="AI733" s="543"/>
      <c r="AK733" s="543"/>
    </row>
    <row r="734" spans="1:39" ht="12.95" thickTop="1">
      <c r="G734" s="129"/>
      <c r="L734" s="538"/>
      <c r="M734" s="538"/>
      <c r="N734" s="538"/>
      <c r="O734" s="538"/>
      <c r="P734" s="538"/>
      <c r="Q734" s="538"/>
      <c r="R734" s="64"/>
      <c r="S734" s="64"/>
      <c r="T734" s="538"/>
      <c r="U734" s="538"/>
      <c r="V734" s="538"/>
      <c r="W734" s="538"/>
      <c r="X734" s="538"/>
      <c r="Y734" s="64"/>
      <c r="Z734" s="64"/>
      <c r="AA734" s="64"/>
      <c r="AB734" s="538"/>
      <c r="AC734" s="501"/>
      <c r="AF734" s="543"/>
      <c r="AH734" s="543"/>
      <c r="AI734" s="543"/>
      <c r="AK734" s="543"/>
    </row>
    <row r="735" spans="1:39">
      <c r="B735" s="58"/>
      <c r="C735" s="713" t="s">
        <v>404</v>
      </c>
      <c r="D735" s="58"/>
      <c r="E735" s="30"/>
      <c r="F735" s="58"/>
      <c r="G735" s="29"/>
      <c r="H735" s="58"/>
      <c r="I735" s="58"/>
      <c r="J735" s="58"/>
      <c r="K735" s="58"/>
      <c r="L735" s="538"/>
      <c r="M735" s="538"/>
      <c r="N735" s="538"/>
      <c r="O735" s="538"/>
      <c r="P735" s="538"/>
      <c r="Q735" s="538"/>
      <c r="R735" s="564"/>
      <c r="S735" s="564"/>
      <c r="T735" s="538"/>
      <c r="U735" s="538"/>
      <c r="V735" s="538"/>
      <c r="W735" s="538"/>
      <c r="X735" s="538"/>
      <c r="Y735" s="564"/>
      <c r="Z735" s="564"/>
      <c r="AA735" s="564"/>
      <c r="AB735" s="538"/>
      <c r="AC735" s="501"/>
    </row>
    <row r="736" spans="1:39">
      <c r="A736" s="1">
        <f>MAX(A$724:A735)+1</f>
        <v>330</v>
      </c>
      <c r="B736" s="58"/>
      <c r="C736" s="521" t="s">
        <v>405</v>
      </c>
      <c r="D736" s="58"/>
      <c r="E736" s="30"/>
      <c r="F736" s="58"/>
      <c r="G736" s="29"/>
      <c r="H736" s="58"/>
      <c r="I736" s="58"/>
      <c r="J736" s="29">
        <v>3560.977942268019</v>
      </c>
      <c r="K736" s="58"/>
      <c r="L736" s="538"/>
      <c r="M736" s="538"/>
      <c r="N736" s="538"/>
      <c r="O736" s="538"/>
      <c r="P736" s="538"/>
      <c r="Q736" s="29">
        <v>3560.977942268019</v>
      </c>
      <c r="R736" s="564"/>
      <c r="S736" s="564"/>
      <c r="T736" s="538"/>
      <c r="U736" s="538"/>
      <c r="V736" s="538"/>
      <c r="W736" s="538"/>
      <c r="X736" s="538"/>
      <c r="Y736" s="564"/>
      <c r="Z736" s="29">
        <v>3560.977942268019</v>
      </c>
      <c r="AA736" s="564"/>
      <c r="AB736" s="538">
        <f>Z736-J736</f>
        <v>0</v>
      </c>
      <c r="AC736" s="501"/>
      <c r="AF736" s="543"/>
      <c r="AH736" s="543"/>
      <c r="AI736" s="543"/>
      <c r="AK736" s="543"/>
    </row>
    <row r="737" spans="1:39">
      <c r="B737" s="58"/>
      <c r="C737" s="10"/>
      <c r="D737" s="58"/>
      <c r="E737" s="30"/>
      <c r="F737" s="58"/>
      <c r="G737" s="132"/>
      <c r="H737" s="58"/>
      <c r="I737" s="58"/>
      <c r="J737" s="58"/>
      <c r="K737" s="58"/>
      <c r="L737" s="538"/>
      <c r="M737" s="538"/>
      <c r="N737" s="538"/>
      <c r="O737" s="538"/>
      <c r="P737" s="538"/>
      <c r="Q737" s="538"/>
      <c r="R737" s="564"/>
      <c r="S737" s="564"/>
      <c r="T737" s="538"/>
      <c r="U737" s="538"/>
      <c r="V737" s="538"/>
      <c r="W737" s="538"/>
      <c r="X737" s="538"/>
      <c r="Y737" s="564"/>
      <c r="Z737" s="564"/>
      <c r="AA737" s="564"/>
      <c r="AB737" s="538"/>
      <c r="AC737" s="501"/>
    </row>
    <row r="738" spans="1:39">
      <c r="B738" s="58"/>
      <c r="C738" s="9" t="s">
        <v>406</v>
      </c>
      <c r="D738" s="58"/>
      <c r="E738" s="574"/>
      <c r="F738" s="58"/>
      <c r="G738" s="132"/>
      <c r="H738" s="58"/>
      <c r="I738" s="58"/>
      <c r="J738" s="58"/>
      <c r="K738" s="58"/>
      <c r="L738" s="538"/>
      <c r="M738" s="538"/>
      <c r="N738" s="538"/>
      <c r="O738" s="538"/>
      <c r="P738" s="538"/>
      <c r="Q738" s="538"/>
      <c r="R738" s="564"/>
      <c r="S738" s="564"/>
      <c r="T738" s="538"/>
      <c r="U738" s="538"/>
      <c r="V738" s="538"/>
      <c r="W738" s="538"/>
      <c r="X738" s="538"/>
      <c r="Y738" s="564"/>
      <c r="Z738" s="564"/>
      <c r="AA738" s="564"/>
      <c r="AB738" s="538"/>
      <c r="AC738" s="501"/>
    </row>
    <row r="739" spans="1:39">
      <c r="B739" s="58"/>
      <c r="C739" s="10" t="s">
        <v>407</v>
      </c>
      <c r="D739" s="58"/>
      <c r="E739" s="501"/>
      <c r="F739" s="58"/>
      <c r="G739" s="132"/>
      <c r="H739" s="58"/>
      <c r="I739" s="58"/>
      <c r="J739" s="58"/>
      <c r="K739" s="58"/>
      <c r="L739" s="538"/>
      <c r="M739" s="538"/>
      <c r="N739" s="538"/>
      <c r="O739" s="538"/>
      <c r="P739" s="538"/>
      <c r="Q739" s="538"/>
      <c r="R739" s="564"/>
      <c r="S739" s="564"/>
      <c r="T739" s="538"/>
      <c r="U739" s="538"/>
      <c r="V739" s="538"/>
      <c r="W739" s="538"/>
      <c r="X739" s="538"/>
      <c r="Y739" s="564"/>
      <c r="Z739" s="564"/>
      <c r="AA739" s="564"/>
      <c r="AB739" s="538"/>
      <c r="AC739" s="501"/>
    </row>
    <row r="740" spans="1:39">
      <c r="A740" s="1">
        <f>MAX(A$724:A739)+1</f>
        <v>331</v>
      </c>
      <c r="B740" s="58"/>
      <c r="C740" s="526" t="s">
        <v>408</v>
      </c>
      <c r="D740" s="581"/>
      <c r="E740" s="522" t="s">
        <v>382</v>
      </c>
      <c r="F740" s="581"/>
      <c r="G740" s="29">
        <v>22020420</v>
      </c>
      <c r="H740" s="581"/>
      <c r="I740" s="701">
        <v>3.76</v>
      </c>
      <c r="J740" s="539">
        <f>G740*I740/1000</f>
        <v>82796.77919999999</v>
      </c>
      <c r="K740" s="581"/>
      <c r="L740" s="29">
        <v>0</v>
      </c>
      <c r="M740" s="29">
        <v>0</v>
      </c>
      <c r="N740" s="29">
        <v>0</v>
      </c>
      <c r="O740" s="29">
        <v>0</v>
      </c>
      <c r="P740" s="29">
        <v>0</v>
      </c>
      <c r="Q740" s="538">
        <f>SUM(J740-L740-M740-N740-O740-P740)</f>
        <v>82796.77919999999</v>
      </c>
      <c r="R740" s="582"/>
      <c r="S740" s="29">
        <v>2318.315581713352</v>
      </c>
      <c r="T740" s="29">
        <v>0</v>
      </c>
      <c r="U740" s="29">
        <v>0</v>
      </c>
      <c r="V740" s="29">
        <v>0</v>
      </c>
      <c r="W740" s="29">
        <v>0</v>
      </c>
      <c r="X740" s="29">
        <v>0</v>
      </c>
      <c r="Y740" s="582"/>
      <c r="Z740" s="564">
        <f>Q740+S740+T740+U740+V740+W740+X740</f>
        <v>85115.094781713342</v>
      </c>
      <c r="AA740" s="701">
        <f>Z740/G740*1000</f>
        <v>3.8652802617621891</v>
      </c>
      <c r="AB740" s="538">
        <f>Z740-J740</f>
        <v>2318.315581713352</v>
      </c>
      <c r="AC740" s="541">
        <f>AA740/I740-1</f>
        <v>2.8000069617603485E-2</v>
      </c>
      <c r="AD740" s="542"/>
      <c r="AF740" s="543"/>
      <c r="AH740" s="543"/>
      <c r="AI740" s="543"/>
      <c r="AK740" s="543"/>
      <c r="AM740" s="560"/>
    </row>
    <row r="741" spans="1:39">
      <c r="A741" s="1">
        <f>MAX(A$724:A740)+1</f>
        <v>332</v>
      </c>
      <c r="B741" s="58"/>
      <c r="C741" s="714" t="s">
        <v>409</v>
      </c>
      <c r="D741" s="57"/>
      <c r="E741" s="522" t="s">
        <v>382</v>
      </c>
      <c r="F741" s="57"/>
      <c r="G741" s="29">
        <v>5417148</v>
      </c>
      <c r="H741" s="57"/>
      <c r="I741" s="701">
        <v>7.6999999999999999E-2</v>
      </c>
      <c r="J741" s="539">
        <f>G741*I741/1000</f>
        <v>417.12039600000003</v>
      </c>
      <c r="K741" s="57"/>
      <c r="L741" s="29">
        <v>0</v>
      </c>
      <c r="M741" s="29">
        <v>0</v>
      </c>
      <c r="N741" s="29">
        <v>0</v>
      </c>
      <c r="O741" s="29">
        <v>0</v>
      </c>
      <c r="P741" s="29">
        <v>0</v>
      </c>
      <c r="Q741" s="538">
        <f>SUM(J741-L741-M741-N741-O741-P741)</f>
        <v>417.12039600000003</v>
      </c>
      <c r="R741" s="583"/>
      <c r="S741" s="29">
        <v>11.397934342178587</v>
      </c>
      <c r="T741" s="29">
        <v>0</v>
      </c>
      <c r="U741" s="29">
        <v>0</v>
      </c>
      <c r="V741" s="29">
        <v>0</v>
      </c>
      <c r="W741" s="29">
        <v>0</v>
      </c>
      <c r="X741" s="29">
        <v>0</v>
      </c>
      <c r="Y741" s="583"/>
      <c r="Z741" s="564">
        <f>Q741+S741+T741+U741+V741+W741+X741</f>
        <v>428.51833034217861</v>
      </c>
      <c r="AA741" s="701">
        <f>Z741/G741*1000</f>
        <v>7.9104047063543154E-2</v>
      </c>
      <c r="AB741" s="538">
        <f>Z741-J741</f>
        <v>11.397934342178587</v>
      </c>
      <c r="AC741" s="541">
        <f>AA741/I741-1</f>
        <v>2.7325286539521487E-2</v>
      </c>
      <c r="AD741" s="542"/>
      <c r="AF741" s="543"/>
      <c r="AH741" s="543"/>
      <c r="AI741" s="543"/>
      <c r="AK741" s="543"/>
      <c r="AM741" s="560"/>
    </row>
    <row r="742" spans="1:39">
      <c r="A742" s="1">
        <f>MAX(A$724:A741)+1</f>
        <v>333</v>
      </c>
      <c r="B742" s="58"/>
      <c r="C742" s="526" t="s">
        <v>410</v>
      </c>
      <c r="D742" s="58"/>
      <c r="E742" s="522" t="s">
        <v>382</v>
      </c>
      <c r="F742" s="58"/>
      <c r="G742" s="29">
        <v>594000</v>
      </c>
      <c r="H742" s="58"/>
      <c r="I742" s="701">
        <v>3.19</v>
      </c>
      <c r="J742" s="539">
        <f>G742*I742/1000</f>
        <v>1894.86</v>
      </c>
      <c r="K742" s="58"/>
      <c r="L742" s="29">
        <v>0</v>
      </c>
      <c r="M742" s="29">
        <v>0</v>
      </c>
      <c r="N742" s="29">
        <v>0</v>
      </c>
      <c r="O742" s="29">
        <v>0</v>
      </c>
      <c r="P742" s="29">
        <v>0</v>
      </c>
      <c r="Q742" s="538">
        <f>SUM(J742-L742-M742-N742-O742-P742)</f>
        <v>1894.86</v>
      </c>
      <c r="R742" s="564"/>
      <c r="S742" s="29">
        <v>54.542559408437228</v>
      </c>
      <c r="T742" s="29">
        <v>0</v>
      </c>
      <c r="U742" s="29">
        <v>0</v>
      </c>
      <c r="V742" s="29">
        <v>0</v>
      </c>
      <c r="W742" s="29">
        <v>0</v>
      </c>
      <c r="X742" s="29">
        <v>0</v>
      </c>
      <c r="Y742" s="564"/>
      <c r="Z742" s="564">
        <f t="shared" ref="Z742:Z743" si="239">Q742+S742+T742+U742+V742+W742+X742</f>
        <v>1949.4025594084371</v>
      </c>
      <c r="AA742" s="701">
        <f t="shared" ref="AA742:AA743" si="240">Z742/G742*1000</f>
        <v>3.2818224905865945</v>
      </c>
      <c r="AB742" s="538">
        <f t="shared" ref="AB742:AB743" si="241">Z742-J742</f>
        <v>54.542559408437228</v>
      </c>
      <c r="AC742" s="541">
        <f t="shared" ref="AC742:AC743" si="242">AA742/I742-1</f>
        <v>2.8784479807709928E-2</v>
      </c>
      <c r="AD742" s="542"/>
      <c r="AF742" s="543"/>
      <c r="AH742" s="543"/>
      <c r="AI742" s="543"/>
      <c r="AK742" s="543"/>
      <c r="AM742" s="560"/>
    </row>
    <row r="743" spans="1:39">
      <c r="A743" s="1">
        <f>MAX(A$724:A742)+1</f>
        <v>334</v>
      </c>
      <c r="C743" s="714" t="s">
        <v>409</v>
      </c>
      <c r="E743" s="522" t="s">
        <v>382</v>
      </c>
      <c r="G743" s="29">
        <v>594000</v>
      </c>
      <c r="I743" s="701">
        <v>7.6999999999999999E-2</v>
      </c>
      <c r="J743" s="539">
        <f t="shared" ref="J743" si="243">G743*I743/1000</f>
        <v>45.738</v>
      </c>
      <c r="L743" s="29">
        <v>0</v>
      </c>
      <c r="M743" s="29">
        <v>0</v>
      </c>
      <c r="N743" s="29">
        <v>0</v>
      </c>
      <c r="O743" s="29">
        <v>0</v>
      </c>
      <c r="P743" s="29">
        <v>0</v>
      </c>
      <c r="Q743" s="538">
        <f t="shared" ref="Q743:Q748" si="244">SUM(J743-L743-M743-N743-O743-P743)</f>
        <v>45.738</v>
      </c>
      <c r="R743" s="64"/>
      <c r="S743" s="29">
        <v>1.2498039557446319</v>
      </c>
      <c r="T743" s="29">
        <v>0</v>
      </c>
      <c r="U743" s="29">
        <v>0</v>
      </c>
      <c r="V743" s="29">
        <v>0</v>
      </c>
      <c r="W743" s="29">
        <v>0</v>
      </c>
      <c r="X743" s="29">
        <v>0</v>
      </c>
      <c r="Y743" s="64"/>
      <c r="Z743" s="564">
        <f t="shared" si="239"/>
        <v>46.987803955744631</v>
      </c>
      <c r="AA743" s="701">
        <f t="shared" si="240"/>
        <v>7.9104047063543154E-2</v>
      </c>
      <c r="AB743" s="538">
        <f t="shared" si="241"/>
        <v>1.2498039557446319</v>
      </c>
      <c r="AC743" s="541">
        <f t="shared" si="242"/>
        <v>2.7325286539521487E-2</v>
      </c>
      <c r="AD743" s="542"/>
      <c r="AF743" s="543"/>
      <c r="AH743" s="543"/>
      <c r="AI743" s="543"/>
      <c r="AK743" s="543"/>
      <c r="AM743" s="560"/>
    </row>
    <row r="744" spans="1:39">
      <c r="A744" s="1">
        <f>MAX(A$724:A743)+1</f>
        <v>335</v>
      </c>
      <c r="B744" s="581"/>
      <c r="C744" s="526" t="s">
        <v>411</v>
      </c>
      <c r="D744" s="58"/>
      <c r="E744" s="522" t="s">
        <v>382</v>
      </c>
      <c r="G744" s="29">
        <v>4604866</v>
      </c>
      <c r="H744" s="58"/>
      <c r="I744" s="701">
        <v>0.56999999999999995</v>
      </c>
      <c r="J744" s="539">
        <f>G744*I744/1000</f>
        <v>2624.7736199999995</v>
      </c>
      <c r="K744" s="58"/>
      <c r="L744" s="29">
        <v>0</v>
      </c>
      <c r="M744" s="29">
        <v>0</v>
      </c>
      <c r="N744" s="29">
        <v>0</v>
      </c>
      <c r="O744" s="29">
        <v>0</v>
      </c>
      <c r="P744" s="29">
        <v>0</v>
      </c>
      <c r="Q744" s="538">
        <f>SUM(J744-L744-M744-N744-O744-P744)</f>
        <v>2624.7736199999995</v>
      </c>
      <c r="R744" s="564"/>
      <c r="S744" s="29">
        <v>61.971232922274339</v>
      </c>
      <c r="T744" s="29">
        <v>0</v>
      </c>
      <c r="U744" s="29">
        <v>0</v>
      </c>
      <c r="V744" s="29">
        <v>0</v>
      </c>
      <c r="W744" s="29">
        <v>0</v>
      </c>
      <c r="X744" s="29">
        <v>0</v>
      </c>
      <c r="Y744" s="564"/>
      <c r="Z744" s="564">
        <f>Q744+S744+T744+U744+V744+W744+X744</f>
        <v>2686.7448529222738</v>
      </c>
      <c r="AA744" s="701">
        <f>Z744/G744*1000</f>
        <v>0.58345777117559416</v>
      </c>
      <c r="AB744" s="538">
        <f>Z744-J744</f>
        <v>61.971232922274339</v>
      </c>
      <c r="AC744" s="541">
        <f>AA744/I744-1</f>
        <v>2.3610124869463567E-2</v>
      </c>
      <c r="AD744" s="542"/>
      <c r="AF744" s="543"/>
      <c r="AH744" s="543"/>
      <c r="AI744" s="543"/>
      <c r="AK744" s="543"/>
      <c r="AM744" s="560"/>
    </row>
    <row r="745" spans="1:39">
      <c r="B745" s="57"/>
      <c r="C745" s="12" t="s">
        <v>412</v>
      </c>
      <c r="D745" s="5"/>
      <c r="E745" s="522" t="s">
        <v>382</v>
      </c>
      <c r="F745" s="5"/>
      <c r="G745" s="501"/>
      <c r="H745" s="501"/>
      <c r="I745" s="501"/>
      <c r="J745" s="501"/>
      <c r="K745" s="501"/>
      <c r="L745" s="501"/>
      <c r="M745" s="501"/>
      <c r="N745" s="501"/>
      <c r="O745" s="501"/>
      <c r="P745" s="501"/>
      <c r="Q745" s="501"/>
      <c r="R745" s="501"/>
      <c r="S745" s="501"/>
      <c r="T745" s="501"/>
      <c r="U745" s="501"/>
      <c r="V745" s="501"/>
      <c r="W745" s="501"/>
      <c r="X745" s="501"/>
      <c r="Y745" s="501"/>
      <c r="Z745" s="501"/>
      <c r="AA745" s="501"/>
      <c r="AB745" s="501"/>
      <c r="AC745" s="501"/>
      <c r="AF745" s="252"/>
      <c r="AG745" s="252"/>
      <c r="AH745" s="252"/>
      <c r="AI745" s="252"/>
      <c r="AJ745" s="252"/>
      <c r="AK745" s="252"/>
      <c r="AL745" s="252"/>
    </row>
    <row r="746" spans="1:39">
      <c r="A746" s="1">
        <f>MAX(A$724:A745)+1</f>
        <v>336</v>
      </c>
      <c r="B746" s="5"/>
      <c r="C746" s="714" t="s">
        <v>413</v>
      </c>
      <c r="D746" s="58"/>
      <c r="E746" s="522" t="s">
        <v>382</v>
      </c>
      <c r="F746" s="58"/>
      <c r="G746" s="29">
        <v>654156</v>
      </c>
      <c r="H746" s="5"/>
      <c r="I746" s="701">
        <v>4.6479999999999997</v>
      </c>
      <c r="J746" s="539">
        <f>G746*I746/1000</f>
        <v>3040.5170880000001</v>
      </c>
      <c r="K746" s="5"/>
      <c r="L746" s="29">
        <v>0</v>
      </c>
      <c r="M746" s="29">
        <v>0</v>
      </c>
      <c r="N746" s="29">
        <v>0</v>
      </c>
      <c r="O746" s="29">
        <v>0</v>
      </c>
      <c r="P746" s="29">
        <v>0</v>
      </c>
      <c r="Q746" s="538">
        <f>SUM(J746-L746-M746-N746-O746-P746)</f>
        <v>3040.5170880000001</v>
      </c>
      <c r="R746" s="585"/>
      <c r="S746" s="29">
        <v>82.460136797450104</v>
      </c>
      <c r="T746" s="29"/>
      <c r="U746" s="29"/>
      <c r="V746" s="29"/>
      <c r="W746" s="29"/>
      <c r="X746" s="29"/>
      <c r="Y746" s="585"/>
      <c r="Z746" s="564">
        <f>Q746+S746+T746+U746+V746+W746+X746</f>
        <v>3122.9772247974502</v>
      </c>
      <c r="AA746" s="701">
        <f>Z746/G746*1000</f>
        <v>4.7740557677334614</v>
      </c>
      <c r="AB746" s="538">
        <f>Z746-J746</f>
        <v>82.460136797450104</v>
      </c>
      <c r="AC746" s="541">
        <f>AA746/I746-1</f>
        <v>2.7120431956424662E-2</v>
      </c>
      <c r="AD746" s="542"/>
      <c r="AF746" s="543"/>
      <c r="AH746" s="543"/>
      <c r="AI746" s="543"/>
      <c r="AK746" s="543"/>
      <c r="AM746" s="560"/>
    </row>
    <row r="747" spans="1:39">
      <c r="B747" s="58"/>
      <c r="C747" s="501"/>
      <c r="D747" s="501"/>
      <c r="E747" s="501"/>
      <c r="F747" s="501"/>
      <c r="L747" s="501"/>
      <c r="M747" s="501"/>
      <c r="N747" s="501"/>
      <c r="O747" s="501"/>
      <c r="P747" s="501"/>
      <c r="Q747" s="501"/>
      <c r="T747" s="501"/>
      <c r="U747" s="501"/>
      <c r="V747" s="501"/>
      <c r="W747" s="501"/>
      <c r="X747" s="501"/>
      <c r="AB747" s="501"/>
      <c r="AC747" s="501"/>
      <c r="AD747" s="542"/>
      <c r="AF747" s="543"/>
      <c r="AH747" s="543"/>
      <c r="AI747" s="543"/>
      <c r="AK747" s="543"/>
      <c r="AM747" s="560"/>
    </row>
    <row r="748" spans="1:39">
      <c r="B748" s="58"/>
      <c r="C748" s="521" t="s">
        <v>414</v>
      </c>
      <c r="D748" s="58"/>
      <c r="E748" s="574"/>
      <c r="F748" s="58"/>
      <c r="G748" s="132"/>
      <c r="H748" s="58"/>
      <c r="I748" s="702"/>
      <c r="J748" s="539"/>
      <c r="K748" s="58"/>
      <c r="L748" s="538"/>
      <c r="M748" s="538"/>
      <c r="N748" s="538"/>
      <c r="O748" s="538"/>
      <c r="P748" s="538"/>
      <c r="Q748" s="538">
        <f t="shared" si="244"/>
        <v>0</v>
      </c>
      <c r="R748" s="564"/>
      <c r="S748" s="29"/>
      <c r="T748" s="538"/>
      <c r="U748" s="538"/>
      <c r="V748" s="538"/>
      <c r="W748" s="538"/>
      <c r="X748" s="538"/>
      <c r="Y748" s="564"/>
      <c r="Z748" s="564"/>
      <c r="AA748" s="701"/>
      <c r="AB748" s="538"/>
      <c r="AC748" s="541"/>
      <c r="AD748" s="542"/>
      <c r="AF748" s="543"/>
      <c r="AH748" s="543"/>
      <c r="AI748" s="543"/>
      <c r="AK748" s="543"/>
      <c r="AM748" s="560"/>
    </row>
    <row r="749" spans="1:39">
      <c r="A749" s="1">
        <f>MAX(A$724:A748)+1</f>
        <v>337</v>
      </c>
      <c r="B749" s="58"/>
      <c r="C749" s="526" t="s">
        <v>415</v>
      </c>
      <c r="D749" s="58"/>
      <c r="E749" s="522" t="s">
        <v>382</v>
      </c>
      <c r="F749" s="58"/>
      <c r="G749" s="29">
        <v>393912</v>
      </c>
      <c r="H749" s="58"/>
      <c r="I749" s="701">
        <v>3.76</v>
      </c>
      <c r="J749" s="539">
        <f>G749*I749/1000</f>
        <v>1481.1091199999998</v>
      </c>
      <c r="K749" s="58"/>
      <c r="L749" s="29">
        <v>0</v>
      </c>
      <c r="M749" s="29">
        <v>0</v>
      </c>
      <c r="N749" s="29">
        <v>0</v>
      </c>
      <c r="O749" s="29">
        <v>0</v>
      </c>
      <c r="P749" s="29">
        <v>0</v>
      </c>
      <c r="Q749" s="538">
        <f>SUM(J749-L749-M749-N749-O749-P749)</f>
        <v>1481.1091199999998</v>
      </c>
      <c r="R749" s="564"/>
      <c r="S749" s="29">
        <v>41.471158471267472</v>
      </c>
      <c r="T749" s="29">
        <v>0</v>
      </c>
      <c r="U749" s="29">
        <v>0</v>
      </c>
      <c r="V749" s="29">
        <v>0</v>
      </c>
      <c r="W749" s="29">
        <v>0</v>
      </c>
      <c r="X749" s="29">
        <v>0</v>
      </c>
      <c r="Y749" s="564"/>
      <c r="Z749" s="564">
        <f>Q749+S749+T749+U749+V749+W749+X749</f>
        <v>1522.5802784712673</v>
      </c>
      <c r="AA749" s="701">
        <f>Z749/G749*1000</f>
        <v>3.8652802617621886</v>
      </c>
      <c r="AB749" s="538">
        <f>Z749-J749</f>
        <v>41.471158471267472</v>
      </c>
      <c r="AC749" s="541">
        <f>AA749/I749-1</f>
        <v>2.8000069617603485E-2</v>
      </c>
      <c r="AD749" s="542"/>
      <c r="AF749" s="543"/>
      <c r="AH749" s="543"/>
      <c r="AI749" s="543"/>
      <c r="AK749" s="543"/>
      <c r="AM749" s="560"/>
    </row>
    <row r="750" spans="1:39">
      <c r="A750" s="1">
        <f>MAX(A$724:A749)+1</f>
        <v>338</v>
      </c>
      <c r="C750" s="526" t="s">
        <v>410</v>
      </c>
      <c r="D750" s="501"/>
      <c r="E750" s="522" t="s">
        <v>382</v>
      </c>
      <c r="F750" s="501"/>
      <c r="G750" s="29">
        <v>0</v>
      </c>
      <c r="H750" s="501"/>
      <c r="I750" s="715">
        <f>I742</f>
        <v>3.19</v>
      </c>
      <c r="J750" s="538">
        <v>0</v>
      </c>
      <c r="K750" s="501"/>
      <c r="L750" s="29">
        <v>0</v>
      </c>
      <c r="M750" s="29">
        <v>0</v>
      </c>
      <c r="N750" s="29">
        <v>0</v>
      </c>
      <c r="O750" s="29">
        <v>0</v>
      </c>
      <c r="P750" s="29">
        <v>0</v>
      </c>
      <c r="Q750" s="29">
        <v>0</v>
      </c>
      <c r="R750" s="29"/>
      <c r="S750" s="29">
        <v>0</v>
      </c>
      <c r="T750" s="29">
        <v>0</v>
      </c>
      <c r="U750" s="29">
        <v>0</v>
      </c>
      <c r="V750" s="29">
        <v>0</v>
      </c>
      <c r="W750" s="29">
        <v>0</v>
      </c>
      <c r="X750" s="29">
        <v>0</v>
      </c>
      <c r="Y750" s="29"/>
      <c r="Z750" s="29">
        <v>0</v>
      </c>
      <c r="AA750" s="715">
        <f>AA742</f>
        <v>3.2818224905865945</v>
      </c>
      <c r="AB750" s="29">
        <v>0</v>
      </c>
      <c r="AC750" s="541">
        <f t="shared" ref="AC750:AC751" si="245">AA750/I750-1</f>
        <v>2.8784479807709928E-2</v>
      </c>
      <c r="AF750" s="252"/>
      <c r="AG750" s="252"/>
      <c r="AH750" s="252"/>
      <c r="AI750" s="252"/>
      <c r="AJ750" s="252"/>
      <c r="AK750" s="252"/>
      <c r="AL750" s="252"/>
    </row>
    <row r="751" spans="1:39">
      <c r="A751" s="1">
        <f>MAX(A$724:A750)+1</f>
        <v>339</v>
      </c>
      <c r="C751" s="526" t="s">
        <v>411</v>
      </c>
      <c r="D751" s="501"/>
      <c r="E751" s="522" t="s">
        <v>382</v>
      </c>
      <c r="F751" s="501"/>
      <c r="G751" s="29">
        <v>0</v>
      </c>
      <c r="H751" s="501"/>
      <c r="I751" s="715">
        <f>I744</f>
        <v>0.56999999999999995</v>
      </c>
      <c r="J751" s="538">
        <v>0</v>
      </c>
      <c r="K751" s="501"/>
      <c r="L751" s="29">
        <v>0</v>
      </c>
      <c r="M751" s="29">
        <v>0</v>
      </c>
      <c r="N751" s="29">
        <v>0</v>
      </c>
      <c r="O751" s="29">
        <v>0</v>
      </c>
      <c r="P751" s="29">
        <v>0</v>
      </c>
      <c r="Q751" s="501"/>
      <c r="R751" s="501"/>
      <c r="S751" s="501"/>
      <c r="T751" s="29">
        <v>0</v>
      </c>
      <c r="U751" s="29">
        <v>0</v>
      </c>
      <c r="V751" s="29">
        <v>0</v>
      </c>
      <c r="W751" s="29">
        <v>0</v>
      </c>
      <c r="X751" s="29">
        <v>0</v>
      </c>
      <c r="Y751" s="501"/>
      <c r="Z751" s="29">
        <v>0</v>
      </c>
      <c r="AA751" s="715">
        <f>AA744</f>
        <v>0.58345777117559416</v>
      </c>
      <c r="AB751" s="29">
        <v>0</v>
      </c>
      <c r="AC751" s="541">
        <f t="shared" si="245"/>
        <v>2.3610124869463567E-2</v>
      </c>
      <c r="AF751" s="252"/>
      <c r="AG751" s="252"/>
      <c r="AH751" s="252"/>
      <c r="AI751" s="252"/>
      <c r="AJ751" s="252"/>
      <c r="AK751" s="252"/>
      <c r="AL751" s="252"/>
    </row>
    <row r="752" spans="1:39">
      <c r="A752" s="1">
        <f>MAX(A$724:A751)+1</f>
        <v>340</v>
      </c>
      <c r="B752" s="58"/>
      <c r="C752" s="526" t="s">
        <v>416</v>
      </c>
      <c r="D752" s="58"/>
      <c r="E752" s="522" t="s">
        <v>382</v>
      </c>
      <c r="F752" s="58"/>
      <c r="G752" s="29">
        <v>12566292</v>
      </c>
      <c r="H752" s="58"/>
      <c r="I752" s="701">
        <v>0.88800000000000001</v>
      </c>
      <c r="J752" s="539">
        <f>G752*I752/1000</f>
        <v>11158.867296</v>
      </c>
      <c r="K752" s="58"/>
      <c r="L752" s="29">
        <v>0</v>
      </c>
      <c r="M752" s="29">
        <v>0</v>
      </c>
      <c r="N752" s="29">
        <v>0</v>
      </c>
      <c r="O752" s="29">
        <v>0</v>
      </c>
      <c r="P752" s="29">
        <v>0</v>
      </c>
      <c r="Q752" s="538">
        <f>SUM(J752-L752-M752-N752-O752-P752)</f>
        <v>11158.867296</v>
      </c>
      <c r="R752" s="564"/>
      <c r="S752" s="29">
        <v>261.07107448275929</v>
      </c>
      <c r="T752" s="29">
        <v>0</v>
      </c>
      <c r="U752" s="29">
        <v>0</v>
      </c>
      <c r="V752" s="29">
        <v>0</v>
      </c>
      <c r="W752" s="29">
        <v>0</v>
      </c>
      <c r="X752" s="29">
        <v>0</v>
      </c>
      <c r="Y752" s="564"/>
      <c r="Z752" s="564">
        <f>Q752+S752+T752+U752+V752+W752+X752</f>
        <v>11419.93837048276</v>
      </c>
      <c r="AA752" s="701">
        <f>Z752/G752*1000</f>
        <v>0.90877550597127288</v>
      </c>
      <c r="AB752" s="538">
        <f>Z752-J752</f>
        <v>261.07107448275929</v>
      </c>
      <c r="AC752" s="541">
        <f>AA752/I752-1</f>
        <v>2.3395840057739647E-2</v>
      </c>
      <c r="AD752" s="542"/>
      <c r="AF752" s="543"/>
      <c r="AH752" s="543"/>
      <c r="AI752" s="543"/>
      <c r="AK752" s="543"/>
      <c r="AM752" s="560"/>
    </row>
    <row r="753" spans="1:39">
      <c r="A753" s="1">
        <f>MAX(A$724:A752)+1</f>
        <v>341</v>
      </c>
      <c r="C753" s="526" t="s">
        <v>417</v>
      </c>
      <c r="E753" s="522" t="s">
        <v>382</v>
      </c>
      <c r="G753" s="29">
        <v>759948</v>
      </c>
      <c r="I753" s="701">
        <v>1.5669999999999999</v>
      </c>
      <c r="J753" s="539">
        <f>G753*I753/1000</f>
        <v>1190.838516</v>
      </c>
      <c r="L753" s="29">
        <v>0</v>
      </c>
      <c r="M753" s="29">
        <v>0</v>
      </c>
      <c r="N753" s="29">
        <v>0</v>
      </c>
      <c r="O753" s="29">
        <v>0</v>
      </c>
      <c r="P753" s="29">
        <v>0</v>
      </c>
      <c r="Q753" s="538">
        <f>SUM(J753-L753-M753-N753-O753-P753)</f>
        <v>1190.838516</v>
      </c>
      <c r="R753" s="64"/>
      <c r="S753" s="29">
        <v>27.128237864001221</v>
      </c>
      <c r="T753" s="29">
        <v>0</v>
      </c>
      <c r="U753" s="29">
        <v>0</v>
      </c>
      <c r="V753" s="29">
        <v>0</v>
      </c>
      <c r="W753" s="29">
        <v>0</v>
      </c>
      <c r="X753" s="29">
        <v>0</v>
      </c>
      <c r="Y753" s="64"/>
      <c r="Z753" s="564">
        <f>Q753+S753+T753+U753+V753+W753+X753</f>
        <v>1217.9667538640012</v>
      </c>
      <c r="AA753" s="701">
        <f>Z753/G753*1000</f>
        <v>1.6026974922810524</v>
      </c>
      <c r="AB753" s="538">
        <f>Z753-J753</f>
        <v>27.128237864001221</v>
      </c>
      <c r="AC753" s="541">
        <f>AA753/I753-1</f>
        <v>2.2780786395055763E-2</v>
      </c>
      <c r="AD753" s="542"/>
      <c r="AF753" s="543"/>
      <c r="AH753" s="543"/>
      <c r="AI753" s="543"/>
      <c r="AK753" s="543"/>
      <c r="AM753" s="560"/>
    </row>
    <row r="754" spans="1:39">
      <c r="A754" s="1">
        <f>MAX(A$724:A753)+1</f>
        <v>342</v>
      </c>
      <c r="B754" s="58"/>
      <c r="C754" s="526" t="s">
        <v>411</v>
      </c>
      <c r="E754" s="522" t="s">
        <v>382</v>
      </c>
      <c r="G754" s="29">
        <v>0</v>
      </c>
      <c r="I754" s="701">
        <v>0.56999999999999995</v>
      </c>
      <c r="J754" s="640">
        <f>G754*I754/1000</f>
        <v>0</v>
      </c>
      <c r="L754" s="29">
        <v>0</v>
      </c>
      <c r="M754" s="29">
        <v>0</v>
      </c>
      <c r="N754" s="29">
        <v>0</v>
      </c>
      <c r="O754" s="29">
        <v>0</v>
      </c>
      <c r="P754" s="29">
        <v>0</v>
      </c>
      <c r="Q754" s="538">
        <f>SUM(J754-L754-M754-N754-O754-P754)</f>
        <v>0</v>
      </c>
      <c r="R754" s="64"/>
      <c r="S754" s="29">
        <v>0</v>
      </c>
      <c r="T754" s="29">
        <v>0</v>
      </c>
      <c r="U754" s="29">
        <v>0</v>
      </c>
      <c r="V754" s="29">
        <v>0</v>
      </c>
      <c r="W754" s="29">
        <v>0</v>
      </c>
      <c r="X754" s="29">
        <v>0</v>
      </c>
      <c r="Y754" s="64"/>
      <c r="Z754" s="564">
        <f>Q754+S754+T754+U754+V754+W754+X754</f>
        <v>0</v>
      </c>
      <c r="AA754" s="701">
        <v>0.58345777117559416</v>
      </c>
      <c r="AB754" s="538">
        <f>Z754-J754</f>
        <v>0</v>
      </c>
      <c r="AC754" s="541">
        <f>AA754/I754-1</f>
        <v>2.3610124869463567E-2</v>
      </c>
      <c r="AD754" s="542"/>
      <c r="AF754" s="543"/>
      <c r="AH754" s="543"/>
      <c r="AI754" s="543"/>
      <c r="AK754" s="543"/>
      <c r="AM754" s="560"/>
    </row>
    <row r="755" spans="1:39">
      <c r="C755" s="521" t="s">
        <v>418</v>
      </c>
      <c r="E755" s="30"/>
      <c r="G755" s="29"/>
      <c r="J755" s="567"/>
      <c r="L755" s="538"/>
      <c r="M755" s="538"/>
      <c r="N755" s="538"/>
      <c r="O755" s="538"/>
      <c r="P755" s="538"/>
      <c r="Q755" s="538"/>
      <c r="R755" s="64"/>
      <c r="S755" s="130"/>
      <c r="T755" s="538"/>
      <c r="U755" s="538"/>
      <c r="V755" s="538"/>
      <c r="W755" s="538"/>
      <c r="X755" s="538"/>
      <c r="Y755" s="64"/>
      <c r="Z755" s="564"/>
      <c r="AA755" s="564"/>
      <c r="AB755" s="538"/>
      <c r="AC755" s="501"/>
      <c r="AF755" s="543"/>
      <c r="AH755" s="543"/>
      <c r="AI755" s="543"/>
      <c r="AK755" s="543"/>
    </row>
    <row r="756" spans="1:39">
      <c r="A756" s="1">
        <f>MAX(A$724:A755)+1</f>
        <v>343</v>
      </c>
      <c r="B756" s="58"/>
      <c r="C756" s="12" t="s">
        <v>419</v>
      </c>
      <c r="D756" s="58"/>
      <c r="E756" s="522" t="s">
        <v>331</v>
      </c>
      <c r="F756" s="58"/>
      <c r="G756" s="29">
        <v>349244186.82099998</v>
      </c>
      <c r="H756" s="58"/>
      <c r="I756" s="29">
        <v>0</v>
      </c>
      <c r="J756" s="29">
        <v>15561.312225236692</v>
      </c>
      <c r="K756" s="58"/>
      <c r="L756" s="29">
        <v>0</v>
      </c>
      <c r="M756" s="29">
        <v>0</v>
      </c>
      <c r="N756" s="29">
        <v>0</v>
      </c>
      <c r="O756" s="29">
        <v>3333.3135730441568</v>
      </c>
      <c r="P756" s="29">
        <v>12227.998652192535</v>
      </c>
      <c r="Q756" s="29">
        <v>0</v>
      </c>
      <c r="R756" s="564"/>
      <c r="S756" s="29">
        <v>0</v>
      </c>
      <c r="T756" s="29">
        <v>0</v>
      </c>
      <c r="U756" s="29">
        <v>0</v>
      </c>
      <c r="V756" s="29">
        <v>0</v>
      </c>
      <c r="W756" s="29">
        <v>4067.625434565964</v>
      </c>
      <c r="X756" s="29">
        <v>12160.969165938659</v>
      </c>
      <c r="Y756" s="564"/>
      <c r="Z756" s="564">
        <f>W756+X756</f>
        <v>16228.594600504623</v>
      </c>
      <c r="AA756" s="29">
        <v>0</v>
      </c>
      <c r="AB756" s="538">
        <f>Z756-J756</f>
        <v>667.28237526793055</v>
      </c>
      <c r="AC756" s="29">
        <v>0</v>
      </c>
      <c r="AD756" s="29"/>
      <c r="AF756" s="543"/>
      <c r="AH756" s="543"/>
      <c r="AI756" s="543"/>
      <c r="AK756" s="543"/>
    </row>
    <row r="757" spans="1:39">
      <c r="A757" s="1">
        <f>MAX(A$724:A756)+1</f>
        <v>344</v>
      </c>
      <c r="B757" s="58"/>
      <c r="C757" s="12" t="s">
        <v>420</v>
      </c>
      <c r="D757" s="58"/>
      <c r="E757" s="522" t="s">
        <v>331</v>
      </c>
      <c r="F757" s="58"/>
      <c r="G757" s="29">
        <v>17399687.223999999</v>
      </c>
      <c r="H757" s="58"/>
      <c r="I757" s="29">
        <v>0</v>
      </c>
      <c r="J757" s="29">
        <v>160.76437939710056</v>
      </c>
      <c r="K757" s="58"/>
      <c r="L757" s="29">
        <v>0</v>
      </c>
      <c r="M757" s="29">
        <v>0</v>
      </c>
      <c r="N757" s="29">
        <v>0</v>
      </c>
      <c r="O757" s="29">
        <v>34.436561656883327</v>
      </c>
      <c r="P757" s="29">
        <v>126.32781774021721</v>
      </c>
      <c r="Q757" s="29">
        <v>0</v>
      </c>
      <c r="R757" s="564"/>
      <c r="S757" s="29">
        <v>0</v>
      </c>
      <c r="T757" s="29">
        <v>0</v>
      </c>
      <c r="U757" s="29">
        <v>0</v>
      </c>
      <c r="V757" s="29">
        <v>0</v>
      </c>
      <c r="W757" s="29">
        <v>42.022759336924246</v>
      </c>
      <c r="X757" s="29">
        <v>125.63533412425102</v>
      </c>
      <c r="Y757" s="564"/>
      <c r="Z757" s="564">
        <f t="shared" ref="Z757:Z761" si="246">W757+X757</f>
        <v>167.65809346117527</v>
      </c>
      <c r="AA757" s="29">
        <v>0</v>
      </c>
      <c r="AB757" s="538">
        <f>Z757-J757</f>
        <v>6.8937140640747145</v>
      </c>
      <c r="AC757" s="29">
        <v>0</v>
      </c>
      <c r="AD757" s="29"/>
      <c r="AF757" s="543"/>
      <c r="AH757" s="543"/>
      <c r="AI757" s="543"/>
      <c r="AK757" s="543"/>
    </row>
    <row r="758" spans="1:39">
      <c r="B758" s="58"/>
      <c r="C758" s="521"/>
      <c r="D758" s="58"/>
      <c r="E758" s="574"/>
      <c r="F758" s="58"/>
      <c r="G758" s="29"/>
      <c r="H758" s="58"/>
      <c r="I758" s="58"/>
      <c r="J758" s="539"/>
      <c r="K758" s="58"/>
      <c r="L758" s="538"/>
      <c r="M758" s="538"/>
      <c r="N758" s="29"/>
      <c r="O758" s="29"/>
      <c r="P758" s="29"/>
      <c r="Q758" s="29"/>
      <c r="R758" s="564"/>
      <c r="S758" s="132"/>
      <c r="T758" s="538"/>
      <c r="U758" s="538"/>
      <c r="V758" s="29"/>
      <c r="W758" s="29"/>
      <c r="X758" s="29"/>
      <c r="Y758" s="564"/>
      <c r="Z758" s="564"/>
      <c r="AA758" s="564"/>
      <c r="AB758" s="538"/>
      <c r="AC758" s="501"/>
      <c r="AF758" s="543"/>
      <c r="AH758" s="543"/>
      <c r="AI758" s="543"/>
      <c r="AK758" s="543"/>
    </row>
    <row r="759" spans="1:39">
      <c r="B759" s="58"/>
      <c r="C759" s="521" t="s">
        <v>421</v>
      </c>
      <c r="D759" s="58"/>
      <c r="E759" s="30"/>
      <c r="F759" s="58"/>
      <c r="G759" s="132"/>
      <c r="H759" s="58"/>
      <c r="I759" s="58"/>
      <c r="J759" s="29"/>
      <c r="K759" s="58"/>
      <c r="L759" s="538"/>
      <c r="M759" s="538"/>
      <c r="N759" s="29"/>
      <c r="O759" s="29"/>
      <c r="P759" s="29"/>
      <c r="Q759" s="29"/>
      <c r="R759" s="564"/>
      <c r="S759" s="132"/>
      <c r="T759" s="538"/>
      <c r="U759" s="538"/>
      <c r="V759" s="29"/>
      <c r="W759" s="29"/>
      <c r="X759" s="29"/>
      <c r="Y759" s="564"/>
      <c r="Z759" s="564"/>
      <c r="AA759" s="564"/>
      <c r="AB759" s="538"/>
      <c r="AC759" s="501"/>
      <c r="AF759" s="543"/>
      <c r="AH759" s="543"/>
      <c r="AI759" s="543"/>
      <c r="AK759" s="543"/>
    </row>
    <row r="760" spans="1:39">
      <c r="A760" s="1">
        <f>MAX(A$724:A759)+1</f>
        <v>345</v>
      </c>
      <c r="C760" s="12" t="s">
        <v>419</v>
      </c>
      <c r="E760" s="522" t="s">
        <v>331</v>
      </c>
      <c r="G760" s="29">
        <v>4834911.8473035097</v>
      </c>
      <c r="I760" s="29">
        <v>0</v>
      </c>
      <c r="J760" s="29">
        <v>225.86213270525406</v>
      </c>
      <c r="L760" s="29">
        <v>0</v>
      </c>
      <c r="M760" s="29">
        <v>0</v>
      </c>
      <c r="N760" s="29">
        <v>0</v>
      </c>
      <c r="O760" s="29">
        <v>132.09169027347178</v>
      </c>
      <c r="P760" s="29">
        <v>93.770442431782286</v>
      </c>
      <c r="Q760" s="29">
        <v>0</v>
      </c>
      <c r="R760" s="64"/>
      <c r="S760" s="29">
        <v>0</v>
      </c>
      <c r="T760" s="29">
        <v>0</v>
      </c>
      <c r="U760" s="29">
        <v>0</v>
      </c>
      <c r="V760" s="29">
        <v>0</v>
      </c>
      <c r="W760" s="29">
        <v>161.19081126846794</v>
      </c>
      <c r="X760" s="29">
        <v>93.25642662586182</v>
      </c>
      <c r="Y760" s="64"/>
      <c r="Z760" s="564">
        <f t="shared" si="246"/>
        <v>254.44723789432976</v>
      </c>
      <c r="AA760" s="29">
        <v>0</v>
      </c>
      <c r="AB760" s="538">
        <f>Z760-J760</f>
        <v>28.585105189075705</v>
      </c>
      <c r="AC760" s="29">
        <v>0</v>
      </c>
      <c r="AD760" s="29"/>
      <c r="AF760" s="543"/>
      <c r="AH760" s="543"/>
      <c r="AI760" s="543"/>
      <c r="AK760" s="543"/>
    </row>
    <row r="761" spans="1:39">
      <c r="A761" s="1">
        <f>MAX(A$724:A760)+1</f>
        <v>346</v>
      </c>
      <c r="B761" s="58"/>
      <c r="C761" s="12" t="s">
        <v>420</v>
      </c>
      <c r="D761" s="58"/>
      <c r="E761" s="522" t="s">
        <v>331</v>
      </c>
      <c r="F761" s="58"/>
      <c r="G761" s="29">
        <v>204967728.36268201</v>
      </c>
      <c r="H761" s="58"/>
      <c r="I761" s="29">
        <v>0</v>
      </c>
      <c r="J761" s="29">
        <v>3043.347625504985</v>
      </c>
      <c r="K761" s="58"/>
      <c r="L761" s="29">
        <v>0</v>
      </c>
      <c r="M761" s="29">
        <v>0</v>
      </c>
      <c r="N761" s="29">
        <v>0</v>
      </c>
      <c r="O761" s="29">
        <v>1779.850952117388</v>
      </c>
      <c r="P761" s="29">
        <v>1263.4966733875974</v>
      </c>
      <c r="Q761" s="29">
        <v>0</v>
      </c>
      <c r="R761" s="564"/>
      <c r="S761" s="29">
        <v>0</v>
      </c>
      <c r="T761" s="29">
        <v>0</v>
      </c>
      <c r="U761" s="29">
        <v>0</v>
      </c>
      <c r="V761" s="29">
        <v>0</v>
      </c>
      <c r="W761" s="29">
        <v>2171.942976237126</v>
      </c>
      <c r="X761" s="29">
        <v>1256.5706395116067</v>
      </c>
      <c r="Y761" s="564"/>
      <c r="Z761" s="564">
        <f t="shared" si="246"/>
        <v>3428.5136157487327</v>
      </c>
      <c r="AA761" s="29">
        <v>0</v>
      </c>
      <c r="AB761" s="538">
        <f>Z761-J761</f>
        <v>385.16599024374773</v>
      </c>
      <c r="AC761" s="29">
        <v>0</v>
      </c>
      <c r="AD761" s="29"/>
      <c r="AF761" s="543"/>
      <c r="AH761" s="543"/>
      <c r="AI761" s="543"/>
      <c r="AK761" s="543"/>
    </row>
    <row r="762" spans="1:39">
      <c r="B762" s="58"/>
      <c r="D762" s="58"/>
      <c r="E762" s="30"/>
      <c r="F762" s="58"/>
      <c r="G762" s="29"/>
      <c r="H762" s="58"/>
      <c r="I762" s="58"/>
      <c r="J762" s="539"/>
      <c r="K762" s="58"/>
      <c r="L762" s="538"/>
      <c r="M762" s="538"/>
      <c r="N762" s="538"/>
      <c r="O762" s="538"/>
      <c r="P762" s="538"/>
      <c r="Q762" s="538"/>
      <c r="R762" s="564"/>
      <c r="S762" s="132"/>
      <c r="T762" s="538"/>
      <c r="U762" s="538"/>
      <c r="V762" s="538"/>
      <c r="W762" s="538"/>
      <c r="X762" s="538"/>
      <c r="Y762" s="564"/>
      <c r="Z762" s="564"/>
      <c r="AA762" s="564"/>
      <c r="AB762" s="538"/>
      <c r="AC762" s="501"/>
      <c r="AF762" s="543"/>
      <c r="AH762" s="543"/>
      <c r="AI762" s="543"/>
      <c r="AK762" s="543"/>
    </row>
    <row r="763" spans="1:39" ht="12.95" thickBot="1">
      <c r="A763" s="1">
        <f>MAX(A$724:A762)+1</f>
        <v>347</v>
      </c>
      <c r="B763" s="58"/>
      <c r="C763" s="16" t="s">
        <v>422</v>
      </c>
      <c r="D763" s="58"/>
      <c r="E763" s="30"/>
      <c r="F763" s="58"/>
      <c r="G763" s="439">
        <f>SUM(G742:G762)</f>
        <v>596613688.25498545</v>
      </c>
      <c r="H763" s="58"/>
      <c r="I763" s="712">
        <f>J763/G763*100</f>
        <v>2.0723944494213643E-2</v>
      </c>
      <c r="J763" s="627">
        <f>SUM(J740:J761)</f>
        <v>123641.88959884401</v>
      </c>
      <c r="K763" s="539"/>
      <c r="L763" s="628">
        <f t="shared" ref="L763:P763" si="247">SUM(L742:L761)</f>
        <v>0</v>
      </c>
      <c r="M763" s="628">
        <f t="shared" si="247"/>
        <v>0</v>
      </c>
      <c r="N763" s="628">
        <f t="shared" si="247"/>
        <v>0</v>
      </c>
      <c r="O763" s="628">
        <f t="shared" si="247"/>
        <v>5279.6927770919001</v>
      </c>
      <c r="P763" s="628">
        <f t="shared" si="247"/>
        <v>13711.593585752131</v>
      </c>
      <c r="Q763" s="628">
        <f>SUM(Q740:Q761)</f>
        <v>104650.60323599997</v>
      </c>
      <c r="R763" s="564"/>
      <c r="S763" s="628">
        <f>SUM(S740:S761)</f>
        <v>2859.6077199574652</v>
      </c>
      <c r="T763" s="628">
        <f t="shared" ref="T763:X763" si="248">SUM(T740:T761)</f>
        <v>0</v>
      </c>
      <c r="U763" s="628">
        <f t="shared" si="248"/>
        <v>0</v>
      </c>
      <c r="V763" s="628">
        <f t="shared" si="248"/>
        <v>0</v>
      </c>
      <c r="W763" s="628">
        <f t="shared" si="248"/>
        <v>6442.7819814084814</v>
      </c>
      <c r="X763" s="628">
        <f t="shared" si="248"/>
        <v>13636.431566200377</v>
      </c>
      <c r="Y763" s="564"/>
      <c r="Z763" s="628">
        <f>SUM(Z740:Z761)</f>
        <v>127589.42450356633</v>
      </c>
      <c r="AA763" s="712">
        <f>Z763/G763*100</f>
        <v>2.1385601271862901E-2</v>
      </c>
      <c r="AB763" s="628">
        <f>SUM(AB740:AB761)</f>
        <v>3947.534904722294</v>
      </c>
      <c r="AC763" s="629">
        <f>AA763/I763-1</f>
        <v>3.192716414744301E-2</v>
      </c>
      <c r="AD763" s="630"/>
      <c r="AF763" s="543"/>
      <c r="AH763" s="543"/>
      <c r="AI763" s="543"/>
      <c r="AK763" s="543"/>
    </row>
    <row r="764" spans="1:39" ht="12.95" thickTop="1">
      <c r="L764" s="2"/>
      <c r="M764" s="2"/>
      <c r="N764" s="2"/>
      <c r="O764" s="2"/>
      <c r="P764" s="501"/>
      <c r="Q764" s="501"/>
      <c r="T764" s="501"/>
      <c r="U764" s="501"/>
      <c r="V764" s="501"/>
      <c r="W764" s="501"/>
      <c r="X764" s="501"/>
      <c r="AB764" s="538"/>
      <c r="AC764" s="501"/>
      <c r="AF764" s="543"/>
      <c r="AH764" s="543"/>
      <c r="AI764" s="543"/>
      <c r="AK764" s="543"/>
    </row>
    <row r="765" spans="1:39">
      <c r="L765" s="2"/>
      <c r="M765" s="2"/>
      <c r="N765" s="2"/>
      <c r="O765" s="2"/>
      <c r="P765" s="501"/>
      <c r="Q765" s="501"/>
      <c r="T765" s="501"/>
      <c r="U765" s="501"/>
      <c r="V765" s="501"/>
      <c r="W765" s="501"/>
      <c r="X765" s="501"/>
      <c r="AB765" s="501"/>
      <c r="AC765" s="501"/>
      <c r="AF765" s="543"/>
      <c r="AH765" s="543"/>
      <c r="AI765" s="543"/>
      <c r="AK765" s="543"/>
    </row>
    <row r="766" spans="1:39">
      <c r="L766" s="2"/>
      <c r="M766" s="2"/>
      <c r="N766" s="2"/>
      <c r="O766" s="2"/>
      <c r="P766" s="501"/>
      <c r="Q766" s="501"/>
      <c r="T766" s="501"/>
      <c r="U766" s="501"/>
      <c r="V766" s="501"/>
      <c r="W766" s="501"/>
      <c r="X766" s="501"/>
      <c r="AB766" s="501"/>
      <c r="AC766" s="501"/>
      <c r="AF766" s="543"/>
      <c r="AH766" s="543"/>
      <c r="AI766" s="543"/>
      <c r="AK766" s="543"/>
    </row>
    <row r="767" spans="1:39">
      <c r="L767" s="2"/>
      <c r="M767" s="2"/>
      <c r="N767" s="2"/>
      <c r="O767" s="2"/>
      <c r="P767" s="501"/>
      <c r="Q767" s="501"/>
      <c r="T767" s="501"/>
      <c r="U767" s="501"/>
      <c r="V767" s="501"/>
      <c r="W767" s="501"/>
      <c r="X767" s="501"/>
      <c r="AB767" s="501"/>
      <c r="AC767" s="501"/>
      <c r="AF767" s="543"/>
      <c r="AH767" s="543"/>
      <c r="AI767" s="543"/>
      <c r="AK767" s="543"/>
    </row>
    <row r="768" spans="1:39">
      <c r="A768" s="1156" t="s">
        <v>279</v>
      </c>
      <c r="B768" s="1156"/>
      <c r="C768" s="1156"/>
      <c r="D768" s="1156"/>
      <c r="E768" s="1156"/>
      <c r="F768" s="1156"/>
      <c r="G768" s="1156"/>
      <c r="H768" s="1156"/>
      <c r="I768" s="1156"/>
      <c r="J768" s="1156"/>
      <c r="K768" s="1156"/>
      <c r="L768" s="1156"/>
      <c r="M768" s="1156"/>
      <c r="N768" s="1156"/>
      <c r="O768" s="1156"/>
      <c r="P768" s="1156"/>
      <c r="Q768" s="1156"/>
      <c r="R768" s="1156"/>
      <c r="S768" s="1156"/>
      <c r="T768" s="1156"/>
      <c r="U768" s="1156"/>
      <c r="V768" s="1156"/>
      <c r="W768" s="1156"/>
      <c r="X768" s="1156"/>
      <c r="Y768" s="1156"/>
      <c r="Z768" s="1156"/>
      <c r="AA768" s="1156"/>
      <c r="AB768" s="1156"/>
      <c r="AC768" s="1156"/>
      <c r="AD768" s="531"/>
      <c r="AF768" s="543"/>
      <c r="AH768" s="543"/>
      <c r="AI768" s="543"/>
      <c r="AK768" s="543"/>
    </row>
    <row r="769" spans="1:39">
      <c r="A769" s="57"/>
      <c r="B769" s="57"/>
      <c r="C769" s="57"/>
      <c r="D769" s="57"/>
      <c r="E769" s="3"/>
      <c r="F769" s="57"/>
      <c r="G769" s="3"/>
      <c r="H769" s="57"/>
      <c r="I769" s="57"/>
      <c r="J769" s="57"/>
      <c r="K769" s="57"/>
      <c r="L769" s="57"/>
      <c r="M769" s="57"/>
      <c r="N769" s="4"/>
      <c r="O769" s="4"/>
      <c r="P769" s="501"/>
      <c r="Q769" s="501"/>
      <c r="R769" s="57"/>
      <c r="S769" s="57"/>
      <c r="T769" s="501"/>
      <c r="U769" s="501"/>
      <c r="V769" s="501"/>
      <c r="W769" s="501"/>
      <c r="X769" s="501"/>
      <c r="Y769" s="57"/>
      <c r="Z769" s="57"/>
      <c r="AA769" s="57"/>
      <c r="AB769" s="501"/>
      <c r="AC769" s="501"/>
      <c r="AF769" s="543"/>
      <c r="AH769" s="543"/>
      <c r="AI769" s="543"/>
      <c r="AK769" s="543"/>
    </row>
    <row r="770" spans="1:39">
      <c r="A770" s="3"/>
      <c r="B770" s="3"/>
      <c r="C770" s="3"/>
      <c r="D770" s="3"/>
      <c r="E770" s="57"/>
      <c r="F770" s="3"/>
      <c r="G770" s="1152" t="str">
        <f>G8</f>
        <v>Current Approved Revenue</v>
      </c>
      <c r="H770" s="1152"/>
      <c r="I770" s="1152"/>
      <c r="J770" s="1152"/>
      <c r="K770" s="3"/>
      <c r="L770" s="1152" t="str">
        <f>L8</f>
        <v>Adjustments to 2023 Base Rates</v>
      </c>
      <c r="M770" s="1152"/>
      <c r="N770" s="1152"/>
      <c r="O770" s="1152"/>
      <c r="P770" s="1152"/>
      <c r="Q770" s="58"/>
      <c r="R770" s="3"/>
      <c r="S770" s="1152" t="str">
        <f>S8</f>
        <v>Adjustments to 2024 Base Rates</v>
      </c>
      <c r="T770" s="1152"/>
      <c r="U770" s="1152"/>
      <c r="V770" s="1152"/>
      <c r="W770" s="1152"/>
      <c r="X770" s="1152"/>
      <c r="Y770" s="3"/>
      <c r="Z770" s="1152" t="str">
        <f>Z8</f>
        <v>2024 Proposed Revenue</v>
      </c>
      <c r="AA770" s="1152"/>
      <c r="AB770" s="1152"/>
      <c r="AC770" s="1152"/>
      <c r="AD770" s="6"/>
      <c r="AF770" s="543"/>
      <c r="AH770" s="543"/>
      <c r="AI770" s="543"/>
      <c r="AK770" s="543"/>
    </row>
    <row r="771" spans="1:39" ht="37.5">
      <c r="A771" s="5" t="s">
        <v>56</v>
      </c>
      <c r="B771" s="5"/>
      <c r="C771" s="5"/>
      <c r="D771" s="5"/>
      <c r="E771" s="6" t="s">
        <v>233</v>
      </c>
      <c r="F771" s="5"/>
      <c r="G771" s="17" t="s">
        <v>234</v>
      </c>
      <c r="H771" s="5"/>
      <c r="I771" s="17" t="s">
        <v>235</v>
      </c>
      <c r="J771" s="17" t="s">
        <v>101</v>
      </c>
      <c r="K771" s="5"/>
      <c r="L771" s="17" t="s">
        <v>106</v>
      </c>
      <c r="M771" s="17" t="s">
        <v>236</v>
      </c>
      <c r="N771" s="5" t="s">
        <v>237</v>
      </c>
      <c r="O771" s="5" t="s">
        <v>109</v>
      </c>
      <c r="P771" s="5" t="s">
        <v>238</v>
      </c>
      <c r="Q771" s="5" t="s">
        <v>239</v>
      </c>
      <c r="R771" s="5"/>
      <c r="S771" s="5" t="s">
        <v>240</v>
      </c>
      <c r="T771" s="17" t="s">
        <v>106</v>
      </c>
      <c r="U771" s="17" t="s">
        <v>236</v>
      </c>
      <c r="V771" s="5" t="s">
        <v>237</v>
      </c>
      <c r="W771" s="5" t="s">
        <v>109</v>
      </c>
      <c r="X771" s="5" t="s">
        <v>238</v>
      </c>
      <c r="Y771" s="5"/>
      <c r="Z771" s="17" t="s">
        <v>241</v>
      </c>
      <c r="AA771" s="17" t="s">
        <v>242</v>
      </c>
      <c r="AB771" s="17" t="s">
        <v>243</v>
      </c>
      <c r="AC771" s="5" t="s">
        <v>244</v>
      </c>
      <c r="AD771" s="5"/>
      <c r="AF771" s="543"/>
      <c r="AH771" s="543"/>
      <c r="AI771" s="543"/>
      <c r="AK771" s="543"/>
    </row>
    <row r="772" spans="1:39">
      <c r="A772" s="237" t="s">
        <v>57</v>
      </c>
      <c r="B772" s="58"/>
      <c r="C772" s="59" t="s">
        <v>194</v>
      </c>
      <c r="D772" s="58"/>
      <c r="E772" s="237" t="s">
        <v>245</v>
      </c>
      <c r="F772" s="58"/>
      <c r="G772" s="237" t="s">
        <v>246</v>
      </c>
      <c r="H772" s="58"/>
      <c r="I772" s="237" t="s">
        <v>397</v>
      </c>
      <c r="J772" s="237" t="s">
        <v>248</v>
      </c>
      <c r="K772" s="58"/>
      <c r="L772" s="237" t="s">
        <v>248</v>
      </c>
      <c r="M772" s="237" t="s">
        <v>248</v>
      </c>
      <c r="N772" s="237" t="s">
        <v>248</v>
      </c>
      <c r="O772" s="237" t="s">
        <v>248</v>
      </c>
      <c r="P772" s="237" t="s">
        <v>248</v>
      </c>
      <c r="Q772" s="237" t="s">
        <v>248</v>
      </c>
      <c r="R772" s="58"/>
      <c r="S772" s="237" t="s">
        <v>248</v>
      </c>
      <c r="T772" s="237" t="s">
        <v>248</v>
      </c>
      <c r="U772" s="237" t="s">
        <v>248</v>
      </c>
      <c r="V772" s="237" t="s">
        <v>248</v>
      </c>
      <c r="W772" s="237" t="s">
        <v>248</v>
      </c>
      <c r="X772" s="237" t="s">
        <v>248</v>
      </c>
      <c r="Y772" s="58"/>
      <c r="Z772" s="237" t="s">
        <v>248</v>
      </c>
      <c r="AA772" s="237" t="s">
        <v>397</v>
      </c>
      <c r="AB772" s="237" t="s">
        <v>248</v>
      </c>
      <c r="AC772" s="237" t="s">
        <v>249</v>
      </c>
      <c r="AD772" s="6"/>
      <c r="AF772" s="543"/>
      <c r="AH772" s="543"/>
      <c r="AI772" s="543"/>
      <c r="AK772" s="543"/>
    </row>
    <row r="773" spans="1:39">
      <c r="A773" s="6"/>
      <c r="B773" s="58"/>
      <c r="C773" s="58"/>
      <c r="D773" s="58"/>
      <c r="E773" s="6"/>
      <c r="F773" s="58"/>
      <c r="G773" s="6" t="s">
        <v>9</v>
      </c>
      <c r="H773" s="6"/>
      <c r="I773" s="6" t="s">
        <v>10</v>
      </c>
      <c r="J773" s="6" t="s">
        <v>58</v>
      </c>
      <c r="K773" s="6"/>
      <c r="L773" s="123" t="s">
        <v>12</v>
      </c>
      <c r="M773" s="123" t="s">
        <v>13</v>
      </c>
      <c r="N773" s="123" t="s">
        <v>115</v>
      </c>
      <c r="O773" s="123" t="s">
        <v>209</v>
      </c>
      <c r="P773" s="6" t="s">
        <v>210</v>
      </c>
      <c r="Q773" s="6" t="s">
        <v>250</v>
      </c>
      <c r="R773" s="6"/>
      <c r="S773" s="6" t="s">
        <v>251</v>
      </c>
      <c r="T773" s="6" t="s">
        <v>120</v>
      </c>
      <c r="U773" s="6" t="s">
        <v>121</v>
      </c>
      <c r="V773" s="6" t="s">
        <v>122</v>
      </c>
      <c r="W773" s="6" t="s">
        <v>252</v>
      </c>
      <c r="X773" s="6" t="s">
        <v>253</v>
      </c>
      <c r="Y773" s="6"/>
      <c r="Z773" s="6" t="s">
        <v>254</v>
      </c>
      <c r="AA773" s="6" t="s">
        <v>255</v>
      </c>
      <c r="AB773" s="6" t="s">
        <v>256</v>
      </c>
      <c r="AC773" s="6" t="s">
        <v>257</v>
      </c>
      <c r="AD773" s="6"/>
      <c r="AF773" s="543"/>
      <c r="AH773" s="543"/>
      <c r="AI773" s="543"/>
      <c r="AK773" s="543"/>
    </row>
    <row r="774" spans="1:39">
      <c r="A774" s="6"/>
      <c r="B774" s="58"/>
      <c r="D774" s="58"/>
      <c r="E774" s="574"/>
      <c r="F774" s="58"/>
      <c r="G774" s="132"/>
      <c r="H774" s="58"/>
      <c r="I774" s="58"/>
      <c r="J774" s="58"/>
      <c r="K774" s="58"/>
      <c r="L774" s="538"/>
      <c r="M774" s="538"/>
      <c r="N774" s="538"/>
      <c r="O774" s="538"/>
      <c r="P774" s="538"/>
      <c r="Q774" s="538"/>
      <c r="R774" s="564"/>
      <c r="S774" s="132"/>
      <c r="T774" s="538"/>
      <c r="U774" s="538"/>
      <c r="V774" s="538"/>
      <c r="W774" s="538"/>
      <c r="X774" s="538"/>
      <c r="Y774" s="564"/>
      <c r="Z774" s="564"/>
      <c r="AA774" s="564"/>
      <c r="AB774" s="538"/>
      <c r="AC774" s="501"/>
    </row>
    <row r="775" spans="1:39" ht="12.95">
      <c r="A775" s="6"/>
      <c r="B775" s="58"/>
      <c r="C775" s="9" t="s">
        <v>162</v>
      </c>
      <c r="D775" s="58"/>
      <c r="E775" s="128"/>
      <c r="F775" s="58"/>
      <c r="G775" s="575"/>
      <c r="H775" s="58"/>
      <c r="I775" s="58"/>
      <c r="J775" s="58"/>
      <c r="K775" s="58"/>
      <c r="L775" s="538"/>
      <c r="M775" s="538"/>
      <c r="N775" s="538"/>
      <c r="O775" s="538"/>
      <c r="P775" s="538"/>
      <c r="Q775" s="538"/>
      <c r="R775" s="564"/>
      <c r="S775" s="564"/>
      <c r="T775" s="538"/>
      <c r="U775" s="538"/>
      <c r="V775" s="538"/>
      <c r="W775" s="538"/>
      <c r="X775" s="538"/>
      <c r="Y775" s="564"/>
      <c r="Z775" s="564"/>
      <c r="AA775" s="564"/>
      <c r="AB775" s="538"/>
      <c r="AC775" s="501"/>
    </row>
    <row r="776" spans="1:39">
      <c r="A776" s="6"/>
      <c r="C776" s="10" t="s">
        <v>423</v>
      </c>
      <c r="E776" s="522"/>
      <c r="G776" s="29"/>
      <c r="L776" s="538"/>
      <c r="M776" s="538"/>
      <c r="N776" s="538"/>
      <c r="O776" s="538"/>
      <c r="P776" s="538"/>
      <c r="Q776" s="538"/>
      <c r="R776" s="64"/>
      <c r="S776" s="64"/>
      <c r="T776" s="538"/>
      <c r="U776" s="538"/>
      <c r="V776" s="538"/>
      <c r="W776" s="538"/>
      <c r="X776" s="538"/>
      <c r="Y776" s="64"/>
      <c r="Z776" s="64"/>
      <c r="AA776" s="64"/>
      <c r="AB776" s="538"/>
      <c r="AC776" s="501"/>
    </row>
    <row r="777" spans="1:39" ht="24.95">
      <c r="A777" s="716">
        <v>348</v>
      </c>
      <c r="C777" s="717" t="s">
        <v>424</v>
      </c>
      <c r="E777" s="522" t="s">
        <v>425</v>
      </c>
      <c r="G777" s="29">
        <v>443124</v>
      </c>
      <c r="I777" s="701">
        <v>2.3260000000000001</v>
      </c>
      <c r="J777" s="567">
        <f>G777*I777/1000</f>
        <v>1030.706424</v>
      </c>
      <c r="L777" s="29">
        <v>0</v>
      </c>
      <c r="M777" s="29">
        <v>0</v>
      </c>
      <c r="N777" s="29">
        <v>0</v>
      </c>
      <c r="O777" s="29">
        <v>0</v>
      </c>
      <c r="P777" s="29">
        <v>0</v>
      </c>
      <c r="Q777" s="64">
        <f>SUM(J777-L777-M777-N777-O777-P777)</f>
        <v>1030.706424</v>
      </c>
      <c r="R777" s="64"/>
      <c r="S777" s="29">
        <v>26.144316000000117</v>
      </c>
      <c r="T777" s="29">
        <v>0</v>
      </c>
      <c r="U777" s="29">
        <v>0</v>
      </c>
      <c r="V777" s="29">
        <v>0</v>
      </c>
      <c r="W777" s="29">
        <v>0</v>
      </c>
      <c r="X777" s="29">
        <v>0</v>
      </c>
      <c r="Y777" s="64"/>
      <c r="Z777" s="64">
        <f>Q777+S777+T777+U777+V777+W777+X777</f>
        <v>1056.8507400000001</v>
      </c>
      <c r="AA777" s="701">
        <f>Z777/G777*1000</f>
        <v>2.3850000000000002</v>
      </c>
      <c r="AB777" s="538">
        <f>Z777-J777</f>
        <v>26.144316000000117</v>
      </c>
      <c r="AC777" s="541">
        <f>AA777/I777-1</f>
        <v>2.5365434221840122E-2</v>
      </c>
      <c r="AD777" s="542"/>
      <c r="AF777" s="543"/>
      <c r="AH777" s="543"/>
      <c r="AI777" s="543"/>
      <c r="AK777" s="543"/>
      <c r="AM777" s="560"/>
    </row>
    <row r="778" spans="1:39">
      <c r="A778" s="6"/>
      <c r="B778" s="58"/>
      <c r="C778" s="717"/>
      <c r="D778" s="58"/>
      <c r="E778" s="522"/>
      <c r="F778" s="58"/>
      <c r="G778" s="29"/>
      <c r="H778" s="58"/>
      <c r="I778" s="701"/>
      <c r="J778" s="64"/>
      <c r="K778" s="58"/>
      <c r="L778" s="29"/>
      <c r="M778" s="29"/>
      <c r="N778" s="29"/>
      <c r="O778" s="29"/>
      <c r="P778" s="29"/>
      <c r="Q778" s="64"/>
      <c r="R778" s="564"/>
      <c r="S778" s="29"/>
      <c r="T778" s="29"/>
      <c r="U778" s="29"/>
      <c r="V778" s="29"/>
      <c r="W778" s="29"/>
      <c r="X778" s="29"/>
      <c r="Y778" s="564"/>
      <c r="Z778" s="64"/>
      <c r="AA778" s="701"/>
      <c r="AB778" s="538"/>
      <c r="AC778" s="541"/>
      <c r="AD778" s="542"/>
      <c r="AF778" s="543"/>
      <c r="AH778" s="543"/>
      <c r="AI778" s="543"/>
      <c r="AK778" s="543"/>
      <c r="AM778" s="560"/>
    </row>
    <row r="779" spans="1:39">
      <c r="A779" s="6">
        <f>MAX(A$776:A778)+1</f>
        <v>349</v>
      </c>
      <c r="B779" s="58"/>
      <c r="C779" s="12" t="s">
        <v>426</v>
      </c>
      <c r="D779" s="58"/>
      <c r="E779" s="522" t="s">
        <v>425</v>
      </c>
      <c r="F779" s="58"/>
      <c r="G779" s="29">
        <v>2443512</v>
      </c>
      <c r="H779" s="58"/>
      <c r="I779" s="701">
        <v>3.2000000000000001E-2</v>
      </c>
      <c r="J779" s="567">
        <f t="shared" ref="J779:J781" si="249">G779*I779/1000</f>
        <v>78.192384000000004</v>
      </c>
      <c r="K779" s="58"/>
      <c r="L779" s="29">
        <v>0</v>
      </c>
      <c r="M779" s="29">
        <v>0</v>
      </c>
      <c r="N779" s="29">
        <v>0</v>
      </c>
      <c r="O779" s="29">
        <v>0</v>
      </c>
      <c r="P779" s="29">
        <v>0</v>
      </c>
      <c r="Q779" s="64">
        <f t="shared" ref="Q779:Q781" si="250">SUM(J779-L779-M779-N779-O779-P779)</f>
        <v>78.192384000000004</v>
      </c>
      <c r="R779" s="564"/>
      <c r="S779" s="29">
        <v>2.4435119999999984</v>
      </c>
      <c r="T779" s="29">
        <v>0</v>
      </c>
      <c r="U779" s="29">
        <v>0</v>
      </c>
      <c r="V779" s="29">
        <v>0</v>
      </c>
      <c r="W779" s="29">
        <v>0</v>
      </c>
      <c r="X779" s="29">
        <v>0</v>
      </c>
      <c r="Y779" s="564"/>
      <c r="Z779" s="64">
        <f>Q779+S779+T779+U779+V779+W779+X779</f>
        <v>80.635896000000002</v>
      </c>
      <c r="AA779" s="701">
        <f>Z779/G779*1000</f>
        <v>3.3000000000000002E-2</v>
      </c>
      <c r="AB779" s="538">
        <f>Z779-J779</f>
        <v>2.4435119999999984</v>
      </c>
      <c r="AC779" s="541">
        <f>AA779/I779-1</f>
        <v>3.125E-2</v>
      </c>
      <c r="AD779" s="542"/>
      <c r="AF779" s="543"/>
      <c r="AH779" s="543"/>
      <c r="AI779" s="543"/>
      <c r="AK779" s="543"/>
      <c r="AM779" s="560"/>
    </row>
    <row r="780" spans="1:39">
      <c r="A780" s="6">
        <f>MAX(A$776:A779)+1</f>
        <v>350</v>
      </c>
      <c r="B780" s="58"/>
      <c r="C780" s="718" t="s">
        <v>409</v>
      </c>
      <c r="D780" s="58"/>
      <c r="E780" s="522" t="s">
        <v>425</v>
      </c>
      <c r="F780" s="58"/>
      <c r="G780" s="29">
        <v>1329372</v>
      </c>
      <c r="H780" s="58"/>
      <c r="I780" s="701">
        <v>7.6999999999999999E-2</v>
      </c>
      <c r="J780" s="567">
        <f t="shared" si="249"/>
        <v>102.361644</v>
      </c>
      <c r="K780" s="58"/>
      <c r="L780" s="29">
        <v>0</v>
      </c>
      <c r="M780" s="29">
        <v>0</v>
      </c>
      <c r="N780" s="29">
        <v>0</v>
      </c>
      <c r="O780" s="29">
        <v>0</v>
      </c>
      <c r="P780" s="29">
        <v>0</v>
      </c>
      <c r="Q780" s="64">
        <f t="shared" si="250"/>
        <v>102.361644</v>
      </c>
      <c r="R780" s="564"/>
      <c r="S780" s="29">
        <v>2.7970612529564818</v>
      </c>
      <c r="T780" s="29">
        <v>0</v>
      </c>
      <c r="U780" s="29">
        <v>0</v>
      </c>
      <c r="V780" s="29">
        <v>0</v>
      </c>
      <c r="W780" s="29">
        <v>0</v>
      </c>
      <c r="X780" s="29">
        <v>0</v>
      </c>
      <c r="Y780" s="564"/>
      <c r="Z780" s="64">
        <f>Q780+S780+T780+U780+V780+W780+X780</f>
        <v>105.15870525295648</v>
      </c>
      <c r="AA780" s="701">
        <f>Z780/G780*1000</f>
        <v>7.9104047063543154E-2</v>
      </c>
      <c r="AB780" s="538">
        <f>Z780-J780</f>
        <v>2.7970612529564818</v>
      </c>
      <c r="AC780" s="541">
        <f>AA780/I780-1</f>
        <v>2.7325286539521487E-2</v>
      </c>
      <c r="AD780" s="542"/>
      <c r="AF780" s="543"/>
      <c r="AH780" s="543"/>
      <c r="AI780" s="543"/>
      <c r="AK780" s="543"/>
      <c r="AM780" s="560"/>
    </row>
    <row r="781" spans="1:39">
      <c r="A781" s="6">
        <f>MAX(A$776:A780)+1</f>
        <v>351</v>
      </c>
      <c r="B781" s="58"/>
      <c r="C781" s="12" t="s">
        <v>427</v>
      </c>
      <c r="D781" s="58"/>
      <c r="E781" s="522" t="s">
        <v>425</v>
      </c>
      <c r="F781" s="58"/>
      <c r="G781" s="29">
        <v>6000000</v>
      </c>
      <c r="H781" s="58"/>
      <c r="I781" s="701">
        <v>0.152</v>
      </c>
      <c r="J781" s="567">
        <f t="shared" si="249"/>
        <v>912</v>
      </c>
      <c r="K781" s="58"/>
      <c r="L781" s="29">
        <v>0</v>
      </c>
      <c r="M781" s="29">
        <v>0</v>
      </c>
      <c r="N781" s="29">
        <v>0</v>
      </c>
      <c r="O781" s="29">
        <v>0</v>
      </c>
      <c r="P781" s="29">
        <v>0</v>
      </c>
      <c r="Q781" s="64">
        <f t="shared" si="250"/>
        <v>912</v>
      </c>
      <c r="R781" s="564"/>
      <c r="S781" s="29">
        <v>24</v>
      </c>
      <c r="T781" s="29">
        <v>0</v>
      </c>
      <c r="U781" s="29">
        <v>0</v>
      </c>
      <c r="V781" s="29">
        <v>0</v>
      </c>
      <c r="W781" s="29">
        <v>0</v>
      </c>
      <c r="X781" s="29">
        <v>0</v>
      </c>
      <c r="Y781" s="564"/>
      <c r="Z781" s="64">
        <f>Q781+S781+T781+U781+V781+W781+X781</f>
        <v>936</v>
      </c>
      <c r="AA781" s="701">
        <f>Z781/G781*1000</f>
        <v>0.156</v>
      </c>
      <c r="AB781" s="538">
        <f>Z781-J781</f>
        <v>24</v>
      </c>
      <c r="AC781" s="541">
        <f>AA781/I781-1</f>
        <v>2.6315789473684292E-2</v>
      </c>
      <c r="AD781" s="542"/>
      <c r="AF781" s="543"/>
      <c r="AH781" s="543"/>
      <c r="AI781" s="543"/>
      <c r="AK781" s="543"/>
      <c r="AM781" s="560"/>
    </row>
    <row r="782" spans="1:39">
      <c r="A782" s="6"/>
      <c r="B782" s="58"/>
      <c r="D782" s="58"/>
      <c r="E782" s="574"/>
      <c r="F782" s="58"/>
      <c r="G782" s="29"/>
      <c r="H782" s="58"/>
      <c r="I782" s="706"/>
      <c r="J782" s="567"/>
      <c r="K782" s="58"/>
      <c r="L782" s="538"/>
      <c r="M782" s="538"/>
      <c r="N782" s="538"/>
      <c r="O782" s="538"/>
      <c r="P782" s="538"/>
      <c r="Q782" s="538"/>
      <c r="R782" s="564"/>
      <c r="S782" s="29"/>
      <c r="T782" s="538"/>
      <c r="U782" s="538"/>
      <c r="V782" s="538"/>
      <c r="W782" s="538"/>
      <c r="X782" s="538"/>
      <c r="Y782" s="564"/>
      <c r="Z782" s="564"/>
      <c r="AA782" s="564"/>
      <c r="AB782" s="538"/>
      <c r="AC782" s="501"/>
      <c r="AF782" s="543"/>
      <c r="AH782" s="543"/>
      <c r="AI782" s="543"/>
      <c r="AK782" s="543"/>
    </row>
    <row r="783" spans="1:39">
      <c r="A783" s="6"/>
      <c r="B783" s="58"/>
      <c r="C783" s="10" t="s">
        <v>428</v>
      </c>
      <c r="D783" s="58"/>
      <c r="E783" s="574"/>
      <c r="F783" s="58"/>
      <c r="G783" s="29"/>
      <c r="H783" s="58"/>
      <c r="I783" s="58"/>
      <c r="J783" s="567"/>
      <c r="K783" s="58"/>
      <c r="L783" s="538"/>
      <c r="M783" s="538"/>
      <c r="N783" s="538"/>
      <c r="O783" s="538"/>
      <c r="P783" s="538"/>
      <c r="Q783" s="538"/>
      <c r="R783" s="564"/>
      <c r="S783" s="29"/>
      <c r="T783" s="538"/>
      <c r="U783" s="538"/>
      <c r="V783" s="538"/>
      <c r="W783" s="538"/>
      <c r="X783" s="538"/>
      <c r="Y783" s="564"/>
      <c r="Z783" s="564"/>
      <c r="AA783" s="564"/>
      <c r="AB783" s="538"/>
      <c r="AC783" s="501"/>
      <c r="AF783" s="543"/>
      <c r="AH783" s="543"/>
      <c r="AI783" s="543"/>
      <c r="AK783" s="543"/>
    </row>
    <row r="784" spans="1:39">
      <c r="A784" s="6"/>
      <c r="B784" s="58"/>
      <c r="C784" s="526" t="s">
        <v>419</v>
      </c>
      <c r="D784" s="58"/>
      <c r="E784" s="30"/>
      <c r="F784" s="58"/>
      <c r="G784" s="29"/>
      <c r="H784" s="58"/>
      <c r="I784" s="58"/>
      <c r="J784" s="567"/>
      <c r="K784" s="58"/>
      <c r="L784" s="538"/>
      <c r="M784" s="538"/>
      <c r="N784" s="538"/>
      <c r="O784" s="538"/>
      <c r="P784" s="538"/>
      <c r="Q784" s="538"/>
      <c r="R784" s="564"/>
      <c r="S784" s="29"/>
      <c r="T784" s="538"/>
      <c r="U784" s="538"/>
      <c r="V784" s="538"/>
      <c r="W784" s="538"/>
      <c r="X784" s="538"/>
      <c r="Y784" s="564"/>
      <c r="Z784" s="564"/>
      <c r="AA784" s="564"/>
      <c r="AB784" s="538"/>
      <c r="AC784" s="501"/>
      <c r="AF784" s="543"/>
      <c r="AH784" s="543"/>
      <c r="AI784" s="543"/>
      <c r="AK784" s="543"/>
    </row>
    <row r="785" spans="1:37">
      <c r="A785" s="6">
        <f>MAX(A$776:A784)+1</f>
        <v>352</v>
      </c>
      <c r="B785" s="58"/>
      <c r="C785" s="719" t="s">
        <v>429</v>
      </c>
      <c r="D785" s="58"/>
      <c r="E785" s="522" t="s">
        <v>331</v>
      </c>
      <c r="F785" s="58"/>
      <c r="G785" s="29">
        <v>182561.93109999999</v>
      </c>
      <c r="H785" s="58"/>
      <c r="I785" s="29">
        <v>0</v>
      </c>
      <c r="J785" s="29">
        <v>3.7415094940005567</v>
      </c>
      <c r="K785" s="58"/>
      <c r="L785" s="29">
        <v>0</v>
      </c>
      <c r="M785" s="29">
        <v>0</v>
      </c>
      <c r="N785" s="29">
        <v>0</v>
      </c>
      <c r="O785" s="29">
        <v>2.1881592426195975</v>
      </c>
      <c r="P785" s="29">
        <v>1.5533502513809598</v>
      </c>
      <c r="Q785" s="29">
        <v>0</v>
      </c>
      <c r="R785" s="564"/>
      <c r="S785" s="29">
        <v>0</v>
      </c>
      <c r="T785" s="29">
        <v>0</v>
      </c>
      <c r="U785" s="29">
        <v>0</v>
      </c>
      <c r="V785" s="29">
        <v>0</v>
      </c>
      <c r="W785" s="29">
        <v>2.6701994862222223</v>
      </c>
      <c r="X785" s="29">
        <v>1.5448353445442857</v>
      </c>
      <c r="Y785" s="564"/>
      <c r="Z785" s="564">
        <f>V785+W785+X785</f>
        <v>4.2150348307665082</v>
      </c>
      <c r="AA785" s="29">
        <v>0</v>
      </c>
      <c r="AB785" s="538">
        <f>Z785-J785</f>
        <v>0.47352533676595154</v>
      </c>
      <c r="AC785" s="29">
        <v>0</v>
      </c>
      <c r="AD785" s="29"/>
      <c r="AF785" s="543"/>
      <c r="AH785" s="543"/>
      <c r="AI785" s="543"/>
      <c r="AK785" s="543"/>
    </row>
    <row r="786" spans="1:37">
      <c r="A786" s="6">
        <f>MAX(A$776:A785)+1</f>
        <v>353</v>
      </c>
      <c r="B786" s="58"/>
      <c r="C786" s="719" t="s">
        <v>430</v>
      </c>
      <c r="D786" s="58"/>
      <c r="E786" s="522" t="s">
        <v>331</v>
      </c>
      <c r="F786" s="58"/>
      <c r="G786" s="29">
        <v>36496498.858000003</v>
      </c>
      <c r="H786" s="58"/>
      <c r="I786" s="29">
        <v>0</v>
      </c>
      <c r="J786" s="29">
        <v>534.17159271005198</v>
      </c>
      <c r="K786" s="58"/>
      <c r="L786" s="29">
        <v>0</v>
      </c>
      <c r="M786" s="29">
        <v>0</v>
      </c>
      <c r="N786" s="29">
        <v>0</v>
      </c>
      <c r="O786" s="29">
        <v>312.40132080583129</v>
      </c>
      <c r="P786" s="29">
        <v>221.77027190422081</v>
      </c>
      <c r="Q786" s="29">
        <v>0</v>
      </c>
      <c r="R786" s="564"/>
      <c r="S786" s="29">
        <v>0</v>
      </c>
      <c r="T786" s="29">
        <v>0</v>
      </c>
      <c r="U786" s="29">
        <v>0</v>
      </c>
      <c r="V786" s="29">
        <v>0</v>
      </c>
      <c r="W786" s="29">
        <v>381.22172740601229</v>
      </c>
      <c r="X786" s="29">
        <v>220.5546071159803</v>
      </c>
      <c r="Y786" s="564"/>
      <c r="Z786" s="564">
        <f t="shared" ref="Z786:Z787" si="251">V786+W786+X786</f>
        <v>601.77633452199257</v>
      </c>
      <c r="AA786" s="29">
        <v>0</v>
      </c>
      <c r="AB786" s="538">
        <f>Z786-J786</f>
        <v>67.604741811940585</v>
      </c>
      <c r="AC786" s="29">
        <v>0</v>
      </c>
      <c r="AD786" s="29"/>
      <c r="AF786" s="543"/>
      <c r="AH786" s="543"/>
      <c r="AI786" s="543"/>
      <c r="AK786" s="543"/>
    </row>
    <row r="787" spans="1:37">
      <c r="A787" s="6">
        <f>MAX(A$776:A786)+1</f>
        <v>354</v>
      </c>
      <c r="B787" s="58"/>
      <c r="C787" s="719" t="s">
        <v>431</v>
      </c>
      <c r="D787" s="58"/>
      <c r="E787" s="522" t="s">
        <v>331</v>
      </c>
      <c r="F787" s="58"/>
      <c r="G787" s="29">
        <v>10101454.704</v>
      </c>
      <c r="H787" s="58"/>
      <c r="I787" s="29">
        <v>0</v>
      </c>
      <c r="J787" s="29">
        <v>222.75142613254567</v>
      </c>
      <c r="K787" s="58"/>
      <c r="L787" s="29">
        <v>0</v>
      </c>
      <c r="M787" s="29">
        <v>0</v>
      </c>
      <c r="N787" s="29">
        <v>0</v>
      </c>
      <c r="O787" s="29">
        <v>130.27244556780852</v>
      </c>
      <c r="P787" s="29">
        <v>92.478980564737185</v>
      </c>
      <c r="Q787" s="29">
        <v>0</v>
      </c>
      <c r="R787" s="564"/>
      <c r="S787" s="29">
        <v>0</v>
      </c>
      <c r="T787" s="29">
        <v>0</v>
      </c>
      <c r="U787" s="29">
        <v>0</v>
      </c>
      <c r="V787" s="29">
        <v>0</v>
      </c>
      <c r="W787" s="29">
        <v>158.97079629709</v>
      </c>
      <c r="X787" s="29">
        <v>91.972044087816229</v>
      </c>
      <c r="Y787" s="564"/>
      <c r="Z787" s="564">
        <f t="shared" si="251"/>
        <v>250.94284038490622</v>
      </c>
      <c r="AA787" s="29">
        <v>0</v>
      </c>
      <c r="AB787" s="538">
        <f>Z787-J787</f>
        <v>28.191414252360545</v>
      </c>
      <c r="AC787" s="29">
        <v>0</v>
      </c>
      <c r="AD787" s="29"/>
      <c r="AF787" s="543"/>
      <c r="AH787" s="543"/>
      <c r="AI787" s="543"/>
      <c r="AK787" s="543"/>
    </row>
    <row r="788" spans="1:37">
      <c r="A788" s="6">
        <f>MAX(A$776:A787)+1</f>
        <v>355</v>
      </c>
      <c r="C788" s="719" t="s">
        <v>432</v>
      </c>
      <c r="E788" s="522" t="s">
        <v>331</v>
      </c>
      <c r="G788" s="29">
        <v>0</v>
      </c>
      <c r="I788" s="29">
        <v>0</v>
      </c>
      <c r="J788" s="567"/>
      <c r="L788" s="538"/>
      <c r="M788" s="538"/>
      <c r="N788" s="538"/>
      <c r="O788" s="538"/>
      <c r="P788" s="538"/>
      <c r="Q788" s="538"/>
      <c r="R788" s="64"/>
      <c r="S788" s="29"/>
      <c r="T788" s="538"/>
      <c r="U788" s="538"/>
      <c r="V788" s="538"/>
      <c r="W788" s="538"/>
      <c r="X788" s="538"/>
      <c r="Y788" s="64"/>
      <c r="Z788" s="64"/>
      <c r="AA788" s="64"/>
      <c r="AB788" s="538">
        <f>Z788-J788</f>
        <v>0</v>
      </c>
      <c r="AC788" s="29">
        <v>0</v>
      </c>
      <c r="AD788" s="29"/>
      <c r="AF788" s="543"/>
      <c r="AH788" s="543"/>
      <c r="AI788" s="543"/>
      <c r="AK788" s="543"/>
    </row>
    <row r="789" spans="1:37">
      <c r="A789" s="6"/>
      <c r="C789" s="501"/>
      <c r="E789" s="30"/>
      <c r="G789" s="29"/>
      <c r="J789" s="567"/>
      <c r="L789" s="538"/>
      <c r="M789" s="538"/>
      <c r="N789" s="538"/>
      <c r="O789" s="538"/>
      <c r="P789" s="538"/>
      <c r="Q789" s="538"/>
      <c r="R789" s="64"/>
      <c r="S789" s="29"/>
      <c r="T789" s="538"/>
      <c r="U789" s="538"/>
      <c r="V789" s="538"/>
      <c r="W789" s="538"/>
      <c r="X789" s="538"/>
      <c r="Y789" s="64"/>
      <c r="Z789" s="64"/>
      <c r="AA789" s="64"/>
      <c r="AB789" s="538"/>
      <c r="AC789" s="501"/>
      <c r="AF789" s="543"/>
      <c r="AH789" s="543"/>
      <c r="AI789" s="543"/>
      <c r="AK789" s="543"/>
    </row>
    <row r="790" spans="1:37">
      <c r="A790" s="6"/>
      <c r="C790" s="521" t="s">
        <v>433</v>
      </c>
      <c r="E790" s="30"/>
      <c r="G790" s="29"/>
      <c r="J790" s="567"/>
      <c r="L790" s="538"/>
      <c r="M790" s="538"/>
      <c r="N790" s="538"/>
      <c r="O790" s="538"/>
      <c r="P790" s="538"/>
      <c r="Q790" s="538"/>
      <c r="R790" s="64"/>
      <c r="S790" s="29"/>
      <c r="T790" s="538"/>
      <c r="U790" s="538"/>
      <c r="V790" s="538"/>
      <c r="W790" s="538"/>
      <c r="X790" s="538"/>
      <c r="Y790" s="64"/>
      <c r="Z790" s="64"/>
      <c r="AA790" s="64"/>
      <c r="AB790" s="538"/>
      <c r="AC790" s="501"/>
      <c r="AF790" s="543"/>
      <c r="AH790" s="543"/>
      <c r="AI790" s="543"/>
      <c r="AK790" s="543"/>
    </row>
    <row r="791" spans="1:37">
      <c r="A791" s="6">
        <f>MAX(A$776:A790)+1</f>
        <v>356</v>
      </c>
      <c r="C791" s="719" t="s">
        <v>434</v>
      </c>
      <c r="E791" s="522" t="s">
        <v>331</v>
      </c>
      <c r="G791" s="29">
        <v>0</v>
      </c>
      <c r="I791" s="29">
        <v>0</v>
      </c>
      <c r="J791" s="29">
        <v>0</v>
      </c>
      <c r="L791" s="29">
        <v>0</v>
      </c>
      <c r="M791" s="29">
        <v>0</v>
      </c>
      <c r="N791" s="29">
        <v>0</v>
      </c>
      <c r="O791" s="29">
        <v>0</v>
      </c>
      <c r="P791" s="29">
        <v>0</v>
      </c>
      <c r="Q791" s="538">
        <f>J791</f>
        <v>0</v>
      </c>
      <c r="R791" s="64"/>
      <c r="S791" s="29">
        <v>0</v>
      </c>
      <c r="T791" s="29">
        <v>0</v>
      </c>
      <c r="U791" s="29">
        <v>0</v>
      </c>
      <c r="V791" s="29">
        <v>0</v>
      </c>
      <c r="W791" s="29">
        <v>0</v>
      </c>
      <c r="X791" s="29">
        <v>0</v>
      </c>
      <c r="Y791" s="64"/>
      <c r="Z791" s="64">
        <f>Q791</f>
        <v>0</v>
      </c>
      <c r="AA791" s="29">
        <v>0</v>
      </c>
      <c r="AB791" s="538">
        <f>Z791-J791</f>
        <v>0</v>
      </c>
      <c r="AC791" s="29">
        <v>0</v>
      </c>
      <c r="AD791" s="29"/>
      <c r="AF791" s="543"/>
      <c r="AH791" s="543"/>
      <c r="AI791" s="543"/>
      <c r="AK791" s="543"/>
    </row>
    <row r="792" spans="1:37">
      <c r="A792" s="6">
        <f>MAX(A$776:A791)+1</f>
        <v>357</v>
      </c>
      <c r="C792" s="719" t="s">
        <v>417</v>
      </c>
      <c r="E792" s="522" t="s">
        <v>331</v>
      </c>
      <c r="G792" s="29">
        <v>0</v>
      </c>
      <c r="I792" s="29">
        <v>0</v>
      </c>
      <c r="J792" s="29">
        <v>0</v>
      </c>
      <c r="L792" s="29">
        <v>0</v>
      </c>
      <c r="M792" s="29">
        <v>0</v>
      </c>
      <c r="N792" s="29">
        <v>0</v>
      </c>
      <c r="O792" s="29">
        <v>0</v>
      </c>
      <c r="P792" s="29">
        <v>0</v>
      </c>
      <c r="Q792" s="538">
        <f>J792</f>
        <v>0</v>
      </c>
      <c r="R792" s="64"/>
      <c r="S792" s="29">
        <v>0</v>
      </c>
      <c r="T792" s="29">
        <v>0</v>
      </c>
      <c r="U792" s="29">
        <v>0</v>
      </c>
      <c r="V792" s="29">
        <v>0</v>
      </c>
      <c r="W792" s="29">
        <v>0</v>
      </c>
      <c r="X792" s="29">
        <v>0</v>
      </c>
      <c r="Y792" s="64"/>
      <c r="Z792" s="64">
        <f>Q792</f>
        <v>0</v>
      </c>
      <c r="AA792" s="29">
        <v>0</v>
      </c>
      <c r="AB792" s="538">
        <f>Z792-J792</f>
        <v>0</v>
      </c>
      <c r="AC792" s="29">
        <v>0</v>
      </c>
      <c r="AD792" s="29"/>
      <c r="AF792" s="543"/>
      <c r="AH792" s="543"/>
      <c r="AI792" s="543"/>
      <c r="AK792" s="543"/>
    </row>
    <row r="793" spans="1:37">
      <c r="A793" s="6"/>
      <c r="E793" s="30"/>
      <c r="G793" s="29"/>
      <c r="J793" s="567"/>
      <c r="L793" s="538"/>
      <c r="M793" s="538"/>
      <c r="N793" s="538"/>
      <c r="O793" s="538"/>
      <c r="P793" s="538"/>
      <c r="Q793" s="538"/>
      <c r="R793" s="64"/>
      <c r="S793" s="29">
        <v>0</v>
      </c>
      <c r="T793" s="538"/>
      <c r="U793" s="538"/>
      <c r="V793" s="538"/>
      <c r="W793" s="538"/>
      <c r="X793" s="538"/>
      <c r="Y793" s="64"/>
      <c r="Z793" s="64"/>
      <c r="AA793" s="64"/>
      <c r="AB793" s="538"/>
      <c r="AC793" s="501"/>
      <c r="AF793" s="543"/>
      <c r="AH793" s="543"/>
      <c r="AI793" s="543"/>
      <c r="AK793" s="543"/>
    </row>
    <row r="794" spans="1:37">
      <c r="A794" s="6">
        <f>MAX(A$776:A793)+1</f>
        <v>358</v>
      </c>
      <c r="C794" s="2" t="s">
        <v>435</v>
      </c>
      <c r="E794" s="522" t="s">
        <v>331</v>
      </c>
      <c r="G794" s="29">
        <v>45665000</v>
      </c>
      <c r="I794" s="29">
        <v>0</v>
      </c>
      <c r="J794" s="29">
        <v>12138.692302499876</v>
      </c>
      <c r="L794" s="29">
        <v>0</v>
      </c>
      <c r="M794" s="29">
        <v>0</v>
      </c>
      <c r="N794" s="29">
        <v>0</v>
      </c>
      <c r="O794" s="29">
        <v>0</v>
      </c>
      <c r="P794" s="29">
        <v>0</v>
      </c>
      <c r="Q794" s="538">
        <f>J794</f>
        <v>12138.692302499876</v>
      </c>
      <c r="R794" s="64"/>
      <c r="S794" s="29">
        <v>0</v>
      </c>
      <c r="T794" s="29">
        <v>0</v>
      </c>
      <c r="U794" s="29">
        <v>0</v>
      </c>
      <c r="V794" s="29">
        <v>0</v>
      </c>
      <c r="W794" s="29">
        <v>0</v>
      </c>
      <c r="X794" s="29">
        <v>0</v>
      </c>
      <c r="Y794" s="64"/>
      <c r="Z794" s="64">
        <f>Q794</f>
        <v>12138.692302499876</v>
      </c>
      <c r="AA794" s="29">
        <v>0</v>
      </c>
      <c r="AB794" s="538">
        <f>Z794-J794</f>
        <v>0</v>
      </c>
      <c r="AC794" s="29">
        <v>0</v>
      </c>
      <c r="AD794" s="29"/>
      <c r="AF794" s="543"/>
      <c r="AH794" s="543"/>
      <c r="AI794" s="543"/>
      <c r="AK794" s="543"/>
    </row>
    <row r="795" spans="1:37">
      <c r="A795" s="6">
        <f>MAX(A$776:A794)+1</f>
        <v>359</v>
      </c>
      <c r="C795" s="2" t="s">
        <v>436</v>
      </c>
      <c r="E795" s="522" t="s">
        <v>331</v>
      </c>
      <c r="G795" s="29">
        <v>0</v>
      </c>
      <c r="I795" s="29">
        <v>0</v>
      </c>
      <c r="J795" s="29">
        <v>2388.3000000000002</v>
      </c>
      <c r="L795" s="29">
        <v>0</v>
      </c>
      <c r="M795" s="29">
        <v>0</v>
      </c>
      <c r="N795" s="29">
        <v>0</v>
      </c>
      <c r="O795" s="29">
        <v>410.98500000000001</v>
      </c>
      <c r="P795" s="29">
        <v>1977.3150000000001</v>
      </c>
      <c r="Q795" s="29">
        <v>0</v>
      </c>
      <c r="R795" s="64"/>
      <c r="S795" s="29">
        <v>0</v>
      </c>
      <c r="T795" s="29">
        <v>0</v>
      </c>
      <c r="U795" s="29">
        <v>0</v>
      </c>
      <c r="V795" s="29">
        <v>0</v>
      </c>
      <c r="W795" s="29">
        <v>511.42336737272689</v>
      </c>
      <c r="X795" s="29">
        <v>1969.0537638875649</v>
      </c>
      <c r="Y795" s="64"/>
      <c r="Z795" s="64">
        <f>V795+W795+X795</f>
        <v>2480.4771312602916</v>
      </c>
      <c r="AA795" s="29">
        <v>0</v>
      </c>
      <c r="AB795" s="538">
        <f>Z795-J795</f>
        <v>92.177131260291389</v>
      </c>
      <c r="AC795" s="29">
        <v>0</v>
      </c>
      <c r="AD795" s="29"/>
      <c r="AF795" s="543"/>
      <c r="AH795" s="543"/>
      <c r="AI795" s="543"/>
      <c r="AK795" s="543"/>
    </row>
    <row r="796" spans="1:37">
      <c r="A796" s="6"/>
      <c r="E796" s="30"/>
      <c r="G796" s="29"/>
      <c r="J796" s="567"/>
      <c r="L796" s="538"/>
      <c r="M796" s="538"/>
      <c r="N796" s="538"/>
      <c r="O796" s="538"/>
      <c r="P796" s="538"/>
      <c r="Q796" s="538"/>
      <c r="R796" s="64"/>
      <c r="S796" s="64"/>
      <c r="T796" s="538"/>
      <c r="U796" s="538"/>
      <c r="V796" s="538"/>
      <c r="W796" s="538"/>
      <c r="X796" s="538"/>
      <c r="Y796" s="64"/>
      <c r="Z796" s="64"/>
      <c r="AA796" s="64"/>
      <c r="AB796" s="538"/>
      <c r="AC796" s="501"/>
      <c r="AF796" s="543"/>
      <c r="AH796" s="543"/>
      <c r="AI796" s="543"/>
      <c r="AK796" s="543"/>
    </row>
    <row r="797" spans="1:37" ht="12.95" thickBot="1">
      <c r="A797" s="6">
        <f>MAX(A$776:A795)+1</f>
        <v>360</v>
      </c>
      <c r="C797" s="2" t="str">
        <f>"Total " &amp;C775</f>
        <v>Total Rate C1</v>
      </c>
      <c r="E797" s="30"/>
      <c r="G797" s="589">
        <f>SUM(G777:G795)</f>
        <v>102661523.4931</v>
      </c>
      <c r="I797" s="720">
        <f>J797/G797*100</f>
        <v>1.6959535267374717E-2</v>
      </c>
      <c r="J797" s="709">
        <f>SUM(J777:J795)</f>
        <v>17410.917282836475</v>
      </c>
      <c r="K797" s="567"/>
      <c r="L797" s="710">
        <f t="shared" ref="L797:Z797" si="252">SUM(L777:L795)</f>
        <v>0</v>
      </c>
      <c r="M797" s="710">
        <f t="shared" si="252"/>
        <v>0</v>
      </c>
      <c r="N797" s="710">
        <f t="shared" si="252"/>
        <v>0</v>
      </c>
      <c r="O797" s="710">
        <f t="shared" si="252"/>
        <v>855.84692561625934</v>
      </c>
      <c r="P797" s="710">
        <f t="shared" si="252"/>
        <v>2293.1176027203392</v>
      </c>
      <c r="Q797" s="710">
        <f>J797-L797-M797-N797-O797-P797</f>
        <v>14261.952754499875</v>
      </c>
      <c r="R797" s="64"/>
      <c r="S797" s="710">
        <f t="shared" si="252"/>
        <v>55.384889252956597</v>
      </c>
      <c r="T797" s="710">
        <f t="shared" si="252"/>
        <v>0</v>
      </c>
      <c r="U797" s="710">
        <f t="shared" si="252"/>
        <v>0</v>
      </c>
      <c r="V797" s="710">
        <f t="shared" si="252"/>
        <v>0</v>
      </c>
      <c r="W797" s="710">
        <f t="shared" si="252"/>
        <v>1054.2860905620514</v>
      </c>
      <c r="X797" s="710">
        <f t="shared" si="252"/>
        <v>2283.1252504359059</v>
      </c>
      <c r="Y797" s="64"/>
      <c r="Z797" s="710">
        <f t="shared" si="252"/>
        <v>17654.74898475079</v>
      </c>
      <c r="AA797" s="572">
        <f>Z797/G797*100</f>
        <v>1.7197045576610195E-2</v>
      </c>
      <c r="AB797" s="710">
        <f>SUM(AB777:AB795)</f>
        <v>243.83170191431506</v>
      </c>
      <c r="AC797" s="721">
        <f>AA797/I797-1</f>
        <v>1.4004529339455285E-2</v>
      </c>
      <c r="AD797" s="722"/>
      <c r="AF797" s="543"/>
      <c r="AH797" s="543"/>
      <c r="AI797" s="543"/>
      <c r="AK797" s="543"/>
    </row>
    <row r="798" spans="1:37" ht="12.95" thickTop="1">
      <c r="L798" s="2"/>
      <c r="M798" s="2"/>
      <c r="N798" s="2"/>
      <c r="O798" s="2"/>
      <c r="P798" s="501"/>
      <c r="Q798" s="501"/>
      <c r="T798" s="501"/>
      <c r="U798" s="501"/>
      <c r="V798" s="501"/>
      <c r="W798" s="501"/>
      <c r="X798" s="501"/>
      <c r="AB798" s="538"/>
      <c r="AC798" s="501"/>
      <c r="AF798" s="543"/>
      <c r="AH798" s="543"/>
      <c r="AI798" s="543"/>
      <c r="AK798" s="543"/>
    </row>
    <row r="799" spans="1:37">
      <c r="L799" s="2"/>
      <c r="M799" s="2"/>
      <c r="N799" s="2"/>
      <c r="O799" s="2"/>
      <c r="P799" s="501"/>
      <c r="Q799" s="501"/>
      <c r="T799" s="501"/>
      <c r="U799" s="501"/>
      <c r="V799" s="501"/>
      <c r="W799" s="501"/>
      <c r="X799" s="501"/>
      <c r="AB799" s="501"/>
      <c r="AC799" s="501"/>
      <c r="AF799" s="543"/>
      <c r="AH799" s="543"/>
      <c r="AI799" s="543"/>
      <c r="AK799" s="543"/>
    </row>
    <row r="800" spans="1:37">
      <c r="L800" s="2"/>
      <c r="M800" s="2"/>
      <c r="N800" s="2"/>
      <c r="O800" s="2"/>
      <c r="P800" s="501"/>
      <c r="Q800" s="501"/>
      <c r="T800" s="501"/>
      <c r="U800" s="501"/>
      <c r="V800" s="501"/>
      <c r="W800" s="501"/>
      <c r="X800" s="501"/>
      <c r="AB800" s="501"/>
      <c r="AC800" s="501"/>
      <c r="AF800" s="543"/>
      <c r="AH800" s="543"/>
      <c r="AI800" s="543"/>
      <c r="AK800" s="543"/>
    </row>
    <row r="801" spans="1:39">
      <c r="L801" s="2"/>
      <c r="M801" s="2"/>
      <c r="N801" s="2"/>
      <c r="O801" s="2"/>
      <c r="P801" s="501"/>
      <c r="Q801" s="501"/>
      <c r="T801" s="501"/>
      <c r="U801" s="501"/>
      <c r="V801" s="501"/>
      <c r="W801" s="501"/>
      <c r="X801" s="501"/>
      <c r="AB801" s="501"/>
      <c r="AC801" s="501"/>
      <c r="AF801" s="543"/>
      <c r="AH801" s="543"/>
      <c r="AI801" s="543"/>
      <c r="AK801" s="543"/>
    </row>
    <row r="802" spans="1:39">
      <c r="A802" s="1156" t="s">
        <v>279</v>
      </c>
      <c r="B802" s="1156"/>
      <c r="C802" s="1156"/>
      <c r="D802" s="1156"/>
      <c r="E802" s="1156"/>
      <c r="F802" s="1156"/>
      <c r="G802" s="1156"/>
      <c r="H802" s="1156"/>
      <c r="I802" s="1156"/>
      <c r="J802" s="1156"/>
      <c r="K802" s="1156"/>
      <c r="L802" s="1156"/>
      <c r="M802" s="1156"/>
      <c r="N802" s="1156"/>
      <c r="O802" s="1156"/>
      <c r="P802" s="1156"/>
      <c r="Q802" s="1156"/>
      <c r="R802" s="1156"/>
      <c r="S802" s="1156"/>
      <c r="T802" s="1156"/>
      <c r="U802" s="1156"/>
      <c r="V802" s="1156"/>
      <c r="W802" s="1156"/>
      <c r="X802" s="1156"/>
      <c r="Y802" s="1156"/>
      <c r="Z802" s="1156"/>
      <c r="AA802" s="1156"/>
      <c r="AB802" s="1156"/>
      <c r="AC802" s="1156"/>
      <c r="AD802" s="531"/>
      <c r="AF802" s="543"/>
      <c r="AH802" s="543"/>
      <c r="AI802" s="543"/>
      <c r="AK802" s="543"/>
    </row>
    <row r="803" spans="1:39">
      <c r="A803" s="57"/>
      <c r="B803" s="57"/>
      <c r="C803" s="57"/>
      <c r="D803" s="57"/>
      <c r="E803" s="3"/>
      <c r="F803" s="57"/>
      <c r="G803" s="3"/>
      <c r="H803" s="57"/>
      <c r="I803" s="57"/>
      <c r="J803" s="57"/>
      <c r="K803" s="57"/>
      <c r="L803" s="57"/>
      <c r="M803" s="57"/>
      <c r="N803" s="4"/>
      <c r="O803" s="4"/>
      <c r="P803" s="501"/>
      <c r="Q803" s="501"/>
      <c r="R803" s="57"/>
      <c r="S803" s="57"/>
      <c r="T803" s="501"/>
      <c r="U803" s="501"/>
      <c r="V803" s="501"/>
      <c r="W803" s="501"/>
      <c r="X803" s="501"/>
      <c r="Y803" s="57"/>
      <c r="Z803" s="57"/>
      <c r="AA803" s="57"/>
      <c r="AB803" s="501"/>
      <c r="AC803" s="501"/>
      <c r="AF803" s="543"/>
      <c r="AH803" s="543"/>
      <c r="AI803" s="543"/>
      <c r="AK803" s="543"/>
    </row>
    <row r="804" spans="1:39">
      <c r="A804" s="3"/>
      <c r="B804" s="3"/>
      <c r="C804" s="3"/>
      <c r="D804" s="3"/>
      <c r="E804" s="57"/>
      <c r="F804" s="3"/>
      <c r="G804" s="1152" t="str">
        <f>G8</f>
        <v>Current Approved Revenue</v>
      </c>
      <c r="H804" s="1152"/>
      <c r="I804" s="1152"/>
      <c r="J804" s="1152"/>
      <c r="K804" s="3"/>
      <c r="L804" s="1152" t="str">
        <f>L8</f>
        <v>Adjustments to 2023 Base Rates</v>
      </c>
      <c r="M804" s="1152"/>
      <c r="N804" s="1152"/>
      <c r="O804" s="1152"/>
      <c r="P804" s="1152"/>
      <c r="Q804" s="58"/>
      <c r="R804" s="3"/>
      <c r="S804" s="1152" t="str">
        <f>S8</f>
        <v>Adjustments to 2024 Base Rates</v>
      </c>
      <c r="T804" s="1152"/>
      <c r="U804" s="1152"/>
      <c r="V804" s="1152"/>
      <c r="W804" s="1152"/>
      <c r="X804" s="1152"/>
      <c r="Y804" s="3"/>
      <c r="Z804" s="1152" t="str">
        <f>Z8</f>
        <v>2024 Proposed Revenue</v>
      </c>
      <c r="AA804" s="1152"/>
      <c r="AB804" s="1152"/>
      <c r="AC804" s="1152"/>
      <c r="AD804" s="6"/>
      <c r="AF804" s="543"/>
      <c r="AH804" s="543"/>
      <c r="AI804" s="543"/>
      <c r="AK804" s="543"/>
    </row>
    <row r="805" spans="1:39" ht="37.5">
      <c r="A805" s="5" t="s">
        <v>56</v>
      </c>
      <c r="B805" s="5"/>
      <c r="C805" s="5"/>
      <c r="D805" s="5"/>
      <c r="E805" s="6" t="s">
        <v>233</v>
      </c>
      <c r="F805" s="5"/>
      <c r="G805" s="17" t="s">
        <v>234</v>
      </c>
      <c r="H805" s="5"/>
      <c r="I805" s="17" t="s">
        <v>235</v>
      </c>
      <c r="J805" s="17" t="s">
        <v>101</v>
      </c>
      <c r="K805" s="5"/>
      <c r="L805" s="17" t="s">
        <v>106</v>
      </c>
      <c r="M805" s="17" t="s">
        <v>236</v>
      </c>
      <c r="N805" s="5" t="s">
        <v>237</v>
      </c>
      <c r="O805" s="5" t="s">
        <v>109</v>
      </c>
      <c r="P805" s="5" t="s">
        <v>238</v>
      </c>
      <c r="Q805" s="5" t="s">
        <v>239</v>
      </c>
      <c r="R805" s="5"/>
      <c r="S805" s="5" t="s">
        <v>240</v>
      </c>
      <c r="T805" s="17" t="s">
        <v>106</v>
      </c>
      <c r="U805" s="17" t="s">
        <v>236</v>
      </c>
      <c r="V805" s="5" t="s">
        <v>237</v>
      </c>
      <c r="W805" s="5" t="s">
        <v>109</v>
      </c>
      <c r="X805" s="5" t="s">
        <v>238</v>
      </c>
      <c r="Y805" s="5"/>
      <c r="Z805" s="17" t="s">
        <v>241</v>
      </c>
      <c r="AA805" s="17" t="s">
        <v>242</v>
      </c>
      <c r="AB805" s="17" t="s">
        <v>243</v>
      </c>
      <c r="AC805" s="5" t="s">
        <v>244</v>
      </c>
      <c r="AD805" s="5"/>
      <c r="AF805" s="543"/>
      <c r="AH805" s="543"/>
      <c r="AI805" s="543"/>
      <c r="AK805" s="543"/>
    </row>
    <row r="806" spans="1:39">
      <c r="A806" s="237" t="s">
        <v>57</v>
      </c>
      <c r="B806" s="58"/>
      <c r="C806" s="59" t="s">
        <v>194</v>
      </c>
      <c r="D806" s="58"/>
      <c r="E806" s="237" t="s">
        <v>245</v>
      </c>
      <c r="F806" s="58"/>
      <c r="G806" s="237" t="s">
        <v>246</v>
      </c>
      <c r="H806" s="58"/>
      <c r="I806" s="237" t="s">
        <v>397</v>
      </c>
      <c r="J806" s="237" t="s">
        <v>248</v>
      </c>
      <c r="K806" s="58"/>
      <c r="L806" s="237" t="s">
        <v>248</v>
      </c>
      <c r="M806" s="237" t="s">
        <v>248</v>
      </c>
      <c r="N806" s="237" t="s">
        <v>248</v>
      </c>
      <c r="O806" s="237" t="s">
        <v>248</v>
      </c>
      <c r="P806" s="237" t="s">
        <v>248</v>
      </c>
      <c r="Q806" s="237" t="s">
        <v>248</v>
      </c>
      <c r="R806" s="58"/>
      <c r="S806" s="237" t="s">
        <v>248</v>
      </c>
      <c r="T806" s="237" t="s">
        <v>248</v>
      </c>
      <c r="U806" s="237" t="s">
        <v>248</v>
      </c>
      <c r="V806" s="237" t="s">
        <v>248</v>
      </c>
      <c r="W806" s="237" t="s">
        <v>248</v>
      </c>
      <c r="X806" s="237" t="s">
        <v>248</v>
      </c>
      <c r="Y806" s="58"/>
      <c r="Z806" s="237" t="s">
        <v>248</v>
      </c>
      <c r="AA806" s="237" t="s">
        <v>397</v>
      </c>
      <c r="AB806" s="237" t="s">
        <v>248</v>
      </c>
      <c r="AC806" s="237" t="s">
        <v>249</v>
      </c>
      <c r="AD806" s="6"/>
      <c r="AF806" s="543"/>
      <c r="AH806" s="543"/>
      <c r="AI806" s="543"/>
      <c r="AK806" s="543"/>
    </row>
    <row r="807" spans="1:39">
      <c r="A807" s="6"/>
      <c r="B807" s="58"/>
      <c r="C807" s="58"/>
      <c r="D807" s="58"/>
      <c r="E807" s="6"/>
      <c r="F807" s="58"/>
      <c r="G807" s="6" t="s">
        <v>9</v>
      </c>
      <c r="H807" s="6"/>
      <c r="I807" s="6" t="s">
        <v>10</v>
      </c>
      <c r="J807" s="6" t="s">
        <v>58</v>
      </c>
      <c r="K807" s="6"/>
      <c r="L807" s="123" t="s">
        <v>12</v>
      </c>
      <c r="M807" s="123" t="s">
        <v>13</v>
      </c>
      <c r="N807" s="123" t="s">
        <v>115</v>
      </c>
      <c r="O807" s="123" t="s">
        <v>209</v>
      </c>
      <c r="P807" s="6" t="s">
        <v>210</v>
      </c>
      <c r="Q807" s="6" t="s">
        <v>250</v>
      </c>
      <c r="R807" s="6"/>
      <c r="S807" s="6" t="s">
        <v>251</v>
      </c>
      <c r="T807" s="6" t="s">
        <v>120</v>
      </c>
      <c r="U807" s="6" t="s">
        <v>121</v>
      </c>
      <c r="V807" s="6" t="s">
        <v>122</v>
      </c>
      <c r="W807" s="6" t="s">
        <v>252</v>
      </c>
      <c r="X807" s="6" t="s">
        <v>253</v>
      </c>
      <c r="Y807" s="6"/>
      <c r="Z807" s="6" t="s">
        <v>254</v>
      </c>
      <c r="AA807" s="6" t="s">
        <v>255</v>
      </c>
      <c r="AB807" s="6" t="s">
        <v>256</v>
      </c>
      <c r="AC807" s="6" t="s">
        <v>257</v>
      </c>
      <c r="AD807" s="6"/>
      <c r="AF807" s="543"/>
      <c r="AH807" s="543"/>
      <c r="AI807" s="543"/>
      <c r="AK807" s="543"/>
    </row>
    <row r="808" spans="1:39">
      <c r="A808" s="6"/>
      <c r="E808" s="30"/>
      <c r="G808" s="29"/>
      <c r="I808" s="632"/>
      <c r="J808" s="567"/>
      <c r="K808" s="567"/>
      <c r="L808" s="64"/>
      <c r="M808" s="64"/>
      <c r="N808" s="64"/>
      <c r="O808" s="64"/>
      <c r="P808" s="64"/>
      <c r="Q808" s="64"/>
      <c r="R808" s="64"/>
      <c r="S808" s="64"/>
      <c r="T808" s="64"/>
      <c r="U808" s="64"/>
      <c r="V808" s="64"/>
      <c r="W808" s="64"/>
      <c r="X808" s="64"/>
      <c r="Y808" s="64"/>
      <c r="Z808" s="64"/>
      <c r="AA808" s="548"/>
      <c r="AB808" s="64"/>
      <c r="AC808" s="722"/>
      <c r="AD808" s="722"/>
      <c r="AF808" s="543"/>
      <c r="AH808" s="543"/>
      <c r="AI808" s="543"/>
      <c r="AK808" s="543"/>
    </row>
    <row r="809" spans="1:39">
      <c r="A809" s="6"/>
      <c r="B809" s="58"/>
      <c r="C809" s="723" t="s">
        <v>437</v>
      </c>
      <c r="D809" s="58"/>
      <c r="E809" s="574"/>
      <c r="F809" s="58"/>
      <c r="G809" s="29"/>
      <c r="H809" s="58"/>
      <c r="I809" s="58"/>
      <c r="J809" s="58"/>
      <c r="K809" s="58"/>
      <c r="L809" s="538"/>
      <c r="M809" s="538"/>
      <c r="N809" s="538"/>
      <c r="O809" s="538"/>
      <c r="P809" s="538"/>
      <c r="Q809" s="538"/>
      <c r="R809" s="564"/>
      <c r="S809" s="564"/>
      <c r="T809" s="538"/>
      <c r="U809" s="538"/>
      <c r="V809" s="538"/>
      <c r="W809" s="538"/>
      <c r="X809" s="538"/>
      <c r="Y809" s="564"/>
      <c r="Z809" s="564"/>
      <c r="AA809" s="564"/>
      <c r="AB809" s="538"/>
      <c r="AC809" s="501"/>
    </row>
    <row r="810" spans="1:39">
      <c r="A810" s="6">
        <f>MAX(A$776:A809)+1</f>
        <v>361</v>
      </c>
      <c r="C810" s="521" t="s">
        <v>438</v>
      </c>
      <c r="E810" s="522" t="s">
        <v>259</v>
      </c>
      <c r="G810" s="29">
        <v>129</v>
      </c>
      <c r="I810" s="537">
        <v>1047.53</v>
      </c>
      <c r="J810" s="567">
        <f>G810*I810/1000</f>
        <v>135.13137</v>
      </c>
      <c r="L810" s="29">
        <v>0</v>
      </c>
      <c r="M810" s="29">
        <v>0</v>
      </c>
      <c r="N810" s="29">
        <v>0</v>
      </c>
      <c r="O810" s="29">
        <v>0</v>
      </c>
      <c r="P810" s="29">
        <v>0</v>
      </c>
      <c r="Q810" s="538">
        <f>SUM(J810-L810-M810-N810-O810-P810)</f>
        <v>135.13137</v>
      </c>
      <c r="R810" s="64"/>
      <c r="S810" s="29">
        <v>0</v>
      </c>
      <c r="T810" s="29">
        <v>0</v>
      </c>
      <c r="U810" s="29">
        <v>0</v>
      </c>
      <c r="V810" s="29">
        <v>0</v>
      </c>
      <c r="W810" s="29">
        <v>0</v>
      </c>
      <c r="X810" s="29">
        <v>0</v>
      </c>
      <c r="Y810" s="64"/>
      <c r="Z810" s="64">
        <f>Q810+S810+T810+U810+V810+W810+X810</f>
        <v>135.13137</v>
      </c>
      <c r="AA810" s="537">
        <f>Z810/G810*1000</f>
        <v>1047.53</v>
      </c>
      <c r="AB810" s="538">
        <f>Z810-Q810</f>
        <v>0</v>
      </c>
      <c r="AC810" s="541">
        <f>AA810/I810-1</f>
        <v>0</v>
      </c>
      <c r="AD810" s="542"/>
      <c r="AF810" s="543"/>
      <c r="AH810" s="543"/>
      <c r="AI810" s="543"/>
      <c r="AK810" s="543"/>
      <c r="AM810" s="560"/>
    </row>
    <row r="811" spans="1:39">
      <c r="A811" s="6">
        <f>MAX(A$776:A810)+1</f>
        <v>362</v>
      </c>
      <c r="B811" s="58"/>
      <c r="C811" s="521" t="s">
        <v>439</v>
      </c>
      <c r="D811" s="58"/>
      <c r="E811" s="522" t="s">
        <v>331</v>
      </c>
      <c r="F811" s="58"/>
      <c r="G811" s="29">
        <v>4791112.166666666</v>
      </c>
      <c r="H811" s="58"/>
      <c r="I811" s="701">
        <v>3.7999999999999999E-2</v>
      </c>
      <c r="J811" s="567">
        <f t="shared" ref="J811:J813" si="253">G811*I811/1000</f>
        <v>182.06226233333331</v>
      </c>
      <c r="K811" s="58"/>
      <c r="L811" s="29">
        <v>0</v>
      </c>
      <c r="M811" s="29">
        <v>0</v>
      </c>
      <c r="N811" s="29">
        <v>0</v>
      </c>
      <c r="O811" s="29">
        <v>0</v>
      </c>
      <c r="P811" s="29">
        <v>0</v>
      </c>
      <c r="Q811" s="538">
        <f t="shared" ref="Q811:Q813" si="254">SUM(J811-L811-M811-N811-O811-P811)</f>
        <v>182.06226233333331</v>
      </c>
      <c r="R811" s="564"/>
      <c r="S811" s="29">
        <v>4.9749034862918506</v>
      </c>
      <c r="T811" s="29">
        <v>0</v>
      </c>
      <c r="U811" s="29">
        <v>0</v>
      </c>
      <c r="V811" s="29">
        <v>0</v>
      </c>
      <c r="W811" s="29">
        <v>0</v>
      </c>
      <c r="X811" s="29">
        <v>0</v>
      </c>
      <c r="Y811" s="564"/>
      <c r="Z811" s="64">
        <f>Q811+S811+T811+U811+V811+W811+X811</f>
        <v>187.03716581962516</v>
      </c>
      <c r="AA811" s="701">
        <v>3.9E-2</v>
      </c>
      <c r="AB811" s="538">
        <f>Z811-Q811</f>
        <v>4.9749034862918506</v>
      </c>
      <c r="AC811" s="541">
        <f>AA811/I811-1</f>
        <v>2.6315789473684292E-2</v>
      </c>
      <c r="AD811" s="542"/>
      <c r="AF811" s="543"/>
      <c r="AH811" s="543"/>
      <c r="AI811" s="543"/>
      <c r="AK811" s="543"/>
      <c r="AM811" s="560"/>
    </row>
    <row r="812" spans="1:39">
      <c r="A812" s="6">
        <f>MAX(A$776:A811)+1</f>
        <v>363</v>
      </c>
      <c r="B812" s="58"/>
      <c r="C812" s="521" t="s">
        <v>440</v>
      </c>
      <c r="D812" s="58"/>
      <c r="E812" s="522" t="s">
        <v>331</v>
      </c>
      <c r="F812" s="58"/>
      <c r="G812" s="29">
        <v>0</v>
      </c>
      <c r="H812" s="58"/>
      <c r="I812" s="29">
        <v>0</v>
      </c>
      <c r="J812" s="64">
        <f t="shared" si="253"/>
        <v>0</v>
      </c>
      <c r="K812" s="58"/>
      <c r="L812" s="29">
        <v>0</v>
      </c>
      <c r="M812" s="29">
        <v>0</v>
      </c>
      <c r="N812" s="29">
        <v>0</v>
      </c>
      <c r="O812" s="29">
        <v>0</v>
      </c>
      <c r="P812" s="29">
        <v>0</v>
      </c>
      <c r="Q812" s="538">
        <f t="shared" si="254"/>
        <v>0</v>
      </c>
      <c r="R812" s="564"/>
      <c r="S812" s="29">
        <v>0</v>
      </c>
      <c r="T812" s="538">
        <v>0</v>
      </c>
      <c r="U812" s="538">
        <v>0</v>
      </c>
      <c r="V812" s="538">
        <v>0</v>
      </c>
      <c r="W812" s="538">
        <v>0</v>
      </c>
      <c r="X812" s="538">
        <v>0</v>
      </c>
      <c r="Y812" s="564"/>
      <c r="Z812" s="64">
        <v>0</v>
      </c>
      <c r="AA812" s="29">
        <v>0</v>
      </c>
      <c r="AB812" s="538">
        <v>0</v>
      </c>
      <c r="AC812" s="541"/>
      <c r="AD812" s="542"/>
      <c r="AF812" s="543"/>
      <c r="AH812" s="543"/>
      <c r="AI812" s="543"/>
      <c r="AK812" s="543"/>
      <c r="AM812" s="560"/>
    </row>
    <row r="813" spans="1:39">
      <c r="A813" s="6">
        <f>MAX(A$776:A812)+1</f>
        <v>364</v>
      </c>
      <c r="B813" s="58"/>
      <c r="C813" s="521" t="s">
        <v>441</v>
      </c>
      <c r="D813" s="58"/>
      <c r="E813" s="522" t="s">
        <v>331</v>
      </c>
      <c r="F813" s="58"/>
      <c r="G813" s="29">
        <v>4791112.166666666</v>
      </c>
      <c r="H813" s="58"/>
      <c r="I813" s="701">
        <v>8.9999999999999993E-3</v>
      </c>
      <c r="J813" s="567">
        <f t="shared" si="253"/>
        <v>43.120009499999995</v>
      </c>
      <c r="K813" s="58"/>
      <c r="L813" s="29">
        <v>0</v>
      </c>
      <c r="M813" s="29">
        <v>0</v>
      </c>
      <c r="N813" s="29">
        <v>0</v>
      </c>
      <c r="O813" s="29">
        <v>43.120009500000002</v>
      </c>
      <c r="P813" s="29">
        <v>0</v>
      </c>
      <c r="Q813" s="538">
        <f t="shared" si="254"/>
        <v>-7.1054273576010019E-15</v>
      </c>
      <c r="R813" s="564"/>
      <c r="S813" s="29">
        <v>0</v>
      </c>
      <c r="T813" s="29">
        <v>0</v>
      </c>
      <c r="U813" s="29">
        <v>0</v>
      </c>
      <c r="V813" s="29">
        <v>0</v>
      </c>
      <c r="W813" s="29">
        <v>53.702699847298454</v>
      </c>
      <c r="X813" s="29">
        <v>0</v>
      </c>
      <c r="Y813" s="564"/>
      <c r="Z813" s="64">
        <f>V813+W813+X813</f>
        <v>53.702699847298454</v>
      </c>
      <c r="AA813" s="701">
        <v>1.0999999999999999E-2</v>
      </c>
      <c r="AB813" s="538">
        <f>Z813-J813</f>
        <v>10.58269034729846</v>
      </c>
      <c r="AC813" s="541">
        <f t="shared" ref="AC813" si="255">AA813/I813-1</f>
        <v>0.22222222222222232</v>
      </c>
      <c r="AD813" s="29"/>
      <c r="AF813" s="543"/>
      <c r="AH813" s="543"/>
      <c r="AI813" s="543"/>
      <c r="AK813" s="543"/>
      <c r="AM813" s="560"/>
    </row>
    <row r="814" spans="1:39">
      <c r="A814" s="6"/>
      <c r="B814" s="58"/>
      <c r="C814" s="10"/>
      <c r="D814" s="58"/>
      <c r="E814" s="574"/>
      <c r="F814" s="58"/>
      <c r="G814" s="132"/>
      <c r="H814" s="58"/>
      <c r="I814" s="58"/>
      <c r="J814" s="58"/>
      <c r="K814" s="58"/>
      <c r="L814" s="538"/>
      <c r="M814" s="538"/>
      <c r="N814" s="538"/>
      <c r="O814" s="538"/>
      <c r="P814" s="538"/>
      <c r="Q814" s="538"/>
      <c r="R814" s="564"/>
      <c r="S814" s="564"/>
      <c r="T814" s="538"/>
      <c r="U814" s="538"/>
      <c r="V814" s="538"/>
      <c r="W814" s="538"/>
      <c r="X814" s="538"/>
      <c r="Y814" s="564"/>
      <c r="Z814" s="564"/>
      <c r="AA814" s="564"/>
      <c r="AB814" s="538"/>
      <c r="AC814" s="541"/>
      <c r="AD814" s="542"/>
      <c r="AF814" s="543"/>
      <c r="AH814" s="543"/>
      <c r="AI814" s="543"/>
      <c r="AK814" s="543"/>
    </row>
    <row r="815" spans="1:39" ht="12.95" thickBot="1">
      <c r="A815" s="6">
        <f>MAX(A$809:A814)+1</f>
        <v>365</v>
      </c>
      <c r="C815" s="724" t="str">
        <f>"Total " &amp;C809</f>
        <v>Total Rate M13</v>
      </c>
      <c r="G815" s="710">
        <f>G813</f>
        <v>4791112.166666666</v>
      </c>
      <c r="I815" s="720">
        <f>J815/G815*100</f>
        <v>7.52045932758897E-3</v>
      </c>
      <c r="J815" s="709">
        <f>SUM(J810:J814)</f>
        <v>360.31364183333329</v>
      </c>
      <c r="K815" s="567"/>
      <c r="L815" s="710">
        <f t="shared" ref="L815:Q815" si="256">SUM(L810:L814)</f>
        <v>0</v>
      </c>
      <c r="M815" s="710">
        <f t="shared" si="256"/>
        <v>0</v>
      </c>
      <c r="N815" s="710">
        <f t="shared" si="256"/>
        <v>0</v>
      </c>
      <c r="O815" s="710">
        <f t="shared" si="256"/>
        <v>43.120009500000002</v>
      </c>
      <c r="P815" s="710">
        <f t="shared" si="256"/>
        <v>0</v>
      </c>
      <c r="Q815" s="710">
        <f t="shared" si="256"/>
        <v>317.19363233333331</v>
      </c>
      <c r="R815" s="64"/>
      <c r="S815" s="710">
        <f t="shared" ref="S815:X815" si="257">SUM(S810:S814)</f>
        <v>4.9749034862918506</v>
      </c>
      <c r="T815" s="710">
        <f t="shared" si="257"/>
        <v>0</v>
      </c>
      <c r="U815" s="710">
        <f t="shared" si="257"/>
        <v>0</v>
      </c>
      <c r="V815" s="710">
        <f t="shared" si="257"/>
        <v>0</v>
      </c>
      <c r="W815" s="710">
        <f t="shared" si="257"/>
        <v>53.702699847298454</v>
      </c>
      <c r="X815" s="710">
        <f t="shared" si="257"/>
        <v>0</v>
      </c>
      <c r="Y815" s="64"/>
      <c r="Z815" s="710">
        <f>SUM(Z810:Z814)</f>
        <v>375.87123566692361</v>
      </c>
      <c r="AA815" s="572">
        <f>Z815/G815*100</f>
        <v>7.8451771236328523E-3</v>
      </c>
      <c r="AB815" s="710">
        <f>SUM(AB810:AB814)</f>
        <v>15.55759383359031</v>
      </c>
      <c r="AC815" s="721">
        <f>AA815/I815-1</f>
        <v>4.3177920642778922E-2</v>
      </c>
      <c r="AD815" s="722"/>
      <c r="AF815" s="543"/>
      <c r="AH815" s="543"/>
      <c r="AI815" s="543"/>
      <c r="AK815" s="543"/>
    </row>
    <row r="816" spans="1:39" ht="12.95" thickTop="1">
      <c r="A816" s="6"/>
      <c r="B816" s="581"/>
      <c r="C816" s="10"/>
      <c r="D816" s="581"/>
      <c r="E816" s="581"/>
      <c r="F816" s="581"/>
      <c r="G816" s="581"/>
      <c r="H816" s="581"/>
      <c r="I816" s="581"/>
      <c r="J816" s="581"/>
      <c r="K816" s="581"/>
      <c r="L816" s="538"/>
      <c r="M816" s="538"/>
      <c r="N816" s="538"/>
      <c r="O816" s="538"/>
      <c r="P816" s="538"/>
      <c r="Q816" s="538"/>
      <c r="R816" s="582"/>
      <c r="S816" s="582"/>
      <c r="T816" s="538"/>
      <c r="U816" s="538"/>
      <c r="V816" s="538"/>
      <c r="W816" s="538"/>
      <c r="X816" s="538"/>
      <c r="Y816" s="582"/>
      <c r="Z816" s="582"/>
      <c r="AA816" s="582"/>
      <c r="AB816" s="538"/>
      <c r="AC816" s="501"/>
      <c r="AF816" s="543"/>
      <c r="AH816" s="543"/>
      <c r="AI816" s="543"/>
      <c r="AK816" s="543"/>
    </row>
    <row r="817" spans="1:39">
      <c r="A817" s="6">
        <f>MAX(A$809:A816)+1</f>
        <v>366</v>
      </c>
      <c r="B817" s="57"/>
      <c r="C817" s="521" t="s">
        <v>442</v>
      </c>
      <c r="D817" s="57"/>
      <c r="E817" s="522" t="s">
        <v>259</v>
      </c>
      <c r="F817" s="57"/>
      <c r="G817" s="29">
        <v>768</v>
      </c>
      <c r="H817" s="57"/>
      <c r="I817" s="725">
        <v>90</v>
      </c>
      <c r="J817" s="29">
        <v>63.72</v>
      </c>
      <c r="K817" s="57"/>
      <c r="L817" s="538">
        <v>0</v>
      </c>
      <c r="M817" s="538">
        <v>0</v>
      </c>
      <c r="N817" s="538">
        <v>0</v>
      </c>
      <c r="O817" s="538">
        <v>0</v>
      </c>
      <c r="P817" s="538">
        <v>0</v>
      </c>
      <c r="Q817" s="538">
        <f>J817</f>
        <v>63.72</v>
      </c>
      <c r="R817" s="583"/>
      <c r="S817" s="583">
        <v>0</v>
      </c>
      <c r="T817" s="538">
        <v>0</v>
      </c>
      <c r="U817" s="538">
        <v>0</v>
      </c>
      <c r="V817" s="538">
        <v>0</v>
      </c>
      <c r="W817" s="538">
        <v>0</v>
      </c>
      <c r="X817" s="538">
        <v>0</v>
      </c>
      <c r="Y817" s="583"/>
      <c r="Z817" s="132">
        <f>Q817</f>
        <v>63.72</v>
      </c>
      <c r="AA817" s="725">
        <f>I817</f>
        <v>90</v>
      </c>
      <c r="AB817" s="538">
        <v>0</v>
      </c>
      <c r="AC817" s="501"/>
      <c r="AF817" s="543"/>
      <c r="AH817" s="543"/>
      <c r="AI817" s="543"/>
      <c r="AK817" s="543"/>
    </row>
    <row r="818" spans="1:39">
      <c r="A818" s="6"/>
      <c r="B818" s="3"/>
      <c r="C818" s="3"/>
      <c r="D818" s="3"/>
      <c r="E818" s="57"/>
      <c r="F818" s="3"/>
      <c r="G818" s="57"/>
      <c r="H818" s="3"/>
      <c r="I818" s="3"/>
      <c r="J818" s="3"/>
      <c r="K818" s="3"/>
      <c r="L818" s="538"/>
      <c r="M818" s="538"/>
      <c r="N818" s="538"/>
      <c r="O818" s="538"/>
      <c r="P818" s="538"/>
      <c r="Q818" s="538"/>
      <c r="R818" s="584"/>
      <c r="S818" s="584"/>
      <c r="T818" s="538"/>
      <c r="U818" s="538"/>
      <c r="V818" s="538"/>
      <c r="W818" s="538"/>
      <c r="X818" s="538"/>
      <c r="Y818" s="584"/>
      <c r="Z818" s="584"/>
      <c r="AA818" s="584"/>
      <c r="AB818" s="538"/>
      <c r="AC818" s="501"/>
    </row>
    <row r="819" spans="1:39">
      <c r="A819" s="6"/>
      <c r="B819" s="5"/>
      <c r="C819" s="9" t="s">
        <v>164</v>
      </c>
      <c r="D819" s="5"/>
      <c r="E819" s="6"/>
      <c r="F819" s="5"/>
      <c r="G819" s="17"/>
      <c r="H819" s="5"/>
      <c r="I819" s="5"/>
      <c r="J819" s="5"/>
      <c r="K819" s="5"/>
      <c r="L819" s="538"/>
      <c r="M819" s="538"/>
      <c r="N819" s="538"/>
      <c r="O819" s="538"/>
      <c r="P819" s="538"/>
      <c r="Q819" s="538"/>
      <c r="R819" s="585"/>
      <c r="S819" s="585"/>
      <c r="T819" s="538"/>
      <c r="U819" s="538"/>
      <c r="V819" s="538"/>
      <c r="W819" s="538"/>
      <c r="X819" s="538"/>
      <c r="Y819" s="585"/>
      <c r="Z819" s="585"/>
      <c r="AA819" s="585"/>
      <c r="AB819" s="538"/>
      <c r="AC819" s="501"/>
    </row>
    <row r="820" spans="1:39">
      <c r="A820" s="6">
        <f>MAX(A$809:A819)+1</f>
        <v>367</v>
      </c>
      <c r="B820" s="58"/>
      <c r="C820" s="521" t="s">
        <v>438</v>
      </c>
      <c r="D820" s="58"/>
      <c r="E820" s="522" t="s">
        <v>259</v>
      </c>
      <c r="F820" s="58"/>
      <c r="G820" s="29">
        <v>24</v>
      </c>
      <c r="H820" s="58"/>
      <c r="I820" s="537">
        <v>1666.51</v>
      </c>
      <c r="J820" s="539">
        <f>G820*I820/1000</f>
        <v>39.99624</v>
      </c>
      <c r="K820" s="58"/>
      <c r="L820" s="29">
        <v>0</v>
      </c>
      <c r="M820" s="29">
        <v>0</v>
      </c>
      <c r="N820" s="29">
        <v>0</v>
      </c>
      <c r="O820" s="29">
        <v>0</v>
      </c>
      <c r="P820" s="29">
        <v>0</v>
      </c>
      <c r="Q820" s="538">
        <f>SUM(J820-L820-M820-N820-O820-P820)</f>
        <v>39.99624</v>
      </c>
      <c r="R820" s="564"/>
      <c r="S820" s="29">
        <v>1.0929087185034732</v>
      </c>
      <c r="T820" s="29">
        <v>0</v>
      </c>
      <c r="U820" s="29">
        <v>0</v>
      </c>
      <c r="V820" s="29">
        <v>0</v>
      </c>
      <c r="W820" s="29">
        <v>0</v>
      </c>
      <c r="X820" s="29">
        <v>0</v>
      </c>
      <c r="Y820" s="564"/>
      <c r="Z820" s="538">
        <f>Q820+S820+T820+U820+V820+W820+X820</f>
        <v>41.089148718503473</v>
      </c>
      <c r="AA820" s="537">
        <f>Z820/G820*1000</f>
        <v>1712.047863270978</v>
      </c>
      <c r="AB820" s="538">
        <f>Z820-J820</f>
        <v>1.0929087185034732</v>
      </c>
      <c r="AC820" s="541">
        <f>AA820/I820-1</f>
        <v>2.7325286539521487E-2</v>
      </c>
      <c r="AD820" s="542"/>
      <c r="AF820" s="543"/>
      <c r="AH820" s="543"/>
      <c r="AI820" s="543"/>
      <c r="AK820" s="543"/>
      <c r="AM820" s="544"/>
    </row>
    <row r="821" spans="1:39">
      <c r="A821" s="6">
        <f>MAX(A$809:A820)+1</f>
        <v>368</v>
      </c>
      <c r="B821" s="58"/>
      <c r="C821" s="521" t="s">
        <v>439</v>
      </c>
      <c r="D821" s="58"/>
      <c r="E821" s="522" t="s">
        <v>331</v>
      </c>
      <c r="F821" s="58"/>
      <c r="G821" s="29">
        <v>5198226.8965517245</v>
      </c>
      <c r="H821" s="58"/>
      <c r="I821" s="678">
        <v>3.7999999999999999E-2</v>
      </c>
      <c r="J821" s="539">
        <f t="shared" ref="J821" si="258">G821*I821/1000</f>
        <v>197.53262206896551</v>
      </c>
      <c r="K821" s="58"/>
      <c r="L821" s="29">
        <v>0</v>
      </c>
      <c r="M821" s="29">
        <v>0</v>
      </c>
      <c r="N821" s="29">
        <v>0</v>
      </c>
      <c r="O821" s="29">
        <v>0</v>
      </c>
      <c r="P821" s="29">
        <v>0</v>
      </c>
      <c r="Q821" s="538">
        <f>SUM(J821-L821-M821-N821-O821-P821)</f>
        <v>197.53262206896551</v>
      </c>
      <c r="R821" s="564"/>
      <c r="S821" s="29">
        <v>5.3976354989374897</v>
      </c>
      <c r="T821" s="29">
        <v>0</v>
      </c>
      <c r="U821" s="29">
        <v>0</v>
      </c>
      <c r="V821" s="29">
        <v>0</v>
      </c>
      <c r="W821" s="29">
        <v>0</v>
      </c>
      <c r="X821" s="29">
        <v>0</v>
      </c>
      <c r="Y821" s="564"/>
      <c r="Z821" s="538">
        <f>Q821+S821+T821+U821+V821+W821+X821</f>
        <v>202.930257567903</v>
      </c>
      <c r="AA821" s="701">
        <v>3.9E-2</v>
      </c>
      <c r="AB821" s="538">
        <f>Z821-J821</f>
        <v>5.3976354989374897</v>
      </c>
      <c r="AC821" s="541">
        <f>AA821/I821-1</f>
        <v>2.6315789473684292E-2</v>
      </c>
      <c r="AD821" s="542"/>
      <c r="AF821" s="543"/>
      <c r="AH821" s="543"/>
      <c r="AI821" s="543"/>
      <c r="AK821" s="543"/>
      <c r="AM821" s="560"/>
    </row>
    <row r="822" spans="1:39">
      <c r="A822" s="6"/>
      <c r="B822" s="58"/>
      <c r="C822" s="521" t="s">
        <v>443</v>
      </c>
      <c r="D822" s="58"/>
      <c r="E822" s="522"/>
      <c r="F822" s="58"/>
      <c r="G822" s="29"/>
      <c r="H822" s="58"/>
      <c r="I822" s="678"/>
      <c r="J822" s="539"/>
      <c r="K822" s="58"/>
      <c r="L822" s="538"/>
      <c r="M822" s="538"/>
      <c r="N822" s="538"/>
      <c r="O822" s="538"/>
      <c r="P822" s="538"/>
      <c r="Q822" s="538"/>
      <c r="R822" s="564"/>
      <c r="S822" s="29"/>
      <c r="T822" s="538"/>
      <c r="U822" s="538"/>
      <c r="V822" s="538"/>
      <c r="W822" s="538"/>
      <c r="X822" s="538"/>
      <c r="Y822" s="564"/>
      <c r="Z822" s="538"/>
      <c r="AA822" s="701"/>
      <c r="AB822" s="538"/>
      <c r="AC822" s="541"/>
      <c r="AD822" s="542"/>
      <c r="AF822" s="543"/>
      <c r="AH822" s="543"/>
      <c r="AI822" s="543"/>
      <c r="AK822" s="543"/>
      <c r="AM822" s="560"/>
    </row>
    <row r="823" spans="1:39">
      <c r="A823" s="6">
        <f>MAX(A$809:A822)+1</f>
        <v>369</v>
      </c>
      <c r="B823" s="58"/>
      <c r="C823" s="526" t="s">
        <v>444</v>
      </c>
      <c r="D823" s="58"/>
      <c r="E823" s="522" t="s">
        <v>329</v>
      </c>
      <c r="F823" s="58"/>
      <c r="G823" s="29">
        <v>7333.3333333333339</v>
      </c>
      <c r="H823" s="58"/>
      <c r="I823" s="678">
        <v>2.3260000000000001</v>
      </c>
      <c r="J823" s="539">
        <f>(G823*I823*12/1000)</f>
        <v>204.68800000000002</v>
      </c>
      <c r="K823" s="58"/>
      <c r="L823" s="29">
        <v>0</v>
      </c>
      <c r="M823" s="29">
        <v>0</v>
      </c>
      <c r="N823" s="29">
        <v>0</v>
      </c>
      <c r="O823" s="29">
        <v>0</v>
      </c>
      <c r="P823" s="29">
        <v>0</v>
      </c>
      <c r="Q823" s="29">
        <f>SUM(J823-L823-M823-N823-O823-P823)</f>
        <v>204.68800000000002</v>
      </c>
      <c r="R823" s="564"/>
      <c r="S823" s="29">
        <v>5.5931582512015723</v>
      </c>
      <c r="T823" s="29">
        <v>0</v>
      </c>
      <c r="U823" s="29">
        <v>0</v>
      </c>
      <c r="V823" s="29">
        <v>0</v>
      </c>
      <c r="W823" s="29">
        <v>0</v>
      </c>
      <c r="X823" s="29">
        <v>0</v>
      </c>
      <c r="Y823" s="564"/>
      <c r="Z823" s="538">
        <f>Q823+S823+T823+U823+V823+W823+X823</f>
        <v>210.28115825120159</v>
      </c>
      <c r="AA823" s="701">
        <v>2.3851666666666671</v>
      </c>
      <c r="AB823" s="538">
        <f>Z823-J823</f>
        <v>5.5931582512015723</v>
      </c>
      <c r="AC823" s="541">
        <f>AA823/I823-1</f>
        <v>2.5437087990828555E-2</v>
      </c>
      <c r="AD823" s="542"/>
      <c r="AF823" s="543"/>
      <c r="AH823" s="543"/>
      <c r="AI823" s="543"/>
      <c r="AK823" s="543"/>
    </row>
    <row r="824" spans="1:39">
      <c r="A824" s="6">
        <f>MAX(A$809:A823)+1</f>
        <v>370</v>
      </c>
      <c r="C824" s="526" t="s">
        <v>445</v>
      </c>
      <c r="E824" s="522" t="s">
        <v>331</v>
      </c>
      <c r="G824" s="29">
        <v>655235.89655172406</v>
      </c>
      <c r="I824" s="678">
        <v>8.9999999999999993E-3</v>
      </c>
      <c r="J824" s="29">
        <v>5.8971230689655147</v>
      </c>
      <c r="L824" s="29">
        <v>0</v>
      </c>
      <c r="M824" s="29">
        <v>0</v>
      </c>
      <c r="N824" s="29">
        <v>0</v>
      </c>
      <c r="O824" s="29">
        <v>5.8971230689655147</v>
      </c>
      <c r="P824" s="29">
        <v>0</v>
      </c>
      <c r="Q824" s="29">
        <v>0</v>
      </c>
      <c r="R824" s="29"/>
      <c r="S824" s="29">
        <v>0</v>
      </c>
      <c r="T824" s="29">
        <v>0</v>
      </c>
      <c r="U824" s="29">
        <v>0</v>
      </c>
      <c r="V824" s="29">
        <v>0</v>
      </c>
      <c r="W824" s="29">
        <v>7.2829167841791715</v>
      </c>
      <c r="X824" s="29">
        <v>0</v>
      </c>
      <c r="Y824" s="64"/>
      <c r="Z824" s="64">
        <f>V824+W824+X824</f>
        <v>7.2829167841791715</v>
      </c>
      <c r="AA824" s="701">
        <v>1.1114953900582371E-2</v>
      </c>
      <c r="AB824" s="538">
        <f>Z824-J824</f>
        <v>1.3857937152136568</v>
      </c>
      <c r="AC824" s="559">
        <f>AA824/I824-1</f>
        <v>0.23499487784248574</v>
      </c>
      <c r="AD824" s="563"/>
      <c r="AF824" s="543"/>
      <c r="AH824" s="543"/>
      <c r="AI824" s="543"/>
      <c r="AK824" s="543"/>
    </row>
    <row r="825" spans="1:39">
      <c r="A825" s="6">
        <f>MAX(A$809:A824)+1</f>
        <v>371</v>
      </c>
      <c r="C825" s="526" t="s">
        <v>446</v>
      </c>
      <c r="E825" s="522" t="s">
        <v>331</v>
      </c>
      <c r="G825" s="29">
        <v>642043</v>
      </c>
      <c r="I825" s="678">
        <v>2.5999999999999999E-2</v>
      </c>
      <c r="J825" s="29">
        <v>16.693118000000002</v>
      </c>
      <c r="L825" s="29">
        <v>0</v>
      </c>
      <c r="M825" s="29">
        <v>0</v>
      </c>
      <c r="N825" s="29">
        <v>0</v>
      </c>
      <c r="O825" s="29">
        <v>5.7783869999999995</v>
      </c>
      <c r="P825" s="29">
        <v>10.914731000000003</v>
      </c>
      <c r="Q825" s="29">
        <v>0</v>
      </c>
      <c r="R825" s="29"/>
      <c r="S825" s="29">
        <v>0</v>
      </c>
      <c r="T825" s="29">
        <v>0</v>
      </c>
      <c r="U825" s="29">
        <v>0</v>
      </c>
      <c r="V825" s="29">
        <v>0</v>
      </c>
      <c r="W825" s="29">
        <v>7.136278347191606</v>
      </c>
      <c r="X825" s="29">
        <v>10.721589673932364</v>
      </c>
      <c r="Y825" s="64"/>
      <c r="Z825" s="64">
        <f t="shared" ref="Z825:Z827" si="259">V825+W825+X825</f>
        <v>17.85786802112397</v>
      </c>
      <c r="AA825" s="701">
        <v>2.7814130862144702E-2</v>
      </c>
      <c r="AB825" s="538">
        <f>Z825-J825</f>
        <v>1.1647500211239681</v>
      </c>
      <c r="AC825" s="559">
        <f>AA825/I825-1</f>
        <v>6.9774263928642499E-2</v>
      </c>
      <c r="AD825" s="563"/>
      <c r="AF825" s="543"/>
      <c r="AH825" s="543"/>
      <c r="AI825" s="543"/>
      <c r="AK825" s="543"/>
    </row>
    <row r="826" spans="1:39">
      <c r="A826" s="6">
        <f>MAX(A$809:A825)+1</f>
        <v>372</v>
      </c>
      <c r="B826" s="58"/>
      <c r="C826" s="526" t="s">
        <v>447</v>
      </c>
      <c r="D826" s="58"/>
      <c r="E826" s="522" t="s">
        <v>331</v>
      </c>
      <c r="F826" s="58"/>
      <c r="G826" s="29">
        <v>4542991</v>
      </c>
      <c r="H826" s="58"/>
      <c r="I826" s="699">
        <v>1.7286803034389036E-3</v>
      </c>
      <c r="J826" s="29">
        <v>41.728935447364961</v>
      </c>
      <c r="K826" s="58"/>
      <c r="L826" s="29">
        <v>0</v>
      </c>
      <c r="M826" s="29">
        <v>0</v>
      </c>
      <c r="N826" s="29">
        <v>0</v>
      </c>
      <c r="O826" s="29">
        <v>41.728935447364961</v>
      </c>
      <c r="P826" s="29">
        <v>0</v>
      </c>
      <c r="Q826" s="29">
        <v>0</v>
      </c>
      <c r="R826" s="29"/>
      <c r="S826" s="29">
        <v>0</v>
      </c>
      <c r="T826" s="29">
        <v>0</v>
      </c>
      <c r="U826" s="29">
        <v>0</v>
      </c>
      <c r="V826" s="29">
        <v>0</v>
      </c>
      <c r="W826" s="29">
        <v>50.878473061179172</v>
      </c>
      <c r="X826" s="29">
        <v>0</v>
      </c>
      <c r="Y826" s="564"/>
      <c r="Z826" s="64">
        <f t="shared" si="259"/>
        <v>50.878473061179172</v>
      </c>
      <c r="AA826" s="699">
        <v>2.1094996964475935E-3</v>
      </c>
      <c r="AB826" s="538">
        <f>Z826-J826</f>
        <v>9.1495376138142106</v>
      </c>
      <c r="AC826" s="559">
        <f>AA826/I826-1</f>
        <v>0.22029486438360935</v>
      </c>
      <c r="AD826" s="563"/>
      <c r="AF826" s="543"/>
      <c r="AH826" s="543"/>
      <c r="AI826" s="543"/>
      <c r="AK826" s="543"/>
    </row>
    <row r="827" spans="1:39">
      <c r="A827" s="6">
        <f>MAX(A$809:A826)+1</f>
        <v>373</v>
      </c>
      <c r="B827" s="58"/>
      <c r="C827" s="526" t="s">
        <v>448</v>
      </c>
      <c r="D827" s="58"/>
      <c r="E827" s="522" t="s">
        <v>331</v>
      </c>
      <c r="F827" s="58"/>
      <c r="G827" s="29">
        <v>5048908.75</v>
      </c>
      <c r="H827" s="58"/>
      <c r="I827" s="699">
        <v>4.9154748349439599E-3</v>
      </c>
      <c r="J827" s="29">
        <v>131.890024936407</v>
      </c>
      <c r="K827" s="58"/>
      <c r="L827" s="29">
        <v>0</v>
      </c>
      <c r="M827" s="29">
        <v>0</v>
      </c>
      <c r="N827" s="29">
        <v>0</v>
      </c>
      <c r="O827" s="29">
        <v>46.375964052842299</v>
      </c>
      <c r="P827" s="29">
        <v>85.514060883564696</v>
      </c>
      <c r="Q827" s="29">
        <v>0</v>
      </c>
      <c r="R827" s="29"/>
      <c r="S827" s="29">
        <v>0</v>
      </c>
      <c r="T827" s="29">
        <v>0</v>
      </c>
      <c r="U827" s="29">
        <v>0</v>
      </c>
      <c r="V827" s="29">
        <v>0</v>
      </c>
      <c r="W827" s="29">
        <v>56.54441486351763</v>
      </c>
      <c r="X827" s="29">
        <v>84.952686123547664</v>
      </c>
      <c r="Y827" s="564"/>
      <c r="Z827" s="64">
        <f t="shared" si="259"/>
        <v>141.49710098706529</v>
      </c>
      <c r="AA827" s="699">
        <v>5.2788253676494023E-3</v>
      </c>
      <c r="AB827" s="538">
        <f>Z827-J827</f>
        <v>9.6070760506582928</v>
      </c>
      <c r="AC827" s="538">
        <f>V827</f>
        <v>0</v>
      </c>
      <c r="AD827" s="563"/>
      <c r="AF827" s="543"/>
      <c r="AH827" s="543"/>
      <c r="AI827" s="543"/>
      <c r="AK827" s="543"/>
    </row>
    <row r="828" spans="1:39">
      <c r="A828" s="6"/>
      <c r="B828" s="58"/>
      <c r="C828" s="521" t="s">
        <v>449</v>
      </c>
      <c r="D828" s="58"/>
      <c r="E828" s="522"/>
      <c r="F828" s="58"/>
      <c r="G828" s="29"/>
      <c r="H828" s="58"/>
      <c r="I828" s="58"/>
      <c r="J828" s="539"/>
      <c r="K828" s="58"/>
      <c r="L828" s="538"/>
      <c r="M828" s="538"/>
      <c r="N828" s="29"/>
      <c r="O828" s="29"/>
      <c r="P828" s="29"/>
      <c r="Q828" s="538"/>
      <c r="R828" s="29"/>
      <c r="S828" s="29"/>
      <c r="T828" s="538"/>
      <c r="U828" s="538"/>
      <c r="V828" s="538"/>
      <c r="W828" s="538"/>
      <c r="X828" s="538"/>
      <c r="Y828" s="564"/>
      <c r="Z828" s="564"/>
      <c r="AA828" s="564"/>
      <c r="AB828" s="538"/>
      <c r="AC828" s="541"/>
      <c r="AD828" s="542"/>
      <c r="AF828" s="543"/>
      <c r="AH828" s="543"/>
      <c r="AI828" s="543"/>
      <c r="AK828" s="543"/>
    </row>
    <row r="829" spans="1:39">
      <c r="A829" s="6">
        <f>MAX(A$809:A828)+1</f>
        <v>374</v>
      </c>
      <c r="B829" s="58"/>
      <c r="C829" s="526" t="s">
        <v>444</v>
      </c>
      <c r="D829" s="58"/>
      <c r="E829" s="522" t="s">
        <v>329</v>
      </c>
      <c r="F829" s="58"/>
      <c r="G829" s="29">
        <v>0</v>
      </c>
      <c r="H829" s="58"/>
      <c r="I829" s="678">
        <v>0.84199999999999997</v>
      </c>
      <c r="J829" s="29">
        <v>0</v>
      </c>
      <c r="K829" s="58"/>
      <c r="L829" s="29">
        <v>0</v>
      </c>
      <c r="M829" s="29">
        <v>0</v>
      </c>
      <c r="N829" s="29">
        <v>0</v>
      </c>
      <c r="O829" s="29">
        <v>0</v>
      </c>
      <c r="P829" s="29">
        <v>0</v>
      </c>
      <c r="Q829" s="538">
        <f t="shared" ref="Q829:Q833" si="260">SUM(J829-L829-M829-N829-O829-P829)</f>
        <v>0</v>
      </c>
      <c r="R829" s="564"/>
      <c r="S829" s="29">
        <v>0</v>
      </c>
      <c r="T829" s="538">
        <f t="shared" ref="T829:W833" si="261">M829</f>
        <v>0</v>
      </c>
      <c r="U829" s="538">
        <f t="shared" si="261"/>
        <v>0</v>
      </c>
      <c r="V829" s="538">
        <f t="shared" si="261"/>
        <v>0</v>
      </c>
      <c r="W829" s="538">
        <f t="shared" si="261"/>
        <v>0</v>
      </c>
      <c r="X829" s="29">
        <v>0</v>
      </c>
      <c r="Y829" s="564"/>
      <c r="Z829" s="564">
        <f>Q829</f>
        <v>0</v>
      </c>
      <c r="AA829" s="538">
        <f>T829</f>
        <v>0</v>
      </c>
      <c r="AB829" s="538">
        <f>Z829-J829</f>
        <v>0</v>
      </c>
      <c r="AC829" s="538"/>
      <c r="AD829" s="563"/>
      <c r="AF829" s="543"/>
      <c r="AH829" s="543"/>
      <c r="AI829" s="543"/>
      <c r="AK829" s="543"/>
    </row>
    <row r="830" spans="1:39">
      <c r="A830" s="6">
        <f>MAX(A$809:A829)+1</f>
        <v>375</v>
      </c>
      <c r="B830" s="58"/>
      <c r="C830" s="526" t="s">
        <v>445</v>
      </c>
      <c r="D830" s="58"/>
      <c r="E830" s="522" t="s">
        <v>331</v>
      </c>
      <c r="F830" s="58"/>
      <c r="G830" s="29">
        <v>0</v>
      </c>
      <c r="H830" s="58"/>
      <c r="I830" s="678">
        <v>8.9999999999999993E-3</v>
      </c>
      <c r="J830" s="29">
        <v>0</v>
      </c>
      <c r="K830" s="58"/>
      <c r="L830" s="29">
        <v>0</v>
      </c>
      <c r="M830" s="29">
        <v>0</v>
      </c>
      <c r="N830" s="29">
        <v>0</v>
      </c>
      <c r="O830" s="29">
        <v>0</v>
      </c>
      <c r="P830" s="29">
        <v>0</v>
      </c>
      <c r="Q830" s="538">
        <f t="shared" si="260"/>
        <v>0</v>
      </c>
      <c r="R830" s="564"/>
      <c r="S830" s="29">
        <v>0</v>
      </c>
      <c r="T830" s="538">
        <f t="shared" si="261"/>
        <v>0</v>
      </c>
      <c r="U830" s="538">
        <f t="shared" si="261"/>
        <v>0</v>
      </c>
      <c r="V830" s="538">
        <f t="shared" si="261"/>
        <v>0</v>
      </c>
      <c r="W830" s="538">
        <f t="shared" si="261"/>
        <v>0</v>
      </c>
      <c r="X830" s="29">
        <v>0</v>
      </c>
      <c r="Y830" s="564"/>
      <c r="Z830" s="564">
        <f>Q830</f>
        <v>0</v>
      </c>
      <c r="AA830" s="538">
        <f>T830</f>
        <v>0</v>
      </c>
      <c r="AB830" s="538">
        <f>Z830-J830</f>
        <v>0</v>
      </c>
      <c r="AC830" s="538"/>
      <c r="AD830" s="563"/>
      <c r="AF830" s="543"/>
      <c r="AH830" s="543"/>
      <c r="AI830" s="543"/>
      <c r="AK830" s="543"/>
    </row>
    <row r="831" spans="1:39">
      <c r="A831" s="6">
        <f>MAX(A$809:A830)+1</f>
        <v>376</v>
      </c>
      <c r="B831" s="58"/>
      <c r="C831" s="526" t="s">
        <v>446</v>
      </c>
      <c r="D831" s="58"/>
      <c r="E831" s="522" t="s">
        <v>331</v>
      </c>
      <c r="F831" s="58"/>
      <c r="G831" s="29">
        <v>0</v>
      </c>
      <c r="H831" s="58"/>
      <c r="I831" s="678">
        <v>1.0999999999999999E-2</v>
      </c>
      <c r="J831" s="29">
        <v>0</v>
      </c>
      <c r="K831" s="58"/>
      <c r="L831" s="29">
        <v>0</v>
      </c>
      <c r="M831" s="29">
        <v>0</v>
      </c>
      <c r="N831" s="29">
        <v>0</v>
      </c>
      <c r="O831" s="29">
        <v>0</v>
      </c>
      <c r="P831" s="29">
        <v>0</v>
      </c>
      <c r="Q831" s="538">
        <f t="shared" si="260"/>
        <v>0</v>
      </c>
      <c r="R831" s="564"/>
      <c r="S831" s="29">
        <v>0</v>
      </c>
      <c r="T831" s="538">
        <f t="shared" si="261"/>
        <v>0</v>
      </c>
      <c r="U831" s="538">
        <f t="shared" si="261"/>
        <v>0</v>
      </c>
      <c r="V831" s="538">
        <f t="shared" si="261"/>
        <v>0</v>
      </c>
      <c r="W831" s="538">
        <f t="shared" si="261"/>
        <v>0</v>
      </c>
      <c r="X831" s="29">
        <v>0</v>
      </c>
      <c r="Y831" s="564"/>
      <c r="Z831" s="564">
        <f>Q831</f>
        <v>0</v>
      </c>
      <c r="AA831" s="538">
        <f>T831</f>
        <v>0</v>
      </c>
      <c r="AB831" s="538">
        <f>Z831-J831</f>
        <v>0</v>
      </c>
      <c r="AC831" s="538"/>
      <c r="AD831" s="563"/>
      <c r="AF831" s="543"/>
      <c r="AH831" s="543"/>
      <c r="AI831" s="543"/>
      <c r="AK831" s="543"/>
    </row>
    <row r="832" spans="1:39">
      <c r="A832" s="6">
        <f>MAX(A$809:A831)+1</f>
        <v>377</v>
      </c>
      <c r="B832" s="58"/>
      <c r="C832" s="526" t="s">
        <v>447</v>
      </c>
      <c r="D832" s="58"/>
      <c r="E832" s="522" t="s">
        <v>331</v>
      </c>
      <c r="F832" s="58"/>
      <c r="G832" s="29">
        <v>0</v>
      </c>
      <c r="H832" s="58"/>
      <c r="I832" s="699">
        <v>1.7286803034389036E-3</v>
      </c>
      <c r="J832" s="29">
        <v>0</v>
      </c>
      <c r="K832" s="58"/>
      <c r="L832" s="29">
        <v>0</v>
      </c>
      <c r="M832" s="29">
        <v>0</v>
      </c>
      <c r="N832" s="29">
        <v>0</v>
      </c>
      <c r="O832" s="29">
        <v>0</v>
      </c>
      <c r="P832" s="29">
        <v>0</v>
      </c>
      <c r="Q832" s="538">
        <f t="shared" si="260"/>
        <v>0</v>
      </c>
      <c r="R832" s="564"/>
      <c r="S832" s="29">
        <v>0</v>
      </c>
      <c r="T832" s="538">
        <f t="shared" si="261"/>
        <v>0</v>
      </c>
      <c r="U832" s="538">
        <f t="shared" si="261"/>
        <v>0</v>
      </c>
      <c r="V832" s="538">
        <f t="shared" si="261"/>
        <v>0</v>
      </c>
      <c r="W832" s="538">
        <f t="shared" si="261"/>
        <v>0</v>
      </c>
      <c r="X832" s="29">
        <v>0</v>
      </c>
      <c r="Y832" s="564"/>
      <c r="Z832" s="564">
        <f>Q832</f>
        <v>0</v>
      </c>
      <c r="AA832" s="538">
        <f>T832</f>
        <v>0</v>
      </c>
      <c r="AB832" s="538">
        <f>Z832-J832</f>
        <v>0</v>
      </c>
      <c r="AC832" s="541"/>
      <c r="AD832" s="542"/>
      <c r="AF832" s="543"/>
      <c r="AH832" s="543"/>
      <c r="AI832" s="543"/>
      <c r="AK832" s="543"/>
    </row>
    <row r="833" spans="1:39">
      <c r="A833" s="6">
        <f>MAX(A$809:A832)+1</f>
        <v>378</v>
      </c>
      <c r="B833" s="58"/>
      <c r="C833" s="526" t="s">
        <v>448</v>
      </c>
      <c r="D833" s="58"/>
      <c r="E833" s="522" t="s">
        <v>331</v>
      </c>
      <c r="F833" s="58"/>
      <c r="G833" s="29">
        <v>0</v>
      </c>
      <c r="H833" s="58"/>
      <c r="I833" s="699">
        <v>1.9998532104164505E-3</v>
      </c>
      <c r="J833" s="29">
        <v>0</v>
      </c>
      <c r="K833" s="58"/>
      <c r="L833" s="29">
        <v>0</v>
      </c>
      <c r="M833" s="29">
        <v>0</v>
      </c>
      <c r="N833" s="29">
        <v>0</v>
      </c>
      <c r="O833" s="29">
        <v>0</v>
      </c>
      <c r="P833" s="29">
        <v>0</v>
      </c>
      <c r="Q833" s="538">
        <f t="shared" si="260"/>
        <v>0</v>
      </c>
      <c r="R833" s="564"/>
      <c r="S833" s="29">
        <v>0</v>
      </c>
      <c r="T833" s="538">
        <f t="shared" si="261"/>
        <v>0</v>
      </c>
      <c r="U833" s="538">
        <f t="shared" si="261"/>
        <v>0</v>
      </c>
      <c r="V833" s="538">
        <f t="shared" si="261"/>
        <v>0</v>
      </c>
      <c r="W833" s="538">
        <f t="shared" si="261"/>
        <v>0</v>
      </c>
      <c r="X833" s="29">
        <v>0</v>
      </c>
      <c r="Y833" s="564"/>
      <c r="Z833" s="564">
        <f>Q833</f>
        <v>0</v>
      </c>
      <c r="AA833" s="538">
        <f>T833</f>
        <v>0</v>
      </c>
      <c r="AB833" s="538">
        <f>Z833-J833</f>
        <v>0</v>
      </c>
      <c r="AC833" s="538"/>
      <c r="AD833" s="563"/>
      <c r="AF833" s="543"/>
      <c r="AH833" s="543"/>
      <c r="AI833" s="543"/>
      <c r="AK833" s="543"/>
    </row>
    <row r="834" spans="1:39">
      <c r="A834" s="6"/>
      <c r="B834" s="58"/>
      <c r="C834" s="713"/>
      <c r="D834" s="58"/>
      <c r="E834" s="30"/>
      <c r="F834" s="58"/>
      <c r="G834" s="29"/>
      <c r="H834" s="58"/>
      <c r="I834" s="58"/>
      <c r="J834" s="539"/>
      <c r="K834" s="58"/>
      <c r="L834" s="538"/>
      <c r="M834" s="538"/>
      <c r="N834" s="538"/>
      <c r="O834" s="538"/>
      <c r="P834" s="538"/>
      <c r="Q834" s="538"/>
      <c r="R834" s="564"/>
      <c r="S834" s="29"/>
      <c r="T834" s="538"/>
      <c r="U834" s="538"/>
      <c r="V834" s="538"/>
      <c r="W834" s="538"/>
      <c r="X834" s="538"/>
      <c r="Y834" s="564"/>
      <c r="Z834" s="564"/>
      <c r="AA834" s="564"/>
      <c r="AB834" s="538"/>
      <c r="AC834" s="541"/>
      <c r="AD834" s="542"/>
      <c r="AF834" s="543"/>
      <c r="AH834" s="543"/>
      <c r="AI834" s="543"/>
      <c r="AK834" s="543"/>
    </row>
    <row r="835" spans="1:39" ht="12.95" thickBot="1">
      <c r="A835" s="6">
        <f>MAX(A$809:A834)+1</f>
        <v>379</v>
      </c>
      <c r="B835" s="58"/>
      <c r="C835" s="2" t="str">
        <f>"Total " &amp;C819</f>
        <v>Total Rate M16</v>
      </c>
      <c r="D835" s="58"/>
      <c r="E835" s="574"/>
      <c r="F835" s="58"/>
      <c r="G835" s="589">
        <f>SUM(G824:G833)</f>
        <v>10889178.646551725</v>
      </c>
      <c r="H835" s="58"/>
      <c r="I835" s="572">
        <f>J835/G835*100</f>
        <v>5.8629404865524299E-3</v>
      </c>
      <c r="J835" s="627">
        <f>SUM(J820:J833)</f>
        <v>638.42606352170299</v>
      </c>
      <c r="K835" s="539"/>
      <c r="L835" s="628">
        <f t="shared" ref="L835:X835" si="262">SUM(L820:L833)</f>
        <v>0</v>
      </c>
      <c r="M835" s="628">
        <f t="shared" si="262"/>
        <v>0</v>
      </c>
      <c r="N835" s="628">
        <f t="shared" si="262"/>
        <v>0</v>
      </c>
      <c r="O835" s="628">
        <f t="shared" si="262"/>
        <v>99.780409569172775</v>
      </c>
      <c r="P835" s="628">
        <f t="shared" si="262"/>
        <v>96.428791883564699</v>
      </c>
      <c r="Q835" s="628">
        <f>J835-L835-M835-N835-O835-P835</f>
        <v>442.2168620689655</v>
      </c>
      <c r="R835" s="564"/>
      <c r="S835" s="628">
        <f t="shared" si="262"/>
        <v>12.083702468642535</v>
      </c>
      <c r="T835" s="628">
        <f t="shared" si="262"/>
        <v>0</v>
      </c>
      <c r="U835" s="628">
        <f t="shared" si="262"/>
        <v>0</v>
      </c>
      <c r="V835" s="628">
        <f t="shared" si="262"/>
        <v>0</v>
      </c>
      <c r="W835" s="628">
        <f t="shared" si="262"/>
        <v>121.84208305606758</v>
      </c>
      <c r="X835" s="628">
        <f t="shared" si="262"/>
        <v>95.674275797480021</v>
      </c>
      <c r="Y835" s="564"/>
      <c r="Z835" s="628">
        <f>SUM(Z820:Z833)</f>
        <v>671.81692339115568</v>
      </c>
      <c r="AA835" s="572">
        <f>Z835/G835*100</f>
        <v>6.1695830805742168E-3</v>
      </c>
      <c r="AB835" s="628">
        <f>SUM(AB820:AB833)</f>
        <v>33.390859869452662</v>
      </c>
      <c r="AC835" s="629">
        <f>AA835/I835-1</f>
        <v>5.2301843200543985E-2</v>
      </c>
      <c r="AD835" s="630"/>
      <c r="AF835" s="543"/>
      <c r="AH835" s="543"/>
      <c r="AI835" s="543"/>
      <c r="AK835" s="543"/>
    </row>
    <row r="836" spans="1:39" ht="12.95" thickTop="1">
      <c r="L836" s="2"/>
      <c r="M836" s="2"/>
      <c r="N836" s="2"/>
      <c r="O836" s="2"/>
      <c r="P836" s="501"/>
      <c r="Q836" s="501"/>
      <c r="T836" s="501"/>
      <c r="U836" s="501"/>
      <c r="V836" s="501"/>
      <c r="W836" s="501"/>
      <c r="X836" s="501"/>
      <c r="AB836" s="538"/>
      <c r="AC836" s="501"/>
      <c r="AF836" s="543"/>
      <c r="AH836" s="543"/>
      <c r="AI836" s="543"/>
      <c r="AK836" s="543"/>
    </row>
    <row r="837" spans="1:39">
      <c r="L837" s="2"/>
      <c r="M837" s="2"/>
      <c r="N837" s="2"/>
      <c r="O837" s="2"/>
      <c r="P837" s="501"/>
      <c r="Q837" s="501"/>
      <c r="T837" s="501"/>
      <c r="U837" s="501"/>
      <c r="V837" s="501"/>
      <c r="W837" s="501"/>
      <c r="X837" s="501"/>
      <c r="AB837" s="538"/>
      <c r="AC837" s="501"/>
      <c r="AF837" s="543"/>
      <c r="AH837" s="543"/>
      <c r="AI837" s="543"/>
      <c r="AK837" s="543"/>
    </row>
    <row r="838" spans="1:39">
      <c r="L838" s="2"/>
      <c r="M838" s="2"/>
      <c r="N838" s="2"/>
      <c r="O838" s="2"/>
      <c r="P838" s="501"/>
      <c r="Q838" s="501"/>
      <c r="T838" s="501"/>
      <c r="U838" s="501"/>
      <c r="V838" s="501"/>
      <c r="W838" s="501"/>
      <c r="X838" s="501"/>
      <c r="AB838" s="501"/>
      <c r="AC838" s="501"/>
      <c r="AF838" s="543"/>
      <c r="AH838" s="543"/>
      <c r="AI838" s="543"/>
      <c r="AK838" s="543"/>
    </row>
    <row r="839" spans="1:39">
      <c r="L839" s="2"/>
      <c r="M839" s="2"/>
      <c r="N839" s="2"/>
      <c r="O839" s="2"/>
      <c r="P839" s="501"/>
      <c r="Q839" s="501"/>
      <c r="T839" s="501"/>
      <c r="U839" s="501"/>
      <c r="V839" s="501"/>
      <c r="W839" s="501"/>
      <c r="X839" s="501"/>
      <c r="AB839" s="501"/>
      <c r="AC839" s="501"/>
      <c r="AF839" s="543"/>
      <c r="AH839" s="543"/>
      <c r="AI839" s="543"/>
      <c r="AK839" s="543"/>
    </row>
    <row r="840" spans="1:39">
      <c r="A840" s="1156" t="s">
        <v>279</v>
      </c>
      <c r="B840" s="1156"/>
      <c r="C840" s="1156"/>
      <c r="D840" s="1156"/>
      <c r="E840" s="1156"/>
      <c r="F840" s="1156"/>
      <c r="G840" s="1156"/>
      <c r="H840" s="1156"/>
      <c r="I840" s="1156"/>
      <c r="J840" s="1156"/>
      <c r="K840" s="1156"/>
      <c r="L840" s="1156"/>
      <c r="M840" s="1156"/>
      <c r="N840" s="1156"/>
      <c r="O840" s="1156"/>
      <c r="P840" s="1156"/>
      <c r="Q840" s="1156"/>
      <c r="R840" s="1156"/>
      <c r="S840" s="1156"/>
      <c r="T840" s="1156"/>
      <c r="U840" s="1156"/>
      <c r="V840" s="1156"/>
      <c r="W840" s="1156"/>
      <c r="X840" s="1156"/>
      <c r="Y840" s="1156"/>
      <c r="Z840" s="1156"/>
      <c r="AA840" s="1156"/>
      <c r="AB840" s="1156"/>
      <c r="AC840" s="1156"/>
      <c r="AD840" s="531"/>
      <c r="AF840" s="543"/>
      <c r="AH840" s="543"/>
      <c r="AI840" s="543"/>
      <c r="AK840" s="543"/>
    </row>
    <row r="841" spans="1:39">
      <c r="A841" s="57"/>
      <c r="B841" s="57"/>
      <c r="C841" s="57"/>
      <c r="D841" s="57"/>
      <c r="E841" s="3"/>
      <c r="F841" s="57"/>
      <c r="G841" s="3"/>
      <c r="H841" s="57"/>
      <c r="I841" s="57"/>
      <c r="J841" s="57"/>
      <c r="K841" s="57"/>
      <c r="L841" s="57"/>
      <c r="M841" s="57"/>
      <c r="N841" s="4"/>
      <c r="O841" s="4"/>
      <c r="P841" s="501"/>
      <c r="Q841" s="501"/>
      <c r="R841" s="57"/>
      <c r="S841" s="57"/>
      <c r="T841" s="501"/>
      <c r="U841" s="501"/>
      <c r="V841" s="501"/>
      <c r="W841" s="501"/>
      <c r="X841" s="501"/>
      <c r="Y841" s="57"/>
      <c r="Z841" s="57"/>
      <c r="AA841" s="57"/>
      <c r="AB841" s="501"/>
      <c r="AC841" s="501"/>
      <c r="AF841" s="543"/>
      <c r="AH841" s="543"/>
      <c r="AI841" s="543"/>
      <c r="AK841" s="543"/>
    </row>
    <row r="842" spans="1:39">
      <c r="A842" s="3"/>
      <c r="B842" s="3"/>
      <c r="C842" s="3"/>
      <c r="D842" s="3"/>
      <c r="E842" s="57"/>
      <c r="F842" s="3"/>
      <c r="G842" s="1152" t="str">
        <f>G8</f>
        <v>Current Approved Revenue</v>
      </c>
      <c r="H842" s="1152"/>
      <c r="I842" s="1152"/>
      <c r="J842" s="1152"/>
      <c r="K842" s="3"/>
      <c r="L842" s="1152" t="str">
        <f>L8</f>
        <v>Adjustments to 2023 Base Rates</v>
      </c>
      <c r="M842" s="1152"/>
      <c r="N842" s="1152"/>
      <c r="O842" s="1152"/>
      <c r="P842" s="1152"/>
      <c r="Q842" s="58"/>
      <c r="R842" s="3"/>
      <c r="S842" s="1152" t="str">
        <f>S8</f>
        <v>Adjustments to 2024 Base Rates</v>
      </c>
      <c r="T842" s="1152"/>
      <c r="U842" s="1152"/>
      <c r="V842" s="1152"/>
      <c r="W842" s="1152"/>
      <c r="X842" s="1152"/>
      <c r="Y842" s="3"/>
      <c r="Z842" s="1152" t="str">
        <f>Z8</f>
        <v>2024 Proposed Revenue</v>
      </c>
      <c r="AA842" s="1152"/>
      <c r="AB842" s="1152"/>
      <c r="AC842" s="1152"/>
      <c r="AD842" s="6"/>
      <c r="AF842" s="543"/>
      <c r="AH842" s="543"/>
      <c r="AI842" s="543"/>
      <c r="AK842" s="543"/>
    </row>
    <row r="843" spans="1:39" ht="37.5">
      <c r="A843" s="5" t="s">
        <v>56</v>
      </c>
      <c r="B843" s="5"/>
      <c r="C843" s="5"/>
      <c r="D843" s="5"/>
      <c r="E843" s="6" t="s">
        <v>233</v>
      </c>
      <c r="F843" s="5"/>
      <c r="G843" s="17" t="s">
        <v>234</v>
      </c>
      <c r="H843" s="5"/>
      <c r="I843" s="17" t="s">
        <v>235</v>
      </c>
      <c r="J843" s="17" t="s">
        <v>101</v>
      </c>
      <c r="K843" s="5"/>
      <c r="L843" s="17" t="s">
        <v>106</v>
      </c>
      <c r="M843" s="17" t="s">
        <v>236</v>
      </c>
      <c r="N843" s="5" t="s">
        <v>237</v>
      </c>
      <c r="O843" s="5" t="s">
        <v>109</v>
      </c>
      <c r="P843" s="5" t="s">
        <v>238</v>
      </c>
      <c r="Q843" s="5" t="s">
        <v>239</v>
      </c>
      <c r="R843" s="5"/>
      <c r="S843" s="5" t="s">
        <v>240</v>
      </c>
      <c r="T843" s="17" t="s">
        <v>106</v>
      </c>
      <c r="U843" s="17" t="s">
        <v>236</v>
      </c>
      <c r="V843" s="5" t="s">
        <v>237</v>
      </c>
      <c r="W843" s="5" t="s">
        <v>109</v>
      </c>
      <c r="X843" s="5" t="s">
        <v>238</v>
      </c>
      <c r="Y843" s="5"/>
      <c r="Z843" s="17" t="s">
        <v>241</v>
      </c>
      <c r="AA843" s="17" t="s">
        <v>242</v>
      </c>
      <c r="AB843" s="17" t="s">
        <v>243</v>
      </c>
      <c r="AC843" s="5" t="s">
        <v>244</v>
      </c>
      <c r="AD843" s="5"/>
      <c r="AF843" s="543"/>
      <c r="AH843" s="543"/>
      <c r="AI843" s="543"/>
      <c r="AK843" s="543"/>
    </row>
    <row r="844" spans="1:39">
      <c r="A844" s="237" t="s">
        <v>57</v>
      </c>
      <c r="B844" s="58"/>
      <c r="C844" s="59" t="s">
        <v>194</v>
      </c>
      <c r="D844" s="58"/>
      <c r="E844" s="237" t="s">
        <v>245</v>
      </c>
      <c r="F844" s="58"/>
      <c r="G844" s="237" t="s">
        <v>246</v>
      </c>
      <c r="H844" s="58"/>
      <c r="I844" s="237" t="s">
        <v>397</v>
      </c>
      <c r="J844" s="237" t="s">
        <v>248</v>
      </c>
      <c r="K844" s="58"/>
      <c r="L844" s="237" t="s">
        <v>248</v>
      </c>
      <c r="M844" s="237" t="s">
        <v>248</v>
      </c>
      <c r="N844" s="237" t="s">
        <v>248</v>
      </c>
      <c r="O844" s="237" t="s">
        <v>248</v>
      </c>
      <c r="P844" s="237" t="s">
        <v>248</v>
      </c>
      <c r="Q844" s="237" t="s">
        <v>248</v>
      </c>
      <c r="R844" s="58"/>
      <c r="S844" s="237" t="s">
        <v>248</v>
      </c>
      <c r="T844" s="237" t="s">
        <v>248</v>
      </c>
      <c r="U844" s="237" t="s">
        <v>248</v>
      </c>
      <c r="V844" s="237" t="s">
        <v>248</v>
      </c>
      <c r="W844" s="237" t="s">
        <v>248</v>
      </c>
      <c r="X844" s="237" t="s">
        <v>248</v>
      </c>
      <c r="Y844" s="58"/>
      <c r="Z844" s="237" t="s">
        <v>248</v>
      </c>
      <c r="AA844" s="237" t="s">
        <v>397</v>
      </c>
      <c r="AB844" s="237" t="s">
        <v>248</v>
      </c>
      <c r="AC844" s="237" t="s">
        <v>249</v>
      </c>
      <c r="AD844" s="6"/>
      <c r="AF844" s="543"/>
      <c r="AH844" s="543"/>
      <c r="AI844" s="543"/>
      <c r="AK844" s="543"/>
    </row>
    <row r="845" spans="1:39">
      <c r="A845" s="6"/>
      <c r="B845" s="58"/>
      <c r="C845" s="58"/>
      <c r="D845" s="58"/>
      <c r="E845" s="6"/>
      <c r="F845" s="58"/>
      <c r="G845" s="6" t="s">
        <v>9</v>
      </c>
      <c r="H845" s="6"/>
      <c r="I845" s="6" t="s">
        <v>10</v>
      </c>
      <c r="J845" s="6" t="s">
        <v>58</v>
      </c>
      <c r="K845" s="6"/>
      <c r="L845" s="123" t="s">
        <v>12</v>
      </c>
      <c r="M845" s="123" t="s">
        <v>13</v>
      </c>
      <c r="N845" s="123" t="s">
        <v>115</v>
      </c>
      <c r="O845" s="123" t="s">
        <v>209</v>
      </c>
      <c r="P845" s="6" t="s">
        <v>210</v>
      </c>
      <c r="Q845" s="6" t="s">
        <v>250</v>
      </c>
      <c r="R845" s="6"/>
      <c r="S845" s="6" t="s">
        <v>251</v>
      </c>
      <c r="T845" s="6" t="s">
        <v>120</v>
      </c>
      <c r="U845" s="6" t="s">
        <v>121</v>
      </c>
      <c r="V845" s="6" t="s">
        <v>122</v>
      </c>
      <c r="W845" s="6" t="s">
        <v>252</v>
      </c>
      <c r="X845" s="6" t="s">
        <v>253</v>
      </c>
      <c r="Y845" s="6"/>
      <c r="Z845" s="6" t="s">
        <v>254</v>
      </c>
      <c r="AA845" s="6" t="s">
        <v>255</v>
      </c>
      <c r="AB845" s="6" t="s">
        <v>256</v>
      </c>
      <c r="AC845" s="6" t="s">
        <v>257</v>
      </c>
      <c r="AD845" s="6"/>
      <c r="AF845" s="543"/>
      <c r="AH845" s="543"/>
      <c r="AI845" s="543"/>
      <c r="AK845" s="543"/>
    </row>
    <row r="846" spans="1:39">
      <c r="A846" s="6"/>
      <c r="B846" s="58"/>
      <c r="C846" s="12"/>
      <c r="D846" s="58"/>
      <c r="E846" s="574"/>
      <c r="F846" s="58"/>
      <c r="G846" s="29"/>
      <c r="H846" s="58"/>
      <c r="I846" s="58"/>
      <c r="J846" s="58"/>
      <c r="K846" s="58"/>
      <c r="L846" s="538"/>
      <c r="M846" s="538"/>
      <c r="N846" s="538"/>
      <c r="O846" s="538"/>
      <c r="P846" s="538"/>
      <c r="Q846" s="538"/>
      <c r="R846" s="564"/>
      <c r="S846" s="564"/>
      <c r="T846" s="538"/>
      <c r="U846" s="538"/>
      <c r="V846" s="538"/>
      <c r="W846" s="538"/>
      <c r="X846" s="538"/>
      <c r="Y846" s="564"/>
      <c r="Z846" s="564"/>
      <c r="AA846" s="564"/>
      <c r="AB846" s="538"/>
      <c r="AC846" s="501"/>
      <c r="AF846" s="543"/>
      <c r="AH846" s="543"/>
      <c r="AI846" s="543"/>
      <c r="AK846" s="543"/>
    </row>
    <row r="847" spans="1:39">
      <c r="A847" s="6"/>
      <c r="B847" s="58"/>
      <c r="C847" s="9" t="s">
        <v>450</v>
      </c>
      <c r="D847" s="58"/>
      <c r="E847" s="30"/>
      <c r="F847" s="58"/>
      <c r="G847" s="29"/>
      <c r="H847" s="58"/>
      <c r="I847" s="58"/>
      <c r="J847" s="58"/>
      <c r="K847" s="58"/>
      <c r="L847" s="538"/>
      <c r="M847" s="538"/>
      <c r="N847" s="538"/>
      <c r="O847" s="538"/>
      <c r="P847" s="538"/>
      <c r="Q847" s="538"/>
      <c r="R847" s="564"/>
      <c r="S847" s="564"/>
      <c r="T847" s="538"/>
      <c r="U847" s="538"/>
      <c r="V847" s="538"/>
      <c r="W847" s="538"/>
      <c r="X847" s="538"/>
      <c r="Y847" s="564"/>
      <c r="Z847" s="564"/>
      <c r="AA847" s="564"/>
      <c r="AB847" s="538"/>
      <c r="AC847" s="501"/>
    </row>
    <row r="848" spans="1:39">
      <c r="A848" s="6">
        <f>MAX(A$809:A847)+1</f>
        <v>380</v>
      </c>
      <c r="B848" s="58"/>
      <c r="C848" s="521" t="s">
        <v>438</v>
      </c>
      <c r="D848" s="58"/>
      <c r="E848" s="522" t="s">
        <v>259</v>
      </c>
      <c r="F848" s="58"/>
      <c r="G848" s="29">
        <v>12</v>
      </c>
      <c r="H848" s="58"/>
      <c r="I848" s="537">
        <v>2135.348</v>
      </c>
      <c r="J848" s="539">
        <f>G848*I848/1000</f>
        <v>25.624175999999999</v>
      </c>
      <c r="K848" s="58"/>
      <c r="L848" s="29">
        <v>0</v>
      </c>
      <c r="M848" s="29">
        <v>0</v>
      </c>
      <c r="N848" s="29">
        <v>0</v>
      </c>
      <c r="O848" s="29">
        <v>0</v>
      </c>
      <c r="P848" s="29">
        <v>0</v>
      </c>
      <c r="Q848" s="538">
        <f>SUM(J848-L848-M848-N848-O848-P848)</f>
        <v>25.624175999999999</v>
      </c>
      <c r="R848" s="564"/>
      <c r="S848" s="29">
        <v>0.70018795153912805</v>
      </c>
      <c r="T848" s="29">
        <v>0</v>
      </c>
      <c r="U848" s="29">
        <v>0</v>
      </c>
      <c r="V848" s="29">
        <v>0</v>
      </c>
      <c r="W848" s="29">
        <v>0</v>
      </c>
      <c r="X848" s="29">
        <v>0</v>
      </c>
      <c r="Y848" s="564"/>
      <c r="Z848" s="564">
        <f>Q848+S848+T848+U848+V848+W848+X848</f>
        <v>26.324363951539127</v>
      </c>
      <c r="AA848" s="537">
        <f>Z848/G848*1000</f>
        <v>2193.6969959615935</v>
      </c>
      <c r="AB848" s="538">
        <f>Z848-J848</f>
        <v>0.70018795153912805</v>
      </c>
      <c r="AC848" s="541">
        <f>AA848/I848-1</f>
        <v>2.7325286539521265E-2</v>
      </c>
      <c r="AD848" s="542"/>
      <c r="AF848" s="543"/>
      <c r="AH848" s="543"/>
      <c r="AI848" s="543"/>
      <c r="AK848" s="543"/>
      <c r="AM848" s="544"/>
    </row>
    <row r="849" spans="1:39">
      <c r="A849" s="6"/>
      <c r="B849" s="58"/>
      <c r="C849" s="521" t="s">
        <v>423</v>
      </c>
      <c r="D849" s="58"/>
      <c r="E849" s="30"/>
      <c r="F849" s="58"/>
      <c r="G849" s="29"/>
      <c r="H849" s="58"/>
      <c r="I849" s="706"/>
      <c r="J849" s="539"/>
      <c r="K849" s="58"/>
      <c r="L849" s="538"/>
      <c r="M849" s="538"/>
      <c r="N849" s="538"/>
      <c r="O849" s="538"/>
      <c r="P849" s="538"/>
      <c r="Q849" s="538"/>
      <c r="R849" s="564"/>
      <c r="S849" s="29"/>
      <c r="T849" s="538"/>
      <c r="U849" s="538"/>
      <c r="V849" s="538"/>
      <c r="W849" s="538"/>
      <c r="X849" s="538"/>
      <c r="Y849" s="564"/>
      <c r="Z849" s="564"/>
      <c r="AA849" s="29"/>
      <c r="AB849" s="538"/>
      <c r="AC849" s="541"/>
      <c r="AD849" s="542"/>
      <c r="AF849" s="543"/>
      <c r="AH849" s="543"/>
      <c r="AI849" s="543"/>
      <c r="AK849" s="543"/>
      <c r="AM849" s="560"/>
    </row>
    <row r="850" spans="1:39">
      <c r="A850" s="6">
        <f>MAX(A$847:A849)+1</f>
        <v>381</v>
      </c>
      <c r="B850" s="58"/>
      <c r="C850" s="705" t="s">
        <v>451</v>
      </c>
      <c r="D850" s="58"/>
      <c r="E850" s="522" t="s">
        <v>382</v>
      </c>
      <c r="F850" s="58"/>
      <c r="G850" s="29">
        <v>8863</v>
      </c>
      <c r="H850" s="58"/>
      <c r="I850" s="706">
        <v>4.734</v>
      </c>
      <c r="J850" s="539">
        <f>(G850*I850*12/1000)</f>
        <v>503.489304</v>
      </c>
      <c r="K850" s="58"/>
      <c r="L850" s="29">
        <v>0</v>
      </c>
      <c r="M850" s="29">
        <v>0</v>
      </c>
      <c r="N850" s="29">
        <v>0</v>
      </c>
      <c r="O850" s="29">
        <v>0</v>
      </c>
      <c r="P850" s="29">
        <v>0</v>
      </c>
      <c r="Q850" s="538">
        <f t="shared" ref="Q850:Q854" si="263">SUM(J850-L850-M850-N850-O850-P850)</f>
        <v>503.489304</v>
      </c>
      <c r="R850" s="564"/>
      <c r="S850" s="29">
        <v>13.757989501384202</v>
      </c>
      <c r="T850" s="29">
        <v>0</v>
      </c>
      <c r="U850" s="29">
        <v>0</v>
      </c>
      <c r="V850" s="29">
        <v>0</v>
      </c>
      <c r="W850" s="29">
        <v>0</v>
      </c>
      <c r="X850" s="29">
        <v>0</v>
      </c>
      <c r="Y850" s="564"/>
      <c r="Z850" s="564">
        <f>Q850+S850+T850+U850+V850+W850+X850</f>
        <v>517.24729350138421</v>
      </c>
      <c r="AA850" s="701">
        <v>4.8630000000000004</v>
      </c>
      <c r="AB850" s="538">
        <f>Z850-J850</f>
        <v>13.757989501384202</v>
      </c>
      <c r="AC850" s="541">
        <f>AA850/I850-1</f>
        <v>2.7249683143219405E-2</v>
      </c>
      <c r="AD850" s="542"/>
      <c r="AF850" s="543"/>
      <c r="AH850" s="543"/>
      <c r="AI850" s="543"/>
      <c r="AK850" s="543"/>
      <c r="AM850" s="560"/>
    </row>
    <row r="851" spans="1:39">
      <c r="A851" s="6">
        <f>MAX(A$847:A850)+1</f>
        <v>382</v>
      </c>
      <c r="C851" s="705" t="s">
        <v>452</v>
      </c>
      <c r="E851" s="522" t="s">
        <v>382</v>
      </c>
      <c r="G851" s="29">
        <v>0</v>
      </c>
      <c r="I851" s="706">
        <v>2.9039999999999999</v>
      </c>
      <c r="J851" s="29">
        <v>0</v>
      </c>
      <c r="L851" s="29">
        <v>0</v>
      </c>
      <c r="M851" s="29">
        <v>0</v>
      </c>
      <c r="N851" s="29">
        <v>0</v>
      </c>
      <c r="O851" s="29">
        <v>0</v>
      </c>
      <c r="P851" s="29">
        <v>0</v>
      </c>
      <c r="Q851" s="538">
        <f t="shared" si="263"/>
        <v>0</v>
      </c>
      <c r="R851" s="64"/>
      <c r="S851" s="29">
        <v>0</v>
      </c>
      <c r="T851" s="29">
        <v>0</v>
      </c>
      <c r="U851" s="29">
        <v>0</v>
      </c>
      <c r="V851" s="29">
        <v>0</v>
      </c>
      <c r="W851" s="29">
        <v>0</v>
      </c>
      <c r="X851" s="29">
        <v>0</v>
      </c>
      <c r="Y851" s="64"/>
      <c r="Z851" s="564">
        <f>Q851+S851+T851+U851+V851+W851+X851</f>
        <v>0</v>
      </c>
      <c r="AA851" s="701">
        <v>2.9833526321107704</v>
      </c>
      <c r="AB851" s="538">
        <f>Z851-J851</f>
        <v>0</v>
      </c>
      <c r="AC851" s="541">
        <f>AA851/I851-1</f>
        <v>2.7325286539521487E-2</v>
      </c>
      <c r="AD851" s="542"/>
      <c r="AF851" s="543"/>
      <c r="AH851" s="543"/>
      <c r="AI851" s="543"/>
      <c r="AK851" s="543"/>
    </row>
    <row r="852" spans="1:39">
      <c r="A852" s="6">
        <f>MAX(A$847:A851)+1</f>
        <v>383</v>
      </c>
      <c r="C852" s="705" t="s">
        <v>453</v>
      </c>
      <c r="E852" s="522" t="s">
        <v>382</v>
      </c>
      <c r="G852" s="29">
        <v>0</v>
      </c>
      <c r="I852" s="706">
        <v>2.9039999999999999</v>
      </c>
      <c r="J852" s="29">
        <v>0</v>
      </c>
      <c r="L852" s="29">
        <v>0</v>
      </c>
      <c r="M852" s="29">
        <v>0</v>
      </c>
      <c r="N852" s="29">
        <v>0</v>
      </c>
      <c r="O852" s="29">
        <v>0</v>
      </c>
      <c r="P852" s="29">
        <v>0</v>
      </c>
      <c r="Q852" s="538">
        <f t="shared" si="263"/>
        <v>0</v>
      </c>
      <c r="R852" s="64"/>
      <c r="S852" s="29">
        <v>0</v>
      </c>
      <c r="T852" s="29">
        <v>0</v>
      </c>
      <c r="U852" s="29">
        <v>0</v>
      </c>
      <c r="V852" s="29">
        <v>0</v>
      </c>
      <c r="W852" s="29">
        <v>0</v>
      </c>
      <c r="X852" s="29">
        <v>0</v>
      </c>
      <c r="Y852" s="64"/>
      <c r="Z852" s="564">
        <f>Q852+S852+T852+U852+V852+W852+X852</f>
        <v>0</v>
      </c>
      <c r="AA852" s="701">
        <v>2.9833526321107704</v>
      </c>
      <c r="AB852" s="538">
        <f>Z852-J852</f>
        <v>0</v>
      </c>
      <c r="AC852" s="541">
        <f>AA852/I852-1</f>
        <v>2.7325286539521487E-2</v>
      </c>
      <c r="AD852" s="542"/>
      <c r="AF852" s="543"/>
      <c r="AH852" s="543"/>
      <c r="AI852" s="543"/>
      <c r="AK852" s="543"/>
    </row>
    <row r="853" spans="1:39">
      <c r="A853" s="6"/>
      <c r="C853" s="521" t="s">
        <v>428</v>
      </c>
      <c r="E853" s="501"/>
      <c r="G853" s="29"/>
      <c r="J853" s="567"/>
      <c r="L853" s="538"/>
      <c r="M853" s="538"/>
      <c r="N853" s="29">
        <v>0</v>
      </c>
      <c r="O853" s="538"/>
      <c r="P853" s="538"/>
      <c r="Q853" s="538"/>
      <c r="R853" s="64"/>
      <c r="S853" s="29"/>
      <c r="T853" s="538"/>
      <c r="U853" s="538"/>
      <c r="V853" s="538"/>
      <c r="W853" s="538"/>
      <c r="X853" s="538"/>
      <c r="Y853" s="64"/>
      <c r="Z853" s="564"/>
      <c r="AA853" s="684"/>
      <c r="AB853" s="538"/>
      <c r="AC853" s="541"/>
      <c r="AD853" s="542"/>
      <c r="AF853" s="543"/>
      <c r="AH853" s="543"/>
      <c r="AI853" s="543"/>
      <c r="AK853" s="543"/>
    </row>
    <row r="854" spans="1:39">
      <c r="A854" s="6">
        <f>MAX(A$847:A853)+1</f>
        <v>384</v>
      </c>
      <c r="C854" s="526" t="s">
        <v>389</v>
      </c>
      <c r="E854" s="522" t="s">
        <v>331</v>
      </c>
      <c r="G854" s="29">
        <v>1303506.0105505299</v>
      </c>
      <c r="I854" s="29">
        <v>0</v>
      </c>
      <c r="J854" s="29">
        <v>41.171305514776698</v>
      </c>
      <c r="L854" s="29">
        <v>0</v>
      </c>
      <c r="M854" s="29">
        <v>0</v>
      </c>
      <c r="N854" s="29">
        <v>0</v>
      </c>
      <c r="O854" s="29">
        <v>11.973151205783873</v>
      </c>
      <c r="P854" s="29">
        <v>29.198154308992827</v>
      </c>
      <c r="Q854" s="538">
        <f t="shared" si="263"/>
        <v>0</v>
      </c>
      <c r="R854" s="64"/>
      <c r="S854" s="29">
        <v>0</v>
      </c>
      <c r="T854" s="29">
        <v>0</v>
      </c>
      <c r="U854" s="29">
        <v>0</v>
      </c>
      <c r="V854" s="29">
        <v>0</v>
      </c>
      <c r="W854" s="29">
        <v>14.61077492690648</v>
      </c>
      <c r="X854" s="29">
        <v>29.038100539070125</v>
      </c>
      <c r="Y854" s="64"/>
      <c r="Z854" s="564">
        <f>V854+W854+X854</f>
        <v>43.648875465976602</v>
      </c>
      <c r="AA854" s="29">
        <v>0</v>
      </c>
      <c r="AB854" s="538">
        <f>Z854-J854</f>
        <v>2.4775699511999036</v>
      </c>
      <c r="AC854" s="541"/>
      <c r="AD854" s="542"/>
      <c r="AF854" s="543"/>
      <c r="AH854" s="543"/>
      <c r="AI854" s="543"/>
      <c r="AK854" s="543"/>
    </row>
    <row r="855" spans="1:39">
      <c r="A855" s="6"/>
      <c r="C855" s="501"/>
      <c r="E855" s="30"/>
      <c r="G855" s="29"/>
      <c r="J855" s="567"/>
      <c r="L855" s="538"/>
      <c r="M855" s="538"/>
      <c r="N855" s="538"/>
      <c r="O855" s="538"/>
      <c r="P855" s="538"/>
      <c r="Q855" s="538"/>
      <c r="R855" s="64"/>
      <c r="S855" s="64"/>
      <c r="T855" s="538"/>
      <c r="U855" s="538"/>
      <c r="V855" s="538"/>
      <c r="W855" s="538"/>
      <c r="X855" s="538"/>
      <c r="Y855" s="64"/>
      <c r="Z855" s="64"/>
      <c r="AA855" s="64"/>
      <c r="AB855" s="538"/>
      <c r="AC855" s="541"/>
      <c r="AD855" s="542"/>
      <c r="AF855" s="543"/>
      <c r="AH855" s="543"/>
      <c r="AI855" s="543"/>
      <c r="AK855" s="543"/>
    </row>
    <row r="856" spans="1:39" ht="12.95" thickBot="1">
      <c r="A856" s="6">
        <f>MAX(A$847:A855)+1</f>
        <v>385</v>
      </c>
      <c r="C856" s="501" t="s">
        <v>454</v>
      </c>
      <c r="E856" s="30"/>
      <c r="G856" s="589">
        <v>1303506.0105505299</v>
      </c>
      <c r="I856" s="720">
        <f>J856/G856*1000</f>
        <v>0.43750069497103389</v>
      </c>
      <c r="J856" s="709">
        <f>SUM(J848:J854)</f>
        <v>570.28478551477667</v>
      </c>
      <c r="K856" s="567"/>
      <c r="L856" s="710">
        <f t="shared" ref="L856:P856" si="264">SUM(L848:L854)</f>
        <v>0</v>
      </c>
      <c r="M856" s="710">
        <f t="shared" si="264"/>
        <v>0</v>
      </c>
      <c r="N856" s="710">
        <f t="shared" si="264"/>
        <v>0</v>
      </c>
      <c r="O856" s="710">
        <f t="shared" si="264"/>
        <v>11.973151205783873</v>
      </c>
      <c r="P856" s="710">
        <f t="shared" si="264"/>
        <v>29.198154308992827</v>
      </c>
      <c r="Q856" s="710">
        <f>SUM(Q848:Q854)</f>
        <v>529.11347999999998</v>
      </c>
      <c r="R856" s="64"/>
      <c r="S856" s="710">
        <f>SUM(S848:S854)</f>
        <v>14.45817745292333</v>
      </c>
      <c r="T856" s="710">
        <f t="shared" ref="T856:X856" si="265">SUM(T848:T854)</f>
        <v>0</v>
      </c>
      <c r="U856" s="710">
        <f t="shared" si="265"/>
        <v>0</v>
      </c>
      <c r="V856" s="710">
        <f t="shared" si="265"/>
        <v>0</v>
      </c>
      <c r="W856" s="710">
        <f t="shared" si="265"/>
        <v>14.61077492690648</v>
      </c>
      <c r="X856" s="710">
        <f t="shared" si="265"/>
        <v>29.038100539070125</v>
      </c>
      <c r="Y856" s="64"/>
      <c r="Z856" s="710">
        <f>SUM(Z848:Z854)</f>
        <v>587.22053291889995</v>
      </c>
      <c r="AA856" s="572">
        <f>Z856/G856*1000</f>
        <v>0.45049315320831546</v>
      </c>
      <c r="AB856" s="710">
        <f>SUM(AB848:AB854)</f>
        <v>16.935747404123234</v>
      </c>
      <c r="AC856" s="721">
        <f>AA856/I856-1</f>
        <v>2.9697000225660908E-2</v>
      </c>
      <c r="AD856" s="722"/>
      <c r="AF856" s="543"/>
      <c r="AH856" s="543"/>
      <c r="AI856" s="543"/>
      <c r="AK856" s="543"/>
    </row>
    <row r="857" spans="1:39" ht="12.95" thickTop="1">
      <c r="A857" s="6"/>
      <c r="C857" s="501"/>
      <c r="E857" s="30"/>
      <c r="G857" s="29"/>
      <c r="L857" s="501"/>
      <c r="M857" s="501"/>
      <c r="N857" s="501"/>
      <c r="O857" s="501"/>
      <c r="P857" s="501"/>
      <c r="Q857" s="501"/>
      <c r="T857" s="501"/>
      <c r="U857" s="501"/>
      <c r="V857" s="501"/>
      <c r="W857" s="501"/>
      <c r="X857" s="501"/>
      <c r="AB857" s="538"/>
      <c r="AC857" s="501"/>
      <c r="AF857" s="543"/>
      <c r="AH857" s="543"/>
      <c r="AI857" s="543"/>
      <c r="AJ857" s="543"/>
      <c r="AK857" s="543"/>
    </row>
    <row r="858" spans="1:39">
      <c r="A858" s="6">
        <f>MAX(A$847:A857)+1</f>
        <v>386</v>
      </c>
      <c r="C858" s="726" t="s">
        <v>455</v>
      </c>
      <c r="E858" s="30"/>
      <c r="G858" s="29"/>
      <c r="J858" s="29">
        <v>1196.9395495536583</v>
      </c>
      <c r="L858" s="538">
        <v>0</v>
      </c>
      <c r="M858" s="538">
        <v>0</v>
      </c>
      <c r="N858" s="538">
        <v>0</v>
      </c>
      <c r="O858" s="538">
        <v>0</v>
      </c>
      <c r="P858" s="538">
        <v>0</v>
      </c>
      <c r="Q858" s="538">
        <f>J858</f>
        <v>1196.9395495536583</v>
      </c>
      <c r="S858" s="64">
        <f>Z858-Q858</f>
        <v>13.234035539499473</v>
      </c>
      <c r="T858" s="538">
        <v>0</v>
      </c>
      <c r="U858" s="538">
        <v>0</v>
      </c>
      <c r="V858" s="538">
        <v>0</v>
      </c>
      <c r="W858" s="538">
        <v>0</v>
      </c>
      <c r="X858" s="538">
        <v>0</v>
      </c>
      <c r="Z858" s="64">
        <v>1210.1735850931577</v>
      </c>
      <c r="AB858" s="538">
        <f>Z858-J858</f>
        <v>13.234035539499473</v>
      </c>
      <c r="AC858" s="501"/>
    </row>
    <row r="859" spans="1:39">
      <c r="A859" s="6"/>
      <c r="C859" s="727" t="s">
        <v>456</v>
      </c>
      <c r="E859" s="30"/>
      <c r="G859" s="29"/>
      <c r="L859" s="501"/>
      <c r="M859" s="501"/>
      <c r="N859" s="501"/>
      <c r="O859" s="501"/>
      <c r="P859" s="501"/>
      <c r="Q859" s="501"/>
      <c r="T859" s="501"/>
      <c r="U859" s="501"/>
      <c r="V859" s="501"/>
      <c r="W859" s="501"/>
      <c r="X859" s="501"/>
      <c r="AB859" s="501"/>
      <c r="AC859" s="501"/>
    </row>
    <row r="860" spans="1:39" ht="12.95" thickBot="1">
      <c r="A860" s="6">
        <f>MAX(A$847:A859)+1</f>
        <v>387</v>
      </c>
      <c r="C860" s="501" t="s">
        <v>166</v>
      </c>
      <c r="E860" s="30"/>
      <c r="G860" s="29"/>
      <c r="J860" s="709">
        <f>J728+J733+J736+J763+J797+J815+J817+J835+J856+J858</f>
        <v>166791.93719886799</v>
      </c>
      <c r="K860" s="567"/>
      <c r="L860" s="710">
        <f t="shared" ref="L860:Q860" si="266">L728+L733+L736+L763+L797+L815+L817+L835+L856+L858</f>
        <v>0</v>
      </c>
      <c r="M860" s="710">
        <f t="shared" si="266"/>
        <v>0</v>
      </c>
      <c r="N860" s="710">
        <f t="shared" si="266"/>
        <v>0</v>
      </c>
      <c r="O860" s="709">
        <f t="shared" si="266"/>
        <v>6290.4132729831172</v>
      </c>
      <c r="P860" s="709">
        <f t="shared" si="266"/>
        <v>16130.338134665028</v>
      </c>
      <c r="Q860" s="704">
        <f t="shared" si="266"/>
        <v>144371.18579121982</v>
      </c>
      <c r="R860" s="567"/>
      <c r="S860" s="709">
        <f t="shared" ref="S860:X860" si="267">S728+S733+S736+S763+S797+S815+S817+S835+S856+S858</f>
        <v>3488.6377282773606</v>
      </c>
      <c r="T860" s="710">
        <f t="shared" si="267"/>
        <v>0</v>
      </c>
      <c r="U860" s="710">
        <f t="shared" si="267"/>
        <v>0</v>
      </c>
      <c r="V860" s="710">
        <f t="shared" si="267"/>
        <v>0</v>
      </c>
      <c r="W860" s="709">
        <f t="shared" si="267"/>
        <v>7687.2236298008047</v>
      </c>
      <c r="X860" s="709">
        <f t="shared" si="267"/>
        <v>16044.269192972833</v>
      </c>
      <c r="Y860" s="567"/>
      <c r="Z860" s="709">
        <f>Z728+Z733+Z736+Z763+Z797+Z815+Z817+Z835+Z856+Z858</f>
        <v>171591.31634227085</v>
      </c>
      <c r="AA860" s="567"/>
      <c r="AB860" s="709">
        <f>AB728+AB733+AB736+AB763+AB797+AB815+AB835+AB856+AB858</f>
        <v>4799.3791434028572</v>
      </c>
      <c r="AC860" s="501"/>
    </row>
    <row r="861" spans="1:39" ht="12.95" thickTop="1">
      <c r="A861" s="6"/>
      <c r="E861" s="30"/>
      <c r="G861" s="29"/>
      <c r="L861" s="501"/>
      <c r="M861" s="501"/>
      <c r="N861" s="501"/>
      <c r="O861" s="501"/>
      <c r="P861" s="501"/>
      <c r="Q861" s="501"/>
      <c r="T861" s="501"/>
      <c r="U861" s="501"/>
      <c r="V861" s="501"/>
      <c r="W861" s="501"/>
      <c r="X861" s="501"/>
      <c r="AB861" s="501"/>
      <c r="AC861" s="501"/>
    </row>
    <row r="862" spans="1:39" ht="12.95" thickBot="1">
      <c r="A862" s="6">
        <f>MAX(A$847:A861)+1</f>
        <v>388</v>
      </c>
      <c r="C862" s="727" t="s">
        <v>457</v>
      </c>
      <c r="E862" s="30"/>
      <c r="G862" s="29"/>
      <c r="J862" s="627">
        <f>J709+J860</f>
        <v>5949261.4989194423</v>
      </c>
      <c r="K862" s="539"/>
      <c r="L862" s="627">
        <f t="shared" ref="L862:Q862" si="268">L709+L860</f>
        <v>143871.4637834662</v>
      </c>
      <c r="M862" s="627">
        <f t="shared" si="268"/>
        <v>46925.204694014014</v>
      </c>
      <c r="N862" s="627">
        <f t="shared" si="268"/>
        <v>4279.0945088308627</v>
      </c>
      <c r="O862" s="627">
        <f t="shared" si="268"/>
        <v>44447.217232064511</v>
      </c>
      <c r="P862" s="627">
        <f t="shared" si="268"/>
        <v>36592.89998631717</v>
      </c>
      <c r="Q862" s="627">
        <f t="shared" si="268"/>
        <v>5675188.0158003513</v>
      </c>
      <c r="R862" s="539"/>
      <c r="S862" s="627">
        <f t="shared" ref="S862:X862" si="269">S709+S860</f>
        <v>71210.476563755699</v>
      </c>
      <c r="T862" s="627">
        <f t="shared" si="269"/>
        <v>183081.13465239876</v>
      </c>
      <c r="U862" s="627">
        <f t="shared" si="269"/>
        <v>46390.692841946395</v>
      </c>
      <c r="V862" s="627">
        <f t="shared" si="269"/>
        <v>3884.1941707516062</v>
      </c>
      <c r="W862" s="627">
        <f t="shared" si="269"/>
        <v>50562.222007935474</v>
      </c>
      <c r="X862" s="627">
        <f t="shared" si="269"/>
        <v>35305.431017854789</v>
      </c>
      <c r="Y862" s="539"/>
      <c r="Z862" s="627">
        <f>Z709+Z860</f>
        <v>6065622.167054995</v>
      </c>
      <c r="AA862" s="539"/>
      <c r="AB862" s="627">
        <f>AB709+AB860</f>
        <v>116360.66813555235</v>
      </c>
      <c r="AC862" s="501"/>
    </row>
    <row r="863" spans="1:39" ht="12.95" thickTop="1">
      <c r="A863" s="6"/>
      <c r="B863" s="58"/>
      <c r="C863" s="12"/>
      <c r="D863" s="58"/>
      <c r="E863" s="574"/>
      <c r="F863" s="58"/>
      <c r="G863" s="29"/>
      <c r="H863" s="58"/>
      <c r="I863" s="58"/>
      <c r="J863" s="567"/>
      <c r="L863" s="567"/>
      <c r="M863" s="567"/>
      <c r="N863" s="728"/>
      <c r="O863" s="728"/>
      <c r="P863" s="728"/>
      <c r="Q863" s="728"/>
      <c r="R863" s="728"/>
      <c r="S863" s="728"/>
      <c r="T863" s="728"/>
      <c r="U863" s="728"/>
      <c r="V863" s="728"/>
      <c r="W863" s="728"/>
      <c r="X863" s="728"/>
      <c r="Y863" s="728"/>
      <c r="Z863" s="728"/>
      <c r="AB863" s="622"/>
      <c r="AC863" s="501"/>
    </row>
    <row r="864" spans="1:39">
      <c r="A864" s="386" t="s">
        <v>458</v>
      </c>
      <c r="G864" s="129"/>
      <c r="J864" s="567"/>
      <c r="L864" s="567"/>
      <c r="M864" s="567"/>
      <c r="N864" s="567"/>
      <c r="O864" s="567"/>
      <c r="P864" s="567"/>
      <c r="Q864" s="567"/>
      <c r="R864" s="567"/>
      <c r="S864" s="567"/>
      <c r="T864" s="567"/>
      <c r="U864" s="567"/>
      <c r="V864" s="567"/>
      <c r="W864" s="567"/>
      <c r="X864" s="567"/>
      <c r="Y864" s="567"/>
      <c r="Z864" s="567"/>
      <c r="AB864" s="729"/>
      <c r="AC864" s="501"/>
    </row>
    <row r="865" spans="1:29">
      <c r="A865" s="8" t="s">
        <v>459</v>
      </c>
      <c r="C865" s="2" t="s">
        <v>460</v>
      </c>
      <c r="G865" s="129"/>
      <c r="L865" s="501"/>
      <c r="M865" s="501"/>
      <c r="N865" s="501"/>
      <c r="O865" s="501"/>
      <c r="P865" s="501"/>
      <c r="Q865" s="534"/>
      <c r="T865" s="501"/>
      <c r="U865" s="501"/>
      <c r="V865" s="501"/>
      <c r="W865" s="501"/>
      <c r="X865" s="501"/>
      <c r="AB865" s="501"/>
      <c r="AC865" s="501"/>
    </row>
    <row r="866" spans="1:29">
      <c r="A866" s="8" t="s">
        <v>461</v>
      </c>
      <c r="C866" s="2" t="s">
        <v>172</v>
      </c>
      <c r="G866" s="129"/>
      <c r="L866" s="501"/>
      <c r="M866" s="501"/>
      <c r="N866" s="501"/>
      <c r="O866" s="501"/>
      <c r="P866" s="501"/>
      <c r="Q866" s="534"/>
      <c r="T866" s="501"/>
      <c r="U866" s="501"/>
      <c r="V866" s="501"/>
      <c r="W866" s="501"/>
      <c r="X866" s="501"/>
      <c r="AB866" s="501"/>
      <c r="AC866" s="501"/>
    </row>
    <row r="867" spans="1:29">
      <c r="A867" s="8" t="s">
        <v>462</v>
      </c>
      <c r="C867" s="2" t="s">
        <v>174</v>
      </c>
      <c r="G867" s="129"/>
      <c r="L867" s="501"/>
      <c r="M867" s="501"/>
      <c r="N867" s="501"/>
      <c r="O867" s="501"/>
      <c r="P867" s="501"/>
      <c r="Q867" s="501"/>
      <c r="T867" s="501"/>
      <c r="U867" s="501"/>
      <c r="V867" s="501"/>
      <c r="W867" s="501"/>
      <c r="X867" s="501"/>
      <c r="Z867" s="567"/>
      <c r="AB867" s="501"/>
      <c r="AC867" s="501"/>
    </row>
    <row r="868" spans="1:29">
      <c r="A868" s="8" t="s">
        <v>463</v>
      </c>
      <c r="B868" s="501"/>
      <c r="C868" s="16" t="s">
        <v>464</v>
      </c>
      <c r="G868" s="129"/>
      <c r="L868" s="501"/>
      <c r="M868" s="501"/>
      <c r="N868" s="501"/>
      <c r="O868" s="501"/>
      <c r="P868" s="501"/>
      <c r="Q868" s="501"/>
      <c r="T868" s="501"/>
      <c r="U868" s="501"/>
      <c r="V868" s="501"/>
      <c r="W868" s="501"/>
      <c r="X868" s="501"/>
      <c r="Z868" s="567"/>
      <c r="AB868" s="501"/>
      <c r="AC868" s="501"/>
    </row>
    <row r="869" spans="1:29">
      <c r="A869" s="8" t="s">
        <v>465</v>
      </c>
      <c r="B869" s="501"/>
      <c r="C869" s="2" t="s">
        <v>466</v>
      </c>
      <c r="G869" s="129"/>
      <c r="L869" s="501"/>
      <c r="M869" s="501"/>
      <c r="N869" s="501"/>
      <c r="O869" s="501"/>
      <c r="P869" s="501"/>
      <c r="Q869" s="501"/>
      <c r="T869" s="501"/>
      <c r="U869" s="501"/>
      <c r="V869" s="501"/>
      <c r="W869" s="501"/>
      <c r="X869" s="501"/>
      <c r="Z869" s="567"/>
      <c r="AB869" s="501"/>
      <c r="AC869" s="501"/>
    </row>
    <row r="870" spans="1:29">
      <c r="A870" s="8" t="s">
        <v>467</v>
      </c>
      <c r="B870" s="501"/>
      <c r="C870" s="2" t="s">
        <v>468</v>
      </c>
      <c r="G870" s="129"/>
      <c r="L870" s="501"/>
      <c r="M870" s="501"/>
      <c r="N870" s="501"/>
      <c r="O870" s="501"/>
      <c r="P870" s="501"/>
      <c r="Q870" s="501"/>
      <c r="T870" s="501"/>
      <c r="U870" s="501"/>
      <c r="V870" s="501"/>
      <c r="W870" s="501"/>
      <c r="X870" s="501"/>
      <c r="Z870" s="567"/>
      <c r="AB870" s="501"/>
      <c r="AC870" s="501"/>
    </row>
    <row r="871" spans="1:29">
      <c r="A871" s="8" t="s">
        <v>226</v>
      </c>
      <c r="C871" s="2" t="s">
        <v>469</v>
      </c>
      <c r="G871" s="129"/>
      <c r="L871" s="501"/>
      <c r="M871" s="501"/>
      <c r="N871" s="501"/>
      <c r="O871" s="501"/>
      <c r="P871" s="501"/>
      <c r="Q871" s="501"/>
      <c r="T871" s="501"/>
      <c r="U871" s="501"/>
      <c r="V871" s="501"/>
      <c r="W871" s="501"/>
      <c r="X871" s="501"/>
      <c r="AB871" s="501"/>
      <c r="AC871" s="501"/>
    </row>
    <row r="872" spans="1:29">
      <c r="A872" s="8" t="s">
        <v>228</v>
      </c>
      <c r="B872" s="15"/>
      <c r="C872" s="16" t="s">
        <v>470</v>
      </c>
      <c r="G872" s="129"/>
      <c r="L872" s="501"/>
      <c r="M872" s="501"/>
      <c r="N872" s="501"/>
      <c r="O872" s="501"/>
      <c r="P872" s="501"/>
      <c r="Q872" s="501"/>
      <c r="T872" s="501"/>
      <c r="U872" s="501"/>
      <c r="V872" s="501"/>
      <c r="W872" s="501"/>
      <c r="X872" s="501"/>
      <c r="AB872" s="501"/>
      <c r="AC872" s="501"/>
    </row>
    <row r="873" spans="1:29">
      <c r="B873" s="15"/>
      <c r="C873" s="10"/>
      <c r="G873" s="129"/>
      <c r="L873" s="501"/>
      <c r="M873" s="501"/>
      <c r="N873" s="501"/>
      <c r="O873" s="501"/>
      <c r="P873" s="501"/>
      <c r="Q873" s="501"/>
      <c r="T873" s="501"/>
      <c r="U873" s="501"/>
      <c r="V873" s="501"/>
      <c r="W873" s="501"/>
      <c r="X873" s="501"/>
      <c r="AB873" s="501"/>
      <c r="AC873" s="501"/>
    </row>
    <row r="874" spans="1:29">
      <c r="A874" s="6"/>
      <c r="B874" s="15"/>
      <c r="D874" s="58"/>
      <c r="E874" s="30"/>
      <c r="F874" s="58"/>
      <c r="G874" s="132"/>
      <c r="H874" s="58"/>
      <c r="I874" s="58"/>
      <c r="J874" s="58"/>
      <c r="K874" s="58"/>
      <c r="L874" s="501"/>
      <c r="M874" s="501"/>
      <c r="N874" s="501"/>
      <c r="O874" s="501"/>
      <c r="P874" s="501"/>
      <c r="Q874" s="501"/>
      <c r="R874" s="58"/>
      <c r="S874" s="58"/>
      <c r="T874" s="501"/>
      <c r="U874" s="501"/>
      <c r="V874" s="501"/>
      <c r="W874" s="501"/>
      <c r="X874" s="501"/>
      <c r="Y874" s="58"/>
      <c r="Z874" s="58"/>
      <c r="AA874" s="58"/>
      <c r="AB874" s="501"/>
      <c r="AC874" s="501"/>
    </row>
    <row r="875" spans="1:29">
      <c r="A875" s="6"/>
      <c r="B875" s="15"/>
      <c r="C875" s="10"/>
      <c r="D875" s="58"/>
      <c r="E875" s="30"/>
      <c r="F875" s="58"/>
      <c r="G875" s="132"/>
      <c r="H875" s="58"/>
      <c r="I875" s="58"/>
      <c r="J875" s="58"/>
      <c r="K875" s="58"/>
      <c r="L875" s="501"/>
      <c r="M875" s="501"/>
      <c r="N875" s="501"/>
      <c r="O875" s="501"/>
      <c r="P875" s="501"/>
      <c r="Q875" s="501"/>
      <c r="R875" s="58"/>
      <c r="S875" s="58"/>
      <c r="T875" s="501"/>
      <c r="U875" s="501"/>
      <c r="V875" s="501"/>
      <c r="W875" s="534"/>
      <c r="X875" s="501"/>
      <c r="Y875" s="58"/>
      <c r="Z875" s="58"/>
      <c r="AA875" s="58"/>
      <c r="AB875" s="501"/>
      <c r="AC875" s="501"/>
    </row>
    <row r="876" spans="1:29">
      <c r="A876" s="6"/>
      <c r="B876" s="58"/>
      <c r="C876" s="10"/>
      <c r="D876" s="58"/>
      <c r="E876" s="30"/>
      <c r="F876" s="58"/>
      <c r="G876" s="29"/>
      <c r="H876" s="58"/>
      <c r="I876" s="58"/>
      <c r="J876" s="58"/>
      <c r="K876" s="58"/>
      <c r="L876" s="713"/>
      <c r="M876" s="501"/>
      <c r="N876" s="501"/>
      <c r="O876" s="501"/>
      <c r="P876" s="501"/>
      <c r="Q876" s="501"/>
      <c r="R876" s="58"/>
      <c r="S876" s="58"/>
      <c r="T876" s="501"/>
      <c r="U876" s="501"/>
      <c r="V876" s="501"/>
      <c r="W876" s="501"/>
      <c r="X876" s="501"/>
      <c r="Y876" s="58"/>
      <c r="Z876" s="58"/>
      <c r="AA876" s="58"/>
      <c r="AB876" s="501"/>
      <c r="AC876" s="501"/>
    </row>
    <row r="877" spans="1:29">
      <c r="A877" s="6"/>
      <c r="B877" s="58"/>
      <c r="C877" s="10"/>
      <c r="D877" s="58"/>
      <c r="E877" s="30"/>
      <c r="F877" s="58"/>
      <c r="G877" s="132"/>
      <c r="H877" s="58"/>
      <c r="I877" s="58"/>
      <c r="J877" s="58"/>
      <c r="K877" s="58"/>
      <c r="L877" s="713"/>
      <c r="M877" s="501"/>
      <c r="N877" s="730"/>
      <c r="O877" s="501"/>
      <c r="P877" s="501"/>
      <c r="Q877" s="501"/>
      <c r="R877" s="58"/>
      <c r="S877" s="58"/>
      <c r="T877" s="501"/>
      <c r="U877" s="501"/>
      <c r="V877" s="501"/>
      <c r="W877" s="501"/>
      <c r="X877" s="501"/>
      <c r="Y877" s="58"/>
      <c r="Z877" s="58"/>
      <c r="AA877" s="58"/>
      <c r="AB877" s="501"/>
      <c r="AC877" s="501"/>
    </row>
    <row r="878" spans="1:29">
      <c r="A878" s="6"/>
      <c r="B878" s="58"/>
      <c r="D878" s="58"/>
      <c r="E878" s="574"/>
      <c r="F878" s="58"/>
      <c r="G878" s="132"/>
      <c r="H878" s="58"/>
      <c r="I878" s="539"/>
      <c r="J878" s="58"/>
      <c r="K878" s="58"/>
      <c r="L878" s="501"/>
      <c r="M878" s="534"/>
      <c r="N878" s="604"/>
      <c r="O878" s="501"/>
      <c r="P878" s="534"/>
      <c r="Q878" s="534"/>
      <c r="R878" s="58"/>
      <c r="S878" s="58"/>
      <c r="T878" s="501"/>
      <c r="U878" s="501"/>
      <c r="V878" s="501"/>
      <c r="W878" s="501"/>
      <c r="X878" s="501"/>
      <c r="Y878" s="58"/>
      <c r="Z878" s="58"/>
      <c r="AA878" s="58"/>
      <c r="AB878" s="501"/>
      <c r="AC878" s="501"/>
    </row>
    <row r="879" spans="1:29" ht="12.95">
      <c r="A879" s="6"/>
      <c r="B879" s="58"/>
      <c r="C879" s="9"/>
      <c r="D879" s="58"/>
      <c r="E879" s="128"/>
      <c r="F879" s="58"/>
      <c r="G879" s="575"/>
      <c r="H879" s="58"/>
      <c r="I879" s="58"/>
      <c r="J879" s="58"/>
      <c r="K879" s="58"/>
      <c r="L879" s="501"/>
      <c r="M879" s="534"/>
      <c r="N879" s="604"/>
      <c r="O879" s="501"/>
      <c r="P879" s="501"/>
      <c r="Q879" s="501"/>
      <c r="R879" s="58"/>
      <c r="S879" s="58"/>
      <c r="T879" s="501"/>
      <c r="U879" s="501"/>
      <c r="V879" s="501"/>
      <c r="W879" s="501"/>
      <c r="X879" s="501"/>
      <c r="Y879" s="58"/>
      <c r="Z879" s="58"/>
      <c r="AA879" s="58"/>
      <c r="AB879" s="501"/>
      <c r="AC879" s="501"/>
    </row>
    <row r="880" spans="1:29">
      <c r="A880" s="6"/>
      <c r="C880" s="10"/>
      <c r="E880" s="522"/>
      <c r="G880" s="29"/>
      <c r="L880" s="501"/>
      <c r="M880" s="534"/>
      <c r="N880" s="604"/>
      <c r="O880" s="501"/>
      <c r="P880" s="501"/>
      <c r="Q880" s="501"/>
      <c r="T880" s="501"/>
      <c r="U880" s="501"/>
      <c r="V880" s="501"/>
      <c r="W880" s="501"/>
      <c r="X880" s="501"/>
      <c r="AB880" s="501"/>
      <c r="AC880" s="501"/>
    </row>
    <row r="881" spans="1:29">
      <c r="C881" s="10"/>
      <c r="E881" s="30"/>
      <c r="G881" s="29"/>
      <c r="L881" s="501"/>
      <c r="M881" s="534"/>
      <c r="N881" s="604"/>
      <c r="O881" s="501"/>
      <c r="P881" s="501"/>
      <c r="Q881" s="501"/>
      <c r="T881" s="501"/>
      <c r="U881" s="501"/>
      <c r="V881" s="501"/>
      <c r="W881" s="501"/>
      <c r="X881" s="501"/>
      <c r="AB881" s="501"/>
      <c r="AC881" s="501"/>
    </row>
    <row r="882" spans="1:29">
      <c r="A882" s="6"/>
      <c r="B882" s="58"/>
      <c r="C882" s="12"/>
      <c r="D882" s="58"/>
      <c r="E882" s="522"/>
      <c r="F882" s="58"/>
      <c r="G882" s="29"/>
      <c r="H882" s="58"/>
      <c r="I882" s="58"/>
      <c r="J882" s="58"/>
      <c r="K882" s="58"/>
      <c r="L882" s="501"/>
      <c r="M882" s="501"/>
      <c r="N882" s="605"/>
      <c r="O882" s="501"/>
      <c r="P882" s="501"/>
      <c r="Q882" s="501"/>
      <c r="R882" s="58"/>
      <c r="S882" s="58"/>
      <c r="T882" s="501"/>
      <c r="U882" s="501"/>
      <c r="V882" s="501"/>
      <c r="W882" s="501"/>
      <c r="X882" s="501"/>
      <c r="Y882" s="58"/>
      <c r="Z882" s="58"/>
      <c r="AA882" s="58"/>
      <c r="AB882" s="501"/>
      <c r="AC882" s="501"/>
    </row>
    <row r="883" spans="1:29">
      <c r="A883" s="6"/>
      <c r="B883" s="58"/>
      <c r="C883" s="12"/>
      <c r="D883" s="58"/>
      <c r="E883" s="574"/>
      <c r="F883" s="58"/>
      <c r="G883" s="29"/>
      <c r="H883" s="58"/>
      <c r="I883" s="58"/>
      <c r="J883" s="58"/>
      <c r="K883" s="58"/>
      <c r="L883" s="713"/>
      <c r="M883" s="713"/>
      <c r="N883" s="605"/>
      <c r="O883" s="501"/>
      <c r="P883" s="501"/>
      <c r="Q883" s="501"/>
      <c r="R883" s="58"/>
      <c r="S883" s="58"/>
      <c r="T883" s="501"/>
      <c r="U883" s="501"/>
      <c r="V883" s="501"/>
      <c r="W883" s="501"/>
      <c r="X883" s="501"/>
      <c r="Y883" s="58"/>
      <c r="Z883" s="58"/>
      <c r="AA883" s="58"/>
      <c r="AB883" s="501"/>
      <c r="AC883" s="501"/>
    </row>
    <row r="884" spans="1:29">
      <c r="A884" s="6"/>
      <c r="B884" s="58"/>
      <c r="C884" s="12"/>
      <c r="D884" s="58"/>
      <c r="E884" s="522"/>
      <c r="F884" s="58"/>
      <c r="G884" s="29"/>
      <c r="H884" s="58"/>
      <c r="I884" s="58"/>
      <c r="J884" s="58"/>
      <c r="K884" s="58"/>
      <c r="L884" s="501"/>
      <c r="M884" s="534"/>
      <c r="N884" s="604"/>
      <c r="O884" s="501"/>
      <c r="P884" s="534"/>
      <c r="Q884" s="534"/>
      <c r="R884" s="58"/>
      <c r="S884" s="58"/>
      <c r="T884" s="501"/>
      <c r="U884" s="501"/>
      <c r="V884" s="501"/>
      <c r="W884" s="501"/>
      <c r="X884" s="501"/>
      <c r="Y884" s="58"/>
      <c r="Z884" s="58"/>
      <c r="AA884" s="58"/>
      <c r="AB884" s="501"/>
      <c r="AC884" s="501"/>
    </row>
    <row r="885" spans="1:29">
      <c r="A885" s="6"/>
      <c r="B885" s="58"/>
      <c r="C885" s="10"/>
      <c r="D885" s="58"/>
      <c r="E885" s="30"/>
      <c r="F885" s="58"/>
      <c r="G885" s="132"/>
      <c r="H885" s="58"/>
      <c r="I885" s="58"/>
      <c r="J885" s="58"/>
      <c r="K885" s="58"/>
      <c r="L885" s="501"/>
      <c r="M885" s="534"/>
      <c r="N885" s="604"/>
      <c r="O885" s="501"/>
      <c r="P885" s="501"/>
      <c r="Q885" s="501"/>
      <c r="R885" s="58"/>
      <c r="S885" s="58"/>
      <c r="T885" s="501"/>
      <c r="U885" s="501"/>
      <c r="V885" s="501"/>
      <c r="W885" s="501"/>
      <c r="X885" s="501"/>
      <c r="Y885" s="58"/>
      <c r="Z885" s="58"/>
      <c r="AA885" s="58"/>
      <c r="AB885" s="501"/>
      <c r="AC885" s="501"/>
    </row>
    <row r="886" spans="1:29">
      <c r="E886" s="30"/>
      <c r="G886" s="29"/>
      <c r="L886" s="501"/>
      <c r="M886" s="534"/>
      <c r="N886" s="604"/>
      <c r="O886" s="501"/>
      <c r="P886" s="501"/>
      <c r="Q886" s="501"/>
      <c r="T886" s="501"/>
      <c r="U886" s="501"/>
      <c r="V886" s="501"/>
      <c r="W886" s="501"/>
      <c r="X886" s="501"/>
      <c r="AB886" s="501"/>
      <c r="AC886" s="501"/>
    </row>
    <row r="887" spans="1:29">
      <c r="C887" s="521"/>
      <c r="E887" s="30"/>
      <c r="G887" s="29"/>
      <c r="L887" s="501"/>
      <c r="M887" s="534"/>
      <c r="N887" s="604"/>
      <c r="O887" s="501"/>
      <c r="P887" s="501"/>
      <c r="Q887" s="501"/>
      <c r="T887" s="501"/>
      <c r="U887" s="501"/>
      <c r="V887" s="501"/>
      <c r="W887" s="501"/>
      <c r="X887" s="501"/>
      <c r="AB887" s="501"/>
      <c r="AC887" s="501"/>
    </row>
    <row r="888" spans="1:29">
      <c r="C888" s="526"/>
      <c r="E888" s="30"/>
      <c r="G888" s="29"/>
      <c r="L888" s="501"/>
      <c r="M888" s="501"/>
      <c r="N888" s="605"/>
      <c r="O888" s="501"/>
      <c r="P888" s="501"/>
      <c r="Q888" s="501"/>
      <c r="T888" s="501"/>
      <c r="U888" s="501"/>
      <c r="V888" s="501"/>
      <c r="W888" s="501"/>
      <c r="X888" s="501"/>
      <c r="AB888" s="501"/>
      <c r="AC888" s="501"/>
    </row>
    <row r="889" spans="1:29">
      <c r="A889" s="6"/>
      <c r="C889" s="697"/>
      <c r="E889" s="30"/>
      <c r="G889" s="29"/>
      <c r="L889" s="713"/>
      <c r="M889" s="713"/>
      <c r="N889" s="605"/>
      <c r="O889" s="501"/>
      <c r="P889" s="501"/>
      <c r="Q889" s="501"/>
      <c r="T889" s="501"/>
      <c r="U889" s="501"/>
      <c r="V889" s="501"/>
      <c r="W889" s="501"/>
      <c r="X889" s="501"/>
      <c r="AB889" s="501"/>
      <c r="AC889" s="501"/>
    </row>
    <row r="890" spans="1:29">
      <c r="C890" s="526"/>
      <c r="E890" s="30"/>
      <c r="G890" s="29"/>
      <c r="L890" s="501"/>
      <c r="M890" s="534"/>
      <c r="N890" s="604"/>
      <c r="O890" s="501"/>
      <c r="P890" s="534"/>
      <c r="Q890" s="534"/>
      <c r="T890" s="501"/>
      <c r="U890" s="501"/>
      <c r="V890" s="501"/>
      <c r="W890" s="501"/>
      <c r="X890" s="501"/>
      <c r="AB890" s="501"/>
      <c r="AC890" s="501"/>
    </row>
    <row r="891" spans="1:29">
      <c r="A891" s="6"/>
      <c r="C891" s="697"/>
      <c r="E891" s="30"/>
      <c r="G891" s="29"/>
      <c r="L891" s="501"/>
      <c r="M891" s="534"/>
      <c r="N891" s="658"/>
      <c r="O891" s="501"/>
      <c r="P891" s="501"/>
      <c r="Q891" s="501"/>
      <c r="T891" s="501"/>
      <c r="U891" s="501"/>
      <c r="V891" s="501"/>
      <c r="W891" s="501"/>
      <c r="X891" s="501"/>
      <c r="AB891" s="501"/>
      <c r="AC891" s="501"/>
    </row>
    <row r="892" spans="1:29">
      <c r="A892" s="6"/>
      <c r="C892" s="697"/>
      <c r="E892" s="30"/>
      <c r="G892" s="29"/>
      <c r="L892" s="501"/>
      <c r="M892" s="534"/>
      <c r="N892" s="658"/>
      <c r="O892" s="501"/>
      <c r="P892" s="501"/>
      <c r="Q892" s="501"/>
      <c r="T892" s="501"/>
      <c r="U892" s="501"/>
      <c r="V892" s="501"/>
      <c r="W892" s="501"/>
      <c r="X892" s="501"/>
      <c r="AB892" s="501"/>
      <c r="AC892" s="501"/>
    </row>
    <row r="893" spans="1:29">
      <c r="A893" s="6"/>
      <c r="C893" s="697"/>
      <c r="E893" s="30"/>
      <c r="G893" s="29"/>
      <c r="L893" s="501"/>
      <c r="M893" s="534"/>
      <c r="N893" s="658"/>
      <c r="O893" s="501"/>
      <c r="P893" s="501"/>
      <c r="Q893" s="501"/>
      <c r="T893" s="501"/>
      <c r="U893" s="501"/>
      <c r="V893" s="501"/>
      <c r="W893" s="501"/>
      <c r="X893" s="501"/>
      <c r="AB893" s="501"/>
      <c r="AC893" s="501"/>
    </row>
    <row r="894" spans="1:29">
      <c r="A894" s="6"/>
      <c r="C894" s="697"/>
      <c r="E894" s="30"/>
      <c r="G894" s="29"/>
      <c r="L894" s="501"/>
      <c r="M894" s="501"/>
      <c r="N894" s="605"/>
      <c r="O894" s="501"/>
      <c r="P894" s="501"/>
      <c r="Q894" s="501"/>
      <c r="T894" s="501"/>
      <c r="U894" s="501"/>
      <c r="V894" s="501"/>
      <c r="W894" s="501"/>
      <c r="X894" s="501"/>
      <c r="AB894" s="501"/>
      <c r="AC894" s="501"/>
    </row>
    <row r="895" spans="1:29">
      <c r="C895" s="526"/>
      <c r="E895" s="30"/>
      <c r="G895" s="29"/>
      <c r="L895" s="713"/>
      <c r="M895" s="501"/>
      <c r="N895" s="605"/>
      <c r="O895" s="501"/>
      <c r="P895" s="501"/>
      <c r="Q895" s="501"/>
      <c r="T895" s="501"/>
      <c r="U895" s="501"/>
      <c r="V895" s="501"/>
      <c r="W895" s="501"/>
      <c r="X895" s="501"/>
      <c r="AB895" s="501"/>
      <c r="AC895" s="501"/>
    </row>
    <row r="896" spans="1:29">
      <c r="A896" s="6"/>
      <c r="C896" s="697"/>
      <c r="E896" s="30"/>
      <c r="G896" s="29"/>
      <c r="L896" s="713"/>
      <c r="M896" s="534"/>
      <c r="N896" s="604"/>
      <c r="O896" s="501"/>
      <c r="P896" s="501"/>
      <c r="Q896" s="501"/>
      <c r="T896" s="501"/>
      <c r="U896" s="501"/>
      <c r="V896" s="501"/>
      <c r="W896" s="501"/>
      <c r="X896" s="501"/>
      <c r="AB896" s="501"/>
      <c r="AC896" s="501"/>
    </row>
    <row r="897" spans="1:29">
      <c r="C897" s="521"/>
      <c r="E897" s="30"/>
      <c r="G897" s="29"/>
      <c r="L897" s="501"/>
      <c r="M897" s="534"/>
      <c r="N897" s="604"/>
      <c r="O897" s="501"/>
      <c r="P897" s="501"/>
      <c r="Q897" s="501"/>
      <c r="T897" s="501"/>
      <c r="U897" s="501"/>
      <c r="V897" s="501"/>
      <c r="W897" s="501"/>
      <c r="X897" s="501"/>
      <c r="AB897" s="501"/>
      <c r="AC897" s="501"/>
    </row>
    <row r="898" spans="1:29">
      <c r="A898" s="6"/>
      <c r="B898" s="58"/>
      <c r="C898" s="12"/>
      <c r="D898" s="58"/>
      <c r="E898" s="574"/>
      <c r="F898" s="58"/>
      <c r="G898" s="29"/>
      <c r="H898" s="58"/>
      <c r="I898" s="58"/>
      <c r="J898" s="58"/>
      <c r="K898" s="58"/>
      <c r="L898" s="501"/>
      <c r="M898" s="534"/>
      <c r="N898" s="604"/>
      <c r="O898" s="501"/>
      <c r="P898" s="501"/>
      <c r="Q898" s="501"/>
      <c r="R898" s="58"/>
      <c r="S898" s="58"/>
      <c r="T898" s="501"/>
      <c r="U898" s="501"/>
      <c r="V898" s="501"/>
      <c r="W898" s="501"/>
      <c r="X898" s="501"/>
      <c r="Y898" s="58"/>
      <c r="Z898" s="58"/>
      <c r="AA898" s="58"/>
      <c r="AB898" s="501"/>
      <c r="AC898" s="501"/>
    </row>
    <row r="899" spans="1:29">
      <c r="G899" s="129"/>
      <c r="L899" s="501"/>
      <c r="M899" s="501"/>
      <c r="N899" s="501"/>
      <c r="O899" s="501"/>
      <c r="P899" s="501"/>
      <c r="Q899" s="501"/>
      <c r="T899" s="501"/>
      <c r="U899" s="501"/>
      <c r="V899" s="501"/>
      <c r="W899" s="501"/>
      <c r="X899" s="501"/>
      <c r="AB899" s="501"/>
      <c r="AC899" s="501"/>
    </row>
    <row r="900" spans="1:29">
      <c r="A900" s="6"/>
      <c r="B900" s="58"/>
      <c r="C900" s="10"/>
      <c r="D900" s="58"/>
      <c r="E900" s="30"/>
      <c r="F900" s="58"/>
      <c r="G900" s="132"/>
      <c r="H900" s="58"/>
      <c r="I900" s="58"/>
      <c r="J900" s="58"/>
      <c r="K900" s="58"/>
      <c r="L900" s="501"/>
      <c r="M900" s="534"/>
      <c r="N900" s="501"/>
      <c r="O900" s="501"/>
      <c r="P900" s="501"/>
      <c r="Q900" s="501"/>
      <c r="R900" s="58"/>
      <c r="S900" s="58"/>
      <c r="T900" s="501"/>
      <c r="U900" s="501"/>
      <c r="V900" s="501"/>
      <c r="W900" s="501"/>
      <c r="X900" s="501"/>
      <c r="Y900" s="58"/>
      <c r="Z900" s="58"/>
      <c r="AA900" s="58"/>
      <c r="AB900" s="501"/>
      <c r="AC900" s="501"/>
    </row>
    <row r="901" spans="1:29">
      <c r="A901" s="6"/>
      <c r="B901" s="58"/>
      <c r="C901" s="10"/>
      <c r="D901" s="58"/>
      <c r="E901" s="30"/>
      <c r="F901" s="58"/>
      <c r="G901" s="29"/>
      <c r="H901" s="58"/>
      <c r="I901" s="58"/>
      <c r="J901" s="58"/>
      <c r="K901" s="58"/>
      <c r="L901" s="501"/>
      <c r="M901" s="501"/>
      <c r="N901" s="501"/>
      <c r="O901" s="501"/>
      <c r="P901" s="501"/>
      <c r="Q901" s="501"/>
      <c r="R901" s="58"/>
      <c r="S901" s="58"/>
      <c r="T901" s="501"/>
      <c r="U901" s="501"/>
      <c r="V901" s="501"/>
      <c r="W901" s="501"/>
      <c r="X901" s="501"/>
      <c r="Y901" s="58"/>
      <c r="Z901" s="58"/>
      <c r="AA901" s="58"/>
      <c r="AB901" s="501"/>
      <c r="AC901" s="501"/>
    </row>
    <row r="902" spans="1:29">
      <c r="A902" s="6"/>
      <c r="B902" s="58"/>
      <c r="C902" s="10"/>
      <c r="D902" s="58"/>
      <c r="E902" s="30"/>
      <c r="F902" s="58"/>
      <c r="G902" s="132"/>
      <c r="H902" s="58"/>
      <c r="I902" s="58"/>
      <c r="J902" s="58"/>
      <c r="K902" s="58"/>
      <c r="L902" s="501"/>
      <c r="M902" s="501"/>
      <c r="N902" s="501"/>
      <c r="O902" s="501"/>
      <c r="P902" s="501"/>
      <c r="Q902" s="501"/>
      <c r="R902" s="58"/>
      <c r="S902" s="58"/>
      <c r="T902" s="501"/>
      <c r="U902" s="501"/>
      <c r="V902" s="501"/>
      <c r="W902" s="501"/>
      <c r="X902" s="501"/>
      <c r="Y902" s="58"/>
      <c r="Z902" s="58"/>
      <c r="AA902" s="58"/>
      <c r="AB902" s="501"/>
      <c r="AC902" s="501"/>
    </row>
    <row r="903" spans="1:29">
      <c r="A903" s="6"/>
      <c r="B903" s="58"/>
      <c r="C903" s="10"/>
      <c r="D903" s="58"/>
      <c r="E903" s="30"/>
      <c r="F903" s="58"/>
      <c r="G903" s="132"/>
      <c r="H903" s="58"/>
      <c r="I903" s="58"/>
      <c r="J903" s="58"/>
      <c r="K903" s="58"/>
      <c r="L903" s="501"/>
      <c r="M903" s="501"/>
      <c r="N903" s="501"/>
      <c r="O903" s="501"/>
      <c r="P903" s="501"/>
      <c r="Q903" s="501"/>
      <c r="R903" s="58"/>
      <c r="S903" s="58"/>
      <c r="T903" s="501"/>
      <c r="U903" s="501"/>
      <c r="V903" s="501"/>
      <c r="W903" s="501"/>
      <c r="X903" s="501"/>
      <c r="Y903" s="58"/>
      <c r="Z903" s="58"/>
      <c r="AA903" s="58"/>
      <c r="AB903" s="501"/>
      <c r="AC903" s="501"/>
    </row>
    <row r="904" spans="1:29">
      <c r="A904" s="6"/>
      <c r="B904" s="58"/>
      <c r="C904" s="501"/>
      <c r="D904" s="58"/>
      <c r="F904" s="58"/>
      <c r="G904" s="129"/>
      <c r="H904" s="58"/>
      <c r="I904" s="58"/>
      <c r="J904" s="58"/>
      <c r="K904" s="58"/>
      <c r="L904" s="501"/>
      <c r="M904" s="501"/>
      <c r="N904" s="501"/>
      <c r="O904" s="501"/>
      <c r="P904" s="501"/>
      <c r="Q904" s="501"/>
      <c r="R904" s="58"/>
      <c r="S904" s="58"/>
      <c r="T904" s="501"/>
      <c r="U904" s="501"/>
      <c r="V904" s="501"/>
      <c r="W904" s="501"/>
      <c r="X904" s="501"/>
      <c r="Y904" s="58"/>
      <c r="Z904" s="58"/>
      <c r="AA904" s="58"/>
      <c r="AB904" s="501"/>
      <c r="AC904" s="501"/>
    </row>
    <row r="905" spans="1:29">
      <c r="A905" s="6"/>
      <c r="B905" s="58"/>
      <c r="D905" s="58"/>
      <c r="E905" s="574"/>
      <c r="F905" s="58"/>
      <c r="G905" s="132"/>
      <c r="H905" s="58"/>
      <c r="I905" s="58"/>
      <c r="J905" s="58"/>
      <c r="K905" s="58"/>
      <c r="L905" s="501"/>
      <c r="M905" s="501"/>
      <c r="N905" s="501"/>
      <c r="O905" s="501"/>
      <c r="P905" s="501"/>
      <c r="Q905" s="501"/>
      <c r="R905" s="58"/>
      <c r="S905" s="58"/>
      <c r="T905" s="501"/>
      <c r="U905" s="501"/>
      <c r="V905" s="501"/>
      <c r="W905" s="501"/>
      <c r="X905" s="501"/>
      <c r="Y905" s="58"/>
      <c r="Z905" s="58"/>
      <c r="AA905" s="58"/>
      <c r="AB905" s="501"/>
      <c r="AC905" s="501"/>
    </row>
    <row r="906" spans="1:29">
      <c r="A906" s="6"/>
      <c r="B906" s="58"/>
      <c r="D906" s="58"/>
      <c r="E906" s="574"/>
      <c r="F906" s="58"/>
      <c r="G906" s="132"/>
      <c r="H906" s="58"/>
      <c r="I906" s="58"/>
      <c r="J906" s="58"/>
      <c r="K906" s="58"/>
      <c r="L906" s="501"/>
      <c r="M906" s="501"/>
      <c r="N906" s="501"/>
      <c r="O906" s="501"/>
      <c r="P906" s="501"/>
      <c r="Q906" s="501"/>
      <c r="R906" s="58"/>
      <c r="S906" s="58"/>
      <c r="T906" s="501"/>
      <c r="U906" s="501"/>
      <c r="V906" s="501"/>
      <c r="W906" s="501"/>
      <c r="X906" s="501"/>
      <c r="Y906" s="58"/>
      <c r="Z906" s="58"/>
      <c r="AA906" s="58"/>
      <c r="AB906" s="501"/>
      <c r="AC906" s="501"/>
    </row>
    <row r="907" spans="1:29">
      <c r="A907" s="581"/>
      <c r="B907" s="4"/>
      <c r="C907" s="4"/>
      <c r="D907" s="4"/>
      <c r="E907" s="4"/>
      <c r="F907" s="4"/>
      <c r="G907" s="4"/>
      <c r="H907" s="4"/>
      <c r="I907" s="4"/>
      <c r="J907" s="4"/>
      <c r="K907" s="4"/>
      <c r="L907" s="501"/>
      <c r="M907" s="501"/>
      <c r="N907" s="501"/>
      <c r="O907" s="501"/>
      <c r="P907" s="501"/>
      <c r="Q907" s="501"/>
      <c r="R907" s="4"/>
      <c r="S907" s="4"/>
      <c r="T907" s="501"/>
      <c r="U907" s="501"/>
      <c r="V907" s="501"/>
      <c r="W907" s="501"/>
      <c r="X907" s="501"/>
      <c r="Y907" s="4"/>
      <c r="Z907" s="4"/>
      <c r="AA907" s="4"/>
      <c r="AB907" s="501"/>
      <c r="AC907" s="501"/>
    </row>
    <row r="908" spans="1:29">
      <c r="A908" s="731"/>
      <c r="B908" s="581"/>
      <c r="C908" s="581"/>
      <c r="D908" s="581"/>
      <c r="E908" s="581"/>
      <c r="F908" s="581"/>
      <c r="G908" s="581"/>
      <c r="H908" s="581"/>
      <c r="I908" s="581"/>
      <c r="J908" s="581"/>
      <c r="K908" s="581"/>
      <c r="L908" s="501"/>
      <c r="M908" s="501"/>
      <c r="N908" s="501"/>
      <c r="O908" s="501"/>
      <c r="P908" s="501"/>
      <c r="Q908" s="501"/>
      <c r="R908" s="581"/>
      <c r="S908" s="581"/>
      <c r="T908" s="501"/>
      <c r="U908" s="501"/>
      <c r="V908" s="501"/>
      <c r="W908" s="501"/>
      <c r="X908" s="501"/>
      <c r="Y908" s="581"/>
      <c r="Z908" s="581"/>
      <c r="AA908" s="581"/>
      <c r="AB908" s="501"/>
      <c r="AC908" s="501"/>
    </row>
    <row r="909" spans="1:29">
      <c r="B909" s="57"/>
      <c r="D909" s="57"/>
      <c r="E909" s="3"/>
      <c r="F909" s="57"/>
      <c r="H909" s="57"/>
      <c r="I909" s="57"/>
      <c r="J909" s="57"/>
      <c r="K909" s="57"/>
      <c r="L909" s="501"/>
      <c r="M909" s="501"/>
      <c r="N909" s="501"/>
      <c r="O909" s="501"/>
      <c r="P909" s="501"/>
      <c r="Q909" s="501"/>
      <c r="R909" s="57"/>
      <c r="S909" s="57"/>
      <c r="T909" s="501"/>
      <c r="U909" s="501"/>
      <c r="V909" s="501"/>
      <c r="W909" s="501"/>
      <c r="X909" s="501"/>
      <c r="Y909" s="57"/>
      <c r="Z909" s="57"/>
      <c r="AA909" s="57"/>
      <c r="AB909" s="501"/>
      <c r="AC909" s="501"/>
    </row>
    <row r="910" spans="1:29">
      <c r="A910" s="3"/>
      <c r="B910" s="3"/>
      <c r="C910" s="3"/>
      <c r="D910" s="3"/>
      <c r="E910" s="57"/>
      <c r="F910" s="3"/>
      <c r="G910" s="57"/>
      <c r="H910" s="3"/>
      <c r="I910" s="3"/>
      <c r="J910" s="3"/>
      <c r="K910" s="3"/>
      <c r="L910" s="501"/>
      <c r="M910" s="501"/>
      <c r="N910" s="501"/>
      <c r="O910" s="501"/>
      <c r="P910" s="501"/>
      <c r="Q910" s="501"/>
      <c r="R910" s="3"/>
      <c r="S910" s="3"/>
      <c r="T910" s="501"/>
      <c r="U910" s="501"/>
      <c r="V910" s="501"/>
      <c r="W910" s="501"/>
      <c r="X910" s="501"/>
      <c r="Y910" s="3"/>
      <c r="Z910" s="3"/>
      <c r="AA910" s="3"/>
      <c r="AB910" s="501"/>
      <c r="AC910" s="501"/>
    </row>
    <row r="911" spans="1:29">
      <c r="A911" s="5"/>
      <c r="B911" s="5"/>
      <c r="C911" s="5"/>
      <c r="D911" s="5"/>
      <c r="E911" s="6"/>
      <c r="F911" s="5"/>
      <c r="G911" s="17"/>
      <c r="H911" s="5"/>
      <c r="I911" s="5"/>
      <c r="J911" s="5"/>
      <c r="K911" s="5"/>
      <c r="L911" s="501"/>
      <c r="M911" s="501"/>
      <c r="N911" s="501"/>
      <c r="O911" s="501"/>
      <c r="P911" s="501"/>
      <c r="Q911" s="501"/>
      <c r="R911" s="5"/>
      <c r="S911" s="5"/>
      <c r="T911" s="501"/>
      <c r="U911" s="501"/>
      <c r="V911" s="501"/>
      <c r="W911" s="501"/>
      <c r="X911" s="501"/>
      <c r="Y911" s="5"/>
      <c r="Z911" s="5"/>
      <c r="AA911" s="5"/>
      <c r="AB911" s="501"/>
      <c r="AC911" s="501"/>
    </row>
    <row r="912" spans="1:29">
      <c r="A912" s="6"/>
      <c r="B912" s="58"/>
      <c r="C912" s="58"/>
      <c r="D912" s="58"/>
      <c r="E912" s="6"/>
      <c r="F912" s="58"/>
      <c r="G912" s="6"/>
      <c r="H912" s="58"/>
      <c r="I912" s="58"/>
      <c r="J912" s="58"/>
      <c r="K912" s="58"/>
      <c r="L912" s="501"/>
      <c r="M912" s="501"/>
      <c r="N912" s="501"/>
      <c r="O912" s="501"/>
      <c r="P912" s="501"/>
      <c r="Q912" s="501"/>
      <c r="R912" s="58"/>
      <c r="S912" s="58"/>
      <c r="T912" s="501"/>
      <c r="U912" s="501"/>
      <c r="V912" s="501"/>
      <c r="W912" s="501"/>
      <c r="X912" s="501"/>
      <c r="Y912" s="58"/>
      <c r="Z912" s="58"/>
      <c r="AA912" s="58"/>
      <c r="AB912" s="501"/>
      <c r="AC912" s="501"/>
    </row>
    <row r="913" spans="1:29">
      <c r="A913" s="6"/>
      <c r="B913" s="58"/>
      <c r="C913" s="58"/>
      <c r="D913" s="58"/>
      <c r="E913" s="6"/>
      <c r="F913" s="58"/>
      <c r="G913" s="6"/>
      <c r="H913" s="58"/>
      <c r="I913" s="58"/>
      <c r="J913" s="58"/>
      <c r="K913" s="58"/>
      <c r="L913" s="501"/>
      <c r="M913" s="501"/>
      <c r="N913" s="501"/>
      <c r="O913" s="501"/>
      <c r="P913" s="501"/>
      <c r="Q913" s="501"/>
      <c r="R913" s="58"/>
      <c r="S913" s="58"/>
      <c r="T913" s="501"/>
      <c r="U913" s="501"/>
      <c r="V913" s="501"/>
      <c r="W913" s="501"/>
      <c r="X913" s="501"/>
      <c r="Y913" s="58"/>
      <c r="Z913" s="58"/>
      <c r="AA913" s="58"/>
      <c r="AB913" s="501"/>
      <c r="AC913" s="501"/>
    </row>
    <row r="914" spans="1:29">
      <c r="C914" s="652"/>
      <c r="G914" s="129"/>
      <c r="L914" s="501"/>
      <c r="M914" s="501"/>
      <c r="N914" s="501"/>
      <c r="O914" s="501"/>
      <c r="P914" s="501"/>
      <c r="Q914" s="501"/>
      <c r="T914" s="501"/>
      <c r="U914" s="501"/>
      <c r="V914" s="501"/>
      <c r="W914" s="501"/>
      <c r="X914" s="501"/>
      <c r="AB914" s="501"/>
      <c r="AC914" s="501"/>
    </row>
    <row r="915" spans="1:29">
      <c r="C915" s="9"/>
      <c r="G915" s="129"/>
      <c r="L915" s="501"/>
      <c r="M915" s="501"/>
      <c r="N915" s="501"/>
      <c r="O915" s="501"/>
      <c r="P915" s="501"/>
      <c r="Q915" s="501"/>
      <c r="T915" s="501"/>
      <c r="U915" s="501"/>
      <c r="V915" s="501"/>
      <c r="W915" s="501"/>
      <c r="X915" s="501"/>
      <c r="AB915" s="501"/>
      <c r="AC915" s="501"/>
    </row>
    <row r="916" spans="1:29">
      <c r="A916" s="6"/>
      <c r="C916" s="521"/>
      <c r="G916" s="129"/>
      <c r="L916" s="501"/>
      <c r="M916" s="501"/>
      <c r="N916" s="501"/>
      <c r="O916" s="501"/>
      <c r="P916" s="501"/>
      <c r="Q916" s="501"/>
      <c r="T916" s="501"/>
      <c r="U916" s="501"/>
      <c r="V916" s="501"/>
      <c r="W916" s="501"/>
      <c r="X916" s="501"/>
      <c r="AB916" s="501"/>
      <c r="AC916" s="501"/>
    </row>
    <row r="917" spans="1:29">
      <c r="A917" s="6"/>
      <c r="C917" s="705"/>
      <c r="E917" s="522"/>
      <c r="G917" s="29"/>
      <c r="L917" s="501"/>
      <c r="M917" s="501"/>
      <c r="N917" s="501"/>
      <c r="O917" s="501"/>
      <c r="P917" s="501"/>
      <c r="Q917" s="501"/>
      <c r="T917" s="501"/>
      <c r="U917" s="501"/>
      <c r="V917" s="501"/>
      <c r="W917" s="501"/>
      <c r="X917" s="501"/>
      <c r="AB917" s="501"/>
      <c r="AC917" s="501"/>
    </row>
    <row r="918" spans="1:29">
      <c r="A918" s="6"/>
      <c r="C918" s="705"/>
      <c r="E918" s="522"/>
      <c r="G918" s="29"/>
      <c r="L918" s="501"/>
      <c r="M918" s="501"/>
      <c r="N918" s="501"/>
      <c r="O918" s="501"/>
      <c r="P918" s="501"/>
      <c r="Q918" s="501"/>
      <c r="T918" s="501"/>
      <c r="U918" s="501"/>
      <c r="V918" s="501"/>
      <c r="W918" s="501"/>
      <c r="X918" s="501"/>
      <c r="AB918" s="501"/>
      <c r="AC918" s="501"/>
    </row>
    <row r="919" spans="1:29">
      <c r="G919" s="129"/>
      <c r="L919" s="501"/>
      <c r="M919" s="501"/>
      <c r="N919" s="501"/>
      <c r="O919" s="501"/>
      <c r="P919" s="501"/>
      <c r="Q919" s="501"/>
      <c r="T919" s="501"/>
      <c r="U919" s="501"/>
      <c r="V919" s="501"/>
      <c r="W919" s="501"/>
      <c r="X919" s="501"/>
      <c r="AB919" s="501"/>
      <c r="AC919" s="501"/>
    </row>
    <row r="920" spans="1:29">
      <c r="A920" s="6"/>
      <c r="C920" s="501"/>
      <c r="E920" s="501"/>
      <c r="G920" s="132"/>
      <c r="L920" s="501"/>
      <c r="M920" s="501"/>
      <c r="N920" s="501"/>
      <c r="O920" s="501"/>
      <c r="P920" s="501"/>
      <c r="Q920" s="501"/>
      <c r="T920" s="501"/>
      <c r="U920" s="501"/>
      <c r="V920" s="501"/>
      <c r="W920" s="501"/>
      <c r="X920" s="501"/>
      <c r="AB920" s="501"/>
      <c r="AC920" s="501"/>
    </row>
    <row r="921" spans="1:29" ht="12.95">
      <c r="C921" s="732"/>
      <c r="G921" s="129"/>
      <c r="L921" s="501"/>
      <c r="M921" s="501"/>
      <c r="N921" s="501"/>
      <c r="O921" s="501"/>
      <c r="P921" s="501"/>
      <c r="Q921" s="501"/>
      <c r="T921" s="501"/>
      <c r="U921" s="501"/>
      <c r="V921" s="501"/>
      <c r="W921" s="501"/>
      <c r="X921" s="501"/>
      <c r="AB921" s="501"/>
      <c r="AC921" s="501"/>
    </row>
    <row r="922" spans="1:29">
      <c r="C922" s="9"/>
      <c r="G922" s="129"/>
      <c r="L922" s="501"/>
      <c r="M922" s="501"/>
      <c r="N922" s="501"/>
      <c r="O922" s="501"/>
      <c r="P922" s="501"/>
      <c r="Q922" s="501"/>
      <c r="T922" s="501"/>
      <c r="U922" s="501"/>
      <c r="V922" s="501"/>
      <c r="W922" s="501"/>
      <c r="X922" s="501"/>
      <c r="AB922" s="501"/>
      <c r="AC922" s="501"/>
    </row>
    <row r="923" spans="1:29">
      <c r="A923" s="6"/>
      <c r="C923" s="521"/>
      <c r="G923" s="129"/>
      <c r="L923" s="501"/>
      <c r="M923" s="501"/>
      <c r="N923" s="501"/>
      <c r="O923" s="501"/>
      <c r="P923" s="501"/>
      <c r="Q923" s="501"/>
      <c r="T923" s="501"/>
      <c r="U923" s="501"/>
      <c r="V923" s="501"/>
      <c r="W923" s="501"/>
      <c r="X923" s="501"/>
      <c r="AB923" s="501"/>
      <c r="AC923" s="501"/>
    </row>
    <row r="924" spans="1:29">
      <c r="A924" s="6"/>
      <c r="C924" s="711"/>
      <c r="E924" s="522"/>
      <c r="G924" s="568"/>
      <c r="L924" s="501"/>
      <c r="M924" s="501"/>
      <c r="N924" s="501"/>
      <c r="O924" s="501"/>
      <c r="P924" s="501"/>
      <c r="Q924" s="501"/>
      <c r="T924" s="501"/>
      <c r="U924" s="501"/>
      <c r="V924" s="501"/>
      <c r="W924" s="501"/>
      <c r="X924" s="501"/>
      <c r="AB924" s="501"/>
      <c r="AC924" s="501"/>
    </row>
    <row r="925" spans="1:29">
      <c r="A925" s="6"/>
      <c r="C925" s="521"/>
      <c r="E925" s="522"/>
      <c r="G925" s="129"/>
      <c r="L925" s="501"/>
      <c r="M925" s="501"/>
      <c r="N925" s="501"/>
      <c r="O925" s="501"/>
      <c r="P925" s="501"/>
      <c r="Q925" s="501"/>
      <c r="T925" s="501"/>
      <c r="U925" s="501"/>
      <c r="V925" s="501"/>
      <c r="W925" s="501"/>
      <c r="X925" s="501"/>
      <c r="AB925" s="501"/>
      <c r="AC925" s="501"/>
    </row>
    <row r="926" spans="1:29">
      <c r="A926" s="6"/>
      <c r="C926" s="521"/>
      <c r="E926" s="522"/>
      <c r="G926" s="568"/>
      <c r="L926" s="501"/>
      <c r="M926" s="501"/>
      <c r="N926" s="501"/>
      <c r="O926" s="501"/>
      <c r="P926" s="501"/>
      <c r="Q926" s="501"/>
      <c r="T926" s="501"/>
      <c r="U926" s="501"/>
      <c r="V926" s="501"/>
      <c r="W926" s="501"/>
      <c r="X926" s="501"/>
      <c r="AB926" s="501"/>
      <c r="AC926" s="501"/>
    </row>
    <row r="927" spans="1:29">
      <c r="A927" s="6"/>
      <c r="C927" s="501"/>
      <c r="G927" s="129"/>
      <c r="L927" s="501"/>
      <c r="M927" s="501"/>
      <c r="N927" s="501"/>
      <c r="O927" s="501"/>
      <c r="P927" s="501"/>
      <c r="Q927" s="501"/>
      <c r="T927" s="501"/>
      <c r="U927" s="501"/>
      <c r="V927" s="501"/>
      <c r="W927" s="501"/>
      <c r="X927" s="501"/>
      <c r="AB927" s="501"/>
      <c r="AC927" s="501"/>
    </row>
    <row r="928" spans="1:29">
      <c r="A928" s="6"/>
      <c r="C928" s="501"/>
      <c r="G928" s="132"/>
      <c r="L928" s="501"/>
      <c r="M928" s="501"/>
      <c r="N928" s="501"/>
      <c r="O928" s="501"/>
      <c r="P928" s="501"/>
      <c r="Q928" s="501"/>
      <c r="T928" s="501"/>
      <c r="U928" s="501"/>
      <c r="V928" s="501"/>
      <c r="W928" s="501"/>
      <c r="X928" s="501"/>
      <c r="AB928" s="501"/>
      <c r="AC928" s="501"/>
    </row>
    <row r="929" spans="1:29">
      <c r="A929" s="6"/>
      <c r="C929" s="501"/>
      <c r="G929" s="132"/>
      <c r="L929" s="501"/>
      <c r="M929" s="501"/>
      <c r="N929" s="501"/>
      <c r="O929" s="501"/>
      <c r="P929" s="501"/>
      <c r="Q929" s="501"/>
      <c r="T929" s="501"/>
      <c r="U929" s="501"/>
      <c r="V929" s="501"/>
      <c r="W929" s="501"/>
      <c r="X929" s="501"/>
      <c r="AB929" s="501"/>
      <c r="AC929" s="501"/>
    </row>
    <row r="930" spans="1:29">
      <c r="A930" s="6"/>
      <c r="C930" s="713"/>
      <c r="G930" s="132"/>
      <c r="L930" s="501"/>
      <c r="M930" s="501"/>
      <c r="N930" s="501"/>
      <c r="O930" s="501"/>
      <c r="P930" s="501"/>
      <c r="Q930" s="501"/>
      <c r="T930" s="501"/>
      <c r="U930" s="501"/>
      <c r="V930" s="501"/>
      <c r="W930" s="501"/>
      <c r="X930" s="501"/>
      <c r="AB930" s="501"/>
      <c r="AC930" s="501"/>
    </row>
    <row r="931" spans="1:29">
      <c r="A931" s="6"/>
      <c r="C931" s="521"/>
      <c r="E931" s="501"/>
      <c r="G931" s="29"/>
      <c r="L931" s="501"/>
      <c r="M931" s="501"/>
      <c r="N931" s="501"/>
      <c r="O931" s="501"/>
      <c r="P931" s="501"/>
      <c r="Q931" s="501"/>
      <c r="T931" s="501"/>
      <c r="U931" s="501"/>
      <c r="V931" s="501"/>
      <c r="W931" s="501"/>
      <c r="X931" s="501"/>
      <c r="AB931" s="501"/>
      <c r="AC931" s="501"/>
    </row>
    <row r="932" spans="1:29">
      <c r="L932" s="501"/>
      <c r="M932" s="501"/>
      <c r="N932" s="501"/>
      <c r="O932" s="501"/>
      <c r="P932" s="501"/>
      <c r="Q932" s="501"/>
      <c r="T932" s="501"/>
      <c r="U932" s="501"/>
      <c r="V932" s="501"/>
      <c r="W932" s="501"/>
      <c r="X932" s="501"/>
      <c r="AB932" s="501"/>
      <c r="AC932" s="501"/>
    </row>
    <row r="933" spans="1:29">
      <c r="C933" s="9"/>
      <c r="G933" s="129"/>
      <c r="L933" s="501"/>
      <c r="M933" s="501"/>
      <c r="N933" s="501"/>
      <c r="O933" s="501"/>
      <c r="P933" s="501"/>
      <c r="Q933" s="501"/>
      <c r="T933" s="501"/>
      <c r="U933" s="501"/>
      <c r="V933" s="501"/>
      <c r="W933" s="501"/>
      <c r="X933" s="501"/>
      <c r="AB933" s="501"/>
      <c r="AC933" s="501"/>
    </row>
    <row r="934" spans="1:29">
      <c r="C934" s="10"/>
      <c r="G934" s="129"/>
      <c r="L934" s="501"/>
      <c r="M934" s="501"/>
      <c r="N934" s="501"/>
      <c r="O934" s="501"/>
      <c r="P934" s="501"/>
      <c r="Q934" s="501"/>
      <c r="T934" s="501"/>
      <c r="U934" s="501"/>
      <c r="V934" s="501"/>
      <c r="W934" s="501"/>
      <c r="X934" s="501"/>
      <c r="AB934" s="501"/>
      <c r="AC934" s="501"/>
    </row>
    <row r="935" spans="1:29">
      <c r="A935" s="6"/>
      <c r="C935" s="12"/>
      <c r="E935" s="522"/>
      <c r="G935" s="29"/>
      <c r="L935" s="501"/>
      <c r="M935" s="501"/>
      <c r="N935" s="501"/>
      <c r="O935" s="501"/>
      <c r="P935" s="501"/>
      <c r="Q935" s="501"/>
      <c r="T935" s="501"/>
      <c r="U935" s="501"/>
      <c r="V935" s="501"/>
      <c r="W935" s="501"/>
      <c r="X935" s="501"/>
      <c r="AB935" s="501"/>
      <c r="AC935" s="501"/>
    </row>
    <row r="936" spans="1:29">
      <c r="A936" s="6"/>
      <c r="C936" s="714"/>
      <c r="E936" s="522"/>
      <c r="G936" s="29"/>
      <c r="L936" s="501"/>
      <c r="M936" s="501"/>
      <c r="N936" s="501"/>
      <c r="O936" s="501"/>
      <c r="P936" s="501"/>
      <c r="Q936" s="501"/>
      <c r="T936" s="501"/>
      <c r="U936" s="501"/>
      <c r="V936" s="501"/>
      <c r="W936" s="501"/>
      <c r="X936" s="501"/>
      <c r="AB936" s="501"/>
      <c r="AC936" s="501"/>
    </row>
    <row r="937" spans="1:29">
      <c r="A937" s="6"/>
      <c r="C937" s="12"/>
      <c r="E937" s="522"/>
      <c r="G937" s="29"/>
      <c r="L937" s="501"/>
      <c r="M937" s="501"/>
      <c r="N937" s="501"/>
      <c r="O937" s="501"/>
      <c r="P937" s="501"/>
      <c r="Q937" s="501"/>
      <c r="T937" s="501"/>
      <c r="U937" s="501"/>
      <c r="V937" s="501"/>
      <c r="W937" s="501"/>
      <c r="X937" s="501"/>
      <c r="AB937" s="501"/>
      <c r="AC937" s="501"/>
    </row>
    <row r="938" spans="1:29">
      <c r="A938" s="6"/>
      <c r="C938" s="714"/>
      <c r="E938" s="522"/>
      <c r="G938" s="29"/>
      <c r="L938" s="501"/>
      <c r="M938" s="501"/>
      <c r="N938" s="501"/>
      <c r="O938" s="501"/>
      <c r="P938" s="501"/>
      <c r="Q938" s="501"/>
      <c r="T938" s="501"/>
      <c r="U938" s="501"/>
      <c r="V938" s="501"/>
      <c r="W938" s="501"/>
      <c r="X938" s="501"/>
      <c r="AB938" s="501"/>
      <c r="AC938" s="501"/>
    </row>
    <row r="939" spans="1:29">
      <c r="A939" s="6"/>
      <c r="C939" s="526"/>
      <c r="E939" s="522"/>
      <c r="G939" s="29"/>
      <c r="L939" s="501"/>
      <c r="M939" s="501"/>
      <c r="N939" s="501"/>
      <c r="O939" s="501"/>
      <c r="P939" s="501"/>
      <c r="Q939" s="501"/>
      <c r="T939" s="501"/>
      <c r="U939" s="501"/>
      <c r="V939" s="501"/>
      <c r="W939" s="501"/>
      <c r="X939" s="501"/>
      <c r="AB939" s="501"/>
      <c r="AC939" s="501"/>
    </row>
    <row r="940" spans="1:29">
      <c r="A940" s="6"/>
      <c r="C940" s="12"/>
      <c r="L940" s="501"/>
      <c r="M940" s="501"/>
      <c r="N940" s="501"/>
      <c r="O940" s="501"/>
      <c r="P940" s="501"/>
      <c r="Q940" s="501"/>
      <c r="T940" s="501"/>
      <c r="U940" s="501"/>
      <c r="V940" s="501"/>
      <c r="W940" s="501"/>
      <c r="X940" s="501"/>
      <c r="AB940" s="501"/>
      <c r="AC940" s="501"/>
    </row>
    <row r="941" spans="1:29">
      <c r="A941" s="6"/>
      <c r="C941" s="714"/>
      <c r="E941" s="522"/>
      <c r="G941" s="29"/>
      <c r="L941" s="501"/>
      <c r="M941" s="501"/>
      <c r="N941" s="501"/>
      <c r="O941" s="501"/>
      <c r="P941" s="501"/>
      <c r="Q941" s="501"/>
      <c r="T941" s="501"/>
      <c r="U941" s="501"/>
      <c r="V941" s="501"/>
      <c r="W941" s="501"/>
      <c r="X941" s="501"/>
      <c r="AB941" s="501"/>
      <c r="AC941" s="501"/>
    </row>
    <row r="942" spans="1:29">
      <c r="A942" s="6"/>
      <c r="C942" s="10"/>
      <c r="G942" s="129"/>
      <c r="L942" s="501"/>
      <c r="M942" s="501"/>
      <c r="N942" s="501"/>
      <c r="O942" s="501"/>
      <c r="P942" s="501"/>
      <c r="Q942" s="501"/>
      <c r="T942" s="501"/>
      <c r="U942" s="501"/>
      <c r="V942" s="501"/>
      <c r="W942" s="501"/>
      <c r="X942" s="501"/>
      <c r="AB942" s="501"/>
      <c r="AC942" s="501"/>
    </row>
    <row r="943" spans="1:29">
      <c r="A943" s="6"/>
      <c r="C943" s="521"/>
      <c r="G943" s="129"/>
      <c r="L943" s="501"/>
      <c r="M943" s="501"/>
      <c r="N943" s="501"/>
      <c r="O943" s="501"/>
      <c r="P943" s="501"/>
      <c r="Q943" s="501"/>
      <c r="T943" s="501"/>
      <c r="U943" s="501"/>
      <c r="V943" s="501"/>
      <c r="W943" s="501"/>
      <c r="X943" s="501"/>
      <c r="AB943" s="501"/>
      <c r="AC943" s="501"/>
    </row>
    <row r="944" spans="1:29">
      <c r="A944" s="6"/>
      <c r="C944" s="12"/>
      <c r="E944" s="522"/>
      <c r="G944" s="29"/>
      <c r="L944" s="501"/>
      <c r="M944" s="501"/>
      <c r="N944" s="501"/>
      <c r="O944" s="501"/>
      <c r="P944" s="501"/>
      <c r="Q944" s="501"/>
      <c r="T944" s="501"/>
      <c r="U944" s="501"/>
      <c r="V944" s="501"/>
      <c r="W944" s="501"/>
      <c r="X944" s="501"/>
      <c r="AB944" s="501"/>
      <c r="AC944" s="501"/>
    </row>
    <row r="945" spans="1:29">
      <c r="A945" s="6"/>
      <c r="C945" s="12"/>
      <c r="E945" s="522"/>
      <c r="G945" s="29"/>
      <c r="L945" s="501"/>
      <c r="M945" s="501"/>
      <c r="N945" s="501"/>
      <c r="O945" s="501"/>
      <c r="P945" s="501"/>
      <c r="Q945" s="501"/>
      <c r="T945" s="501"/>
      <c r="U945" s="501"/>
      <c r="V945" s="501"/>
      <c r="W945" s="501"/>
      <c r="X945" s="501"/>
      <c r="AB945" s="501"/>
      <c r="AC945" s="501"/>
    </row>
    <row r="946" spans="1:29">
      <c r="A946" s="6"/>
      <c r="C946" s="12"/>
      <c r="E946" s="522"/>
      <c r="G946" s="29"/>
      <c r="L946" s="501"/>
      <c r="M946" s="501"/>
      <c r="N946" s="501"/>
      <c r="O946" s="501"/>
      <c r="P946" s="501"/>
      <c r="Q946" s="501"/>
      <c r="T946" s="501"/>
      <c r="U946" s="501"/>
      <c r="V946" s="501"/>
      <c r="W946" s="501"/>
      <c r="X946" s="501"/>
      <c r="AB946" s="501"/>
      <c r="AC946" s="501"/>
    </row>
    <row r="947" spans="1:29">
      <c r="A947" s="6"/>
      <c r="C947" s="12"/>
      <c r="E947" s="522"/>
      <c r="G947" s="29"/>
      <c r="L947" s="501"/>
      <c r="M947" s="501"/>
      <c r="N947" s="501"/>
      <c r="O947" s="501"/>
      <c r="P947" s="501"/>
      <c r="Q947" s="501"/>
      <c r="T947" s="501"/>
      <c r="U947" s="501"/>
      <c r="V947" s="501"/>
      <c r="W947" s="501"/>
      <c r="X947" s="501"/>
      <c r="AB947" s="501"/>
      <c r="AC947" s="501"/>
    </row>
    <row r="948" spans="1:29">
      <c r="A948" s="6"/>
      <c r="C948" s="12"/>
      <c r="E948" s="522"/>
      <c r="G948" s="29"/>
      <c r="L948" s="501"/>
      <c r="M948" s="501"/>
      <c r="N948" s="501"/>
      <c r="O948" s="501"/>
      <c r="P948" s="501"/>
      <c r="Q948" s="501"/>
      <c r="T948" s="501"/>
      <c r="U948" s="501"/>
      <c r="V948" s="501"/>
      <c r="W948" s="501"/>
      <c r="X948" s="501"/>
      <c r="AB948" s="501"/>
      <c r="AC948" s="501"/>
    </row>
    <row r="949" spans="1:29">
      <c r="A949" s="6"/>
      <c r="C949" s="718"/>
      <c r="E949" s="522"/>
      <c r="G949" s="29"/>
      <c r="L949" s="501"/>
      <c r="M949" s="501"/>
      <c r="N949" s="501"/>
      <c r="O949" s="501"/>
      <c r="P949" s="501"/>
      <c r="Q949" s="501"/>
      <c r="T949" s="501"/>
      <c r="U949" s="501"/>
      <c r="V949" s="501"/>
      <c r="W949" s="501"/>
      <c r="X949" s="501"/>
      <c r="AB949" s="501"/>
      <c r="AC949" s="501"/>
    </row>
    <row r="950" spans="1:29">
      <c r="C950" s="521"/>
      <c r="G950" s="129"/>
      <c r="L950" s="501"/>
      <c r="M950" s="501"/>
      <c r="N950" s="501"/>
      <c r="O950" s="501"/>
      <c r="P950" s="501"/>
      <c r="Q950" s="501"/>
      <c r="T950" s="501"/>
      <c r="U950" s="501"/>
      <c r="V950" s="501"/>
      <c r="W950" s="501"/>
      <c r="X950" s="501"/>
      <c r="AB950" s="501"/>
      <c r="AC950" s="501"/>
    </row>
    <row r="951" spans="1:29">
      <c r="A951" s="6"/>
      <c r="C951" s="12"/>
      <c r="E951" s="522"/>
      <c r="G951" s="29"/>
      <c r="L951" s="501"/>
      <c r="M951" s="501"/>
      <c r="N951" s="501"/>
      <c r="O951" s="501"/>
      <c r="P951" s="501"/>
      <c r="Q951" s="501"/>
      <c r="T951" s="501"/>
      <c r="U951" s="501"/>
      <c r="V951" s="501"/>
      <c r="W951" s="501"/>
      <c r="X951" s="501"/>
      <c r="AB951" s="501"/>
      <c r="AC951" s="501"/>
    </row>
    <row r="952" spans="1:29">
      <c r="A952" s="6"/>
      <c r="C952" s="12"/>
      <c r="E952" s="522"/>
      <c r="G952" s="29"/>
      <c r="L952" s="501"/>
      <c r="M952" s="501"/>
      <c r="N952" s="501"/>
      <c r="O952" s="501"/>
      <c r="P952" s="501"/>
      <c r="Q952" s="501"/>
      <c r="T952" s="501"/>
      <c r="U952" s="501"/>
      <c r="V952" s="501"/>
      <c r="W952" s="501"/>
      <c r="X952" s="501"/>
      <c r="AB952" s="501"/>
      <c r="AC952" s="501"/>
    </row>
    <row r="953" spans="1:29">
      <c r="C953" s="521"/>
      <c r="E953" s="501"/>
      <c r="G953" s="129"/>
      <c r="L953" s="501"/>
      <c r="M953" s="501"/>
      <c r="N953" s="501"/>
      <c r="O953" s="501"/>
      <c r="P953" s="501"/>
      <c r="Q953" s="501"/>
      <c r="T953" s="501"/>
      <c r="U953" s="501"/>
      <c r="V953" s="501"/>
      <c r="W953" s="501"/>
      <c r="X953" s="501"/>
      <c r="AB953" s="501"/>
      <c r="AC953" s="501"/>
    </row>
    <row r="954" spans="1:29">
      <c r="C954" s="521"/>
      <c r="E954" s="501"/>
      <c r="G954" s="129"/>
      <c r="L954" s="501"/>
      <c r="M954" s="501"/>
      <c r="N954" s="501"/>
      <c r="O954" s="501"/>
      <c r="P954" s="501"/>
      <c r="Q954" s="501"/>
      <c r="T954" s="501"/>
      <c r="U954" s="501"/>
      <c r="V954" s="501"/>
      <c r="W954" s="501"/>
      <c r="X954" s="501"/>
      <c r="AB954" s="501"/>
      <c r="AC954" s="501"/>
    </row>
    <row r="955" spans="1:29">
      <c r="A955" s="6"/>
      <c r="C955" s="12"/>
      <c r="E955" s="522"/>
      <c r="G955" s="29"/>
      <c r="L955" s="501"/>
      <c r="M955" s="501"/>
      <c r="N955" s="501"/>
      <c r="O955" s="501"/>
      <c r="P955" s="501"/>
      <c r="Q955" s="501"/>
      <c r="T955" s="501"/>
      <c r="U955" s="501"/>
      <c r="V955" s="501"/>
      <c r="W955" s="501"/>
      <c r="X955" s="501"/>
      <c r="AB955" s="501"/>
      <c r="AC955" s="501"/>
    </row>
    <row r="956" spans="1:29">
      <c r="A956" s="6"/>
      <c r="C956" s="12"/>
      <c r="E956" s="522"/>
      <c r="G956" s="29"/>
      <c r="L956" s="501"/>
      <c r="M956" s="501"/>
      <c r="N956" s="501"/>
      <c r="O956" s="501"/>
      <c r="P956" s="501"/>
      <c r="Q956" s="501"/>
      <c r="T956" s="501"/>
      <c r="U956" s="501"/>
      <c r="V956" s="501"/>
      <c r="W956" s="501"/>
      <c r="X956" s="501"/>
      <c r="AB956" s="501"/>
      <c r="AC956" s="501"/>
    </row>
    <row r="957" spans="1:29">
      <c r="G957" s="129"/>
      <c r="L957" s="501"/>
      <c r="M957" s="501"/>
      <c r="N957" s="501"/>
      <c r="O957" s="501"/>
      <c r="P957" s="501"/>
      <c r="Q957" s="501"/>
      <c r="T957" s="501"/>
      <c r="U957" s="501"/>
      <c r="V957" s="501"/>
      <c r="W957" s="501"/>
      <c r="X957" s="501"/>
      <c r="AB957" s="501"/>
      <c r="AC957" s="501"/>
    </row>
    <row r="958" spans="1:29">
      <c r="A958" s="6"/>
      <c r="C958" s="16"/>
      <c r="E958" s="17"/>
      <c r="G958" s="132"/>
      <c r="L958" s="501"/>
      <c r="M958" s="501"/>
      <c r="N958" s="501"/>
      <c r="O958" s="501"/>
      <c r="P958" s="501"/>
      <c r="Q958" s="501"/>
      <c r="T958" s="501"/>
      <c r="U958" s="501"/>
      <c r="V958" s="501"/>
      <c r="W958" s="501"/>
      <c r="X958" s="501"/>
      <c r="AB958" s="501"/>
      <c r="AC958" s="501"/>
    </row>
    <row r="959" spans="1:29">
      <c r="G959" s="129"/>
      <c r="L959" s="501"/>
      <c r="M959" s="501"/>
      <c r="N959" s="501"/>
      <c r="O959" s="501"/>
      <c r="P959" s="501"/>
      <c r="Q959" s="501"/>
      <c r="T959" s="501"/>
      <c r="U959" s="501"/>
      <c r="V959" s="501"/>
      <c r="W959" s="501"/>
      <c r="X959" s="501"/>
      <c r="AB959" s="501"/>
      <c r="AC959" s="501"/>
    </row>
    <row r="960" spans="1:29">
      <c r="A960" s="6"/>
      <c r="B960" s="58"/>
      <c r="D960" s="58"/>
      <c r="E960" s="574"/>
      <c r="F960" s="58"/>
      <c r="G960" s="132"/>
      <c r="H960" s="58"/>
      <c r="I960" s="58"/>
      <c r="J960" s="58"/>
      <c r="K960" s="58"/>
      <c r="L960" s="501"/>
      <c r="M960" s="501"/>
      <c r="N960" s="501"/>
      <c r="O960" s="501"/>
      <c r="P960" s="501"/>
      <c r="Q960" s="501"/>
      <c r="R960" s="58"/>
      <c r="S960" s="58"/>
      <c r="T960" s="501"/>
      <c r="U960" s="501"/>
      <c r="V960" s="501"/>
      <c r="W960" s="501"/>
      <c r="X960" s="501"/>
      <c r="Y960" s="58"/>
      <c r="Z960" s="58"/>
      <c r="AA960" s="58"/>
      <c r="AB960" s="501"/>
      <c r="AC960" s="501"/>
    </row>
    <row r="961" spans="1:29">
      <c r="A961" s="6"/>
      <c r="B961" s="58"/>
      <c r="D961" s="58"/>
      <c r="E961" s="574"/>
      <c r="F961" s="58"/>
      <c r="G961" s="132"/>
      <c r="H961" s="58"/>
      <c r="I961" s="58"/>
      <c r="J961" s="58"/>
      <c r="K961" s="58"/>
      <c r="L961" s="501"/>
      <c r="M961" s="501"/>
      <c r="N961" s="501"/>
      <c r="O961" s="501"/>
      <c r="P961" s="501"/>
      <c r="Q961" s="501"/>
      <c r="R961" s="58"/>
      <c r="S961" s="58"/>
      <c r="T961" s="501"/>
      <c r="U961" s="501"/>
      <c r="V961" s="501"/>
      <c r="W961" s="501"/>
      <c r="X961" s="501"/>
      <c r="Y961" s="58"/>
      <c r="Z961" s="58"/>
      <c r="AA961" s="58"/>
      <c r="AB961" s="501"/>
      <c r="AC961" s="501"/>
    </row>
    <row r="962" spans="1:29">
      <c r="A962" s="581"/>
      <c r="B962" s="4"/>
      <c r="C962" s="4"/>
      <c r="D962" s="4"/>
      <c r="E962" s="4"/>
      <c r="F962" s="4"/>
      <c r="G962" s="4"/>
      <c r="H962" s="4"/>
      <c r="I962" s="4"/>
      <c r="J962" s="4"/>
      <c r="K962" s="4"/>
      <c r="L962" s="501"/>
      <c r="M962" s="501"/>
      <c r="N962" s="501"/>
      <c r="O962" s="501"/>
      <c r="P962" s="501"/>
      <c r="Q962" s="501"/>
      <c r="R962" s="4"/>
      <c r="S962" s="4"/>
      <c r="T962" s="501"/>
      <c r="U962" s="501"/>
      <c r="V962" s="501"/>
      <c r="W962" s="501"/>
      <c r="X962" s="501"/>
      <c r="Y962" s="4"/>
      <c r="Z962" s="4"/>
      <c r="AA962" s="4"/>
      <c r="AB962" s="501"/>
      <c r="AC962" s="501"/>
    </row>
    <row r="963" spans="1:29">
      <c r="A963" s="731"/>
      <c r="B963" s="581"/>
      <c r="C963" s="581"/>
      <c r="D963" s="581"/>
      <c r="E963" s="581"/>
      <c r="F963" s="581"/>
      <c r="G963" s="581"/>
      <c r="H963" s="581"/>
      <c r="I963" s="581"/>
      <c r="J963" s="581"/>
      <c r="K963" s="581"/>
      <c r="L963" s="501"/>
      <c r="M963" s="501"/>
      <c r="N963" s="501"/>
      <c r="O963" s="501"/>
      <c r="P963" s="501"/>
      <c r="Q963" s="501"/>
      <c r="R963" s="581"/>
      <c r="S963" s="581"/>
      <c r="T963" s="501"/>
      <c r="U963" s="501"/>
      <c r="V963" s="501"/>
      <c r="W963" s="501"/>
      <c r="X963" s="501"/>
      <c r="Y963" s="581"/>
      <c r="Z963" s="581"/>
      <c r="AA963" s="581"/>
      <c r="AB963" s="501"/>
      <c r="AC963" s="501"/>
    </row>
    <row r="964" spans="1:29">
      <c r="B964" s="6"/>
      <c r="C964" s="6"/>
      <c r="D964" s="6"/>
      <c r="E964" s="3"/>
      <c r="F964" s="6"/>
      <c r="G964" s="3"/>
      <c r="H964" s="6"/>
      <c r="I964" s="6"/>
      <c r="J964" s="6"/>
      <c r="K964" s="6"/>
      <c r="L964" s="501"/>
      <c r="M964" s="501"/>
      <c r="N964" s="501"/>
      <c r="O964" s="501"/>
      <c r="P964" s="501"/>
      <c r="Q964" s="501"/>
      <c r="R964" s="6"/>
      <c r="S964" s="6"/>
      <c r="T964" s="501"/>
      <c r="U964" s="501"/>
      <c r="V964" s="501"/>
      <c r="W964" s="501"/>
      <c r="X964" s="501"/>
      <c r="Y964" s="6"/>
      <c r="Z964" s="6"/>
      <c r="AA964" s="6"/>
      <c r="AB964" s="501"/>
      <c r="AC964" s="501"/>
    </row>
    <row r="965" spans="1:29">
      <c r="A965" s="3"/>
      <c r="B965" s="3"/>
      <c r="C965" s="3"/>
      <c r="D965" s="3"/>
      <c r="E965" s="6"/>
      <c r="F965" s="3"/>
      <c r="G965" s="6"/>
      <c r="H965" s="3"/>
      <c r="I965" s="3"/>
      <c r="J965" s="3"/>
      <c r="K965" s="3"/>
      <c r="L965" s="501"/>
      <c r="M965" s="501"/>
      <c r="N965" s="501"/>
      <c r="O965" s="501"/>
      <c r="P965" s="501"/>
      <c r="Q965" s="501"/>
      <c r="R965" s="3"/>
      <c r="S965" s="3"/>
      <c r="T965" s="501"/>
      <c r="U965" s="501"/>
      <c r="V965" s="501"/>
      <c r="W965" s="501"/>
      <c r="X965" s="501"/>
      <c r="Y965" s="3"/>
      <c r="Z965" s="3"/>
      <c r="AA965" s="3"/>
      <c r="AB965" s="501"/>
      <c r="AC965" s="501"/>
    </row>
    <row r="966" spans="1:29">
      <c r="A966" s="5"/>
      <c r="B966" s="5"/>
      <c r="C966" s="5"/>
      <c r="D966" s="5"/>
      <c r="E966" s="6"/>
      <c r="F966" s="5"/>
      <c r="G966" s="17"/>
      <c r="H966" s="5"/>
      <c r="I966" s="5"/>
      <c r="J966" s="5"/>
      <c r="K966" s="5"/>
      <c r="L966" s="501"/>
      <c r="M966" s="501"/>
      <c r="N966" s="501"/>
      <c r="O966" s="501"/>
      <c r="P966" s="501"/>
      <c r="Q966" s="501"/>
      <c r="R966" s="5"/>
      <c r="S966" s="5"/>
      <c r="T966" s="501"/>
      <c r="U966" s="501"/>
      <c r="V966" s="501"/>
      <c r="W966" s="501"/>
      <c r="X966" s="501"/>
      <c r="Y966" s="5"/>
      <c r="Z966" s="5"/>
      <c r="AA966" s="5"/>
      <c r="AB966" s="501"/>
      <c r="AC966" s="501"/>
    </row>
    <row r="967" spans="1:29">
      <c r="A967" s="6"/>
      <c r="B967" s="58"/>
      <c r="C967" s="58"/>
      <c r="D967" s="58"/>
      <c r="E967" s="6"/>
      <c r="F967" s="58"/>
      <c r="G967" s="6"/>
      <c r="H967" s="58"/>
      <c r="I967" s="58"/>
      <c r="J967" s="58"/>
      <c r="K967" s="58"/>
      <c r="L967" s="501"/>
      <c r="M967" s="501"/>
      <c r="N967" s="501"/>
      <c r="O967" s="501"/>
      <c r="P967" s="501"/>
      <c r="Q967" s="501"/>
      <c r="R967" s="58"/>
      <c r="S967" s="58"/>
      <c r="T967" s="501"/>
      <c r="U967" s="501"/>
      <c r="V967" s="501"/>
      <c r="W967" s="501"/>
      <c r="X967" s="501"/>
      <c r="Y967" s="58"/>
      <c r="Z967" s="58"/>
      <c r="AA967" s="58"/>
      <c r="AB967" s="501"/>
      <c r="AC967" s="501"/>
    </row>
    <row r="968" spans="1:29">
      <c r="A968" s="6"/>
      <c r="B968" s="58"/>
      <c r="C968" s="58"/>
      <c r="D968" s="58"/>
      <c r="E968" s="6"/>
      <c r="F968" s="58"/>
      <c r="G968" s="6"/>
      <c r="H968" s="58"/>
      <c r="I968" s="58"/>
      <c r="J968" s="58"/>
      <c r="K968" s="58"/>
      <c r="L968" s="501"/>
      <c r="M968" s="501"/>
      <c r="N968" s="501"/>
      <c r="O968" s="501"/>
      <c r="P968" s="501"/>
      <c r="Q968" s="501"/>
      <c r="R968" s="58"/>
      <c r="S968" s="58"/>
      <c r="T968" s="501"/>
      <c r="U968" s="501"/>
      <c r="V968" s="501"/>
      <c r="W968" s="501"/>
      <c r="X968" s="501"/>
      <c r="Y968" s="58"/>
      <c r="Z968" s="58"/>
      <c r="AA968" s="58"/>
      <c r="AB968" s="501"/>
      <c r="AC968" s="501"/>
    </row>
    <row r="969" spans="1:29">
      <c r="G969" s="129"/>
      <c r="L969" s="501"/>
      <c r="M969" s="501"/>
      <c r="N969" s="501"/>
      <c r="O969" s="501"/>
      <c r="P969" s="501"/>
      <c r="Q969" s="501"/>
      <c r="T969" s="501"/>
      <c r="U969" s="501"/>
      <c r="V969" s="501"/>
      <c r="W969" s="501"/>
      <c r="X969" s="501"/>
      <c r="AB969" s="501"/>
      <c r="AC969" s="501"/>
    </row>
    <row r="970" spans="1:29">
      <c r="C970" s="9"/>
      <c r="G970" s="129"/>
      <c r="L970" s="501"/>
      <c r="M970" s="501"/>
      <c r="N970" s="501"/>
      <c r="O970" s="501"/>
      <c r="P970" s="501"/>
      <c r="Q970" s="501"/>
      <c r="T970" s="501"/>
      <c r="U970" s="501"/>
      <c r="V970" s="501"/>
      <c r="W970" s="501"/>
      <c r="X970" s="501"/>
      <c r="AB970" s="501"/>
      <c r="AC970" s="501"/>
    </row>
    <row r="971" spans="1:29">
      <c r="C971" s="10"/>
      <c r="G971" s="129"/>
      <c r="L971" s="501"/>
      <c r="M971" s="501"/>
      <c r="N971" s="501"/>
      <c r="O971" s="501"/>
      <c r="P971" s="501"/>
      <c r="Q971" s="501"/>
      <c r="T971" s="501"/>
      <c r="U971" s="501"/>
      <c r="V971" s="501"/>
      <c r="W971" s="501"/>
      <c r="X971" s="501"/>
      <c r="AB971" s="501"/>
      <c r="AC971" s="501"/>
    </row>
    <row r="972" spans="1:29">
      <c r="A972" s="6"/>
      <c r="C972" s="717"/>
      <c r="E972" s="522"/>
      <c r="G972" s="29"/>
      <c r="L972" s="501"/>
      <c r="M972" s="501"/>
      <c r="N972" s="501"/>
      <c r="O972" s="501"/>
      <c r="P972" s="501"/>
      <c r="Q972" s="501"/>
      <c r="T972" s="501"/>
      <c r="U972" s="501"/>
      <c r="V972" s="501"/>
      <c r="W972" s="501"/>
      <c r="X972" s="501"/>
      <c r="AB972" s="501"/>
      <c r="AC972" s="501"/>
    </row>
    <row r="973" spans="1:29">
      <c r="A973" s="6"/>
      <c r="C973" s="717"/>
      <c r="E973" s="522"/>
      <c r="G973" s="29"/>
      <c r="L973" s="501"/>
      <c r="M973" s="501"/>
      <c r="N973" s="501"/>
      <c r="O973" s="501"/>
      <c r="P973" s="501"/>
      <c r="Q973" s="501"/>
      <c r="T973" s="501"/>
      <c r="U973" s="501"/>
      <c r="V973" s="501"/>
      <c r="W973" s="501"/>
      <c r="X973" s="501"/>
      <c r="AB973" s="501"/>
      <c r="AC973" s="501"/>
    </row>
    <row r="974" spans="1:29">
      <c r="A974" s="6"/>
      <c r="C974" s="12"/>
      <c r="E974" s="522"/>
      <c r="G974" s="29"/>
      <c r="L974" s="501"/>
      <c r="M974" s="501"/>
      <c r="N974" s="501"/>
      <c r="O974" s="501"/>
      <c r="P974" s="501"/>
      <c r="Q974" s="501"/>
      <c r="T974" s="501"/>
      <c r="U974" s="501"/>
      <c r="V974" s="501"/>
      <c r="W974" s="501"/>
      <c r="X974" s="501"/>
      <c r="AB974" s="501"/>
      <c r="AC974" s="501"/>
    </row>
    <row r="975" spans="1:29">
      <c r="A975" s="6"/>
      <c r="C975" s="718"/>
      <c r="E975" s="522"/>
      <c r="G975" s="29"/>
      <c r="L975" s="501"/>
      <c r="M975" s="501"/>
      <c r="N975" s="501"/>
      <c r="O975" s="501"/>
      <c r="P975" s="501"/>
      <c r="Q975" s="501"/>
      <c r="T975" s="501"/>
      <c r="U975" s="501"/>
      <c r="V975" s="501"/>
      <c r="W975" s="501"/>
      <c r="X975" s="501"/>
      <c r="AB975" s="501"/>
      <c r="AC975" s="501"/>
    </row>
    <row r="976" spans="1:29">
      <c r="A976" s="6"/>
      <c r="C976" s="12"/>
      <c r="E976" s="522"/>
      <c r="G976" s="29"/>
      <c r="L976" s="501"/>
      <c r="M976" s="501"/>
      <c r="N976" s="501"/>
      <c r="O976" s="501"/>
      <c r="P976" s="501"/>
      <c r="Q976" s="501"/>
      <c r="T976" s="501"/>
      <c r="U976" s="501"/>
      <c r="V976" s="501"/>
      <c r="W976" s="501"/>
      <c r="X976" s="501"/>
      <c r="AB976" s="501"/>
      <c r="AC976" s="501"/>
    </row>
    <row r="977" spans="1:29">
      <c r="G977" s="129"/>
      <c r="L977" s="501"/>
      <c r="M977" s="501"/>
      <c r="N977" s="501"/>
      <c r="O977" s="501"/>
      <c r="P977" s="501"/>
      <c r="Q977" s="501"/>
      <c r="T977" s="501"/>
      <c r="U977" s="501"/>
      <c r="V977" s="501"/>
      <c r="W977" s="501"/>
      <c r="X977" s="501"/>
      <c r="AB977" s="501"/>
      <c r="AC977" s="501"/>
    </row>
    <row r="978" spans="1:29">
      <c r="C978" s="10"/>
      <c r="G978" s="129"/>
      <c r="L978" s="501"/>
      <c r="M978" s="501"/>
      <c r="N978" s="501"/>
      <c r="O978" s="501"/>
      <c r="P978" s="501"/>
      <c r="Q978" s="501"/>
      <c r="T978" s="501"/>
      <c r="U978" s="501"/>
      <c r="V978" s="501"/>
      <c r="W978" s="501"/>
      <c r="X978" s="501"/>
      <c r="AB978" s="501"/>
      <c r="AC978" s="501"/>
    </row>
    <row r="979" spans="1:29">
      <c r="C979" s="526"/>
      <c r="G979" s="129"/>
      <c r="L979" s="501"/>
      <c r="M979" s="501"/>
      <c r="N979" s="501"/>
      <c r="O979" s="501"/>
      <c r="P979" s="501"/>
      <c r="Q979" s="501"/>
      <c r="T979" s="501"/>
      <c r="U979" s="501"/>
      <c r="V979" s="501"/>
      <c r="W979" s="501"/>
      <c r="X979" s="501"/>
      <c r="AB979" s="501"/>
      <c r="AC979" s="501"/>
    </row>
    <row r="980" spans="1:29">
      <c r="C980" s="697"/>
      <c r="G980" s="129"/>
      <c r="L980" s="501"/>
      <c r="M980" s="501"/>
      <c r="N980" s="501"/>
      <c r="O980" s="501"/>
      <c r="P980" s="501"/>
      <c r="Q980" s="501"/>
      <c r="T980" s="501"/>
      <c r="U980" s="501"/>
      <c r="V980" s="501"/>
      <c r="W980" s="501"/>
      <c r="X980" s="501"/>
      <c r="AB980" s="501"/>
      <c r="AC980" s="501"/>
    </row>
    <row r="981" spans="1:29">
      <c r="A981" s="6"/>
      <c r="C981" s="719"/>
      <c r="E981" s="522"/>
      <c r="G981" s="29"/>
      <c r="L981" s="501"/>
      <c r="M981" s="501"/>
      <c r="N981" s="501"/>
      <c r="O981" s="501"/>
      <c r="P981" s="501"/>
      <c r="Q981" s="501"/>
      <c r="T981" s="501"/>
      <c r="U981" s="501"/>
      <c r="V981" s="501"/>
      <c r="W981" s="501"/>
      <c r="X981" s="501"/>
      <c r="AB981" s="501"/>
      <c r="AC981" s="501"/>
    </row>
    <row r="982" spans="1:29">
      <c r="C982" s="697"/>
      <c r="E982" s="501"/>
      <c r="G982" s="129"/>
      <c r="L982" s="501"/>
      <c r="M982" s="501"/>
      <c r="N982" s="501"/>
      <c r="O982" s="501"/>
      <c r="P982" s="501"/>
      <c r="Q982" s="501"/>
      <c r="T982" s="501"/>
      <c r="U982" s="501"/>
      <c r="V982" s="501"/>
      <c r="W982" s="501"/>
      <c r="X982" s="501"/>
      <c r="AB982" s="501"/>
      <c r="AC982" s="501"/>
    </row>
    <row r="983" spans="1:29">
      <c r="A983" s="6"/>
      <c r="C983" s="719"/>
      <c r="E983" s="522"/>
      <c r="G983" s="29"/>
      <c r="L983" s="501"/>
      <c r="M983" s="501"/>
      <c r="N983" s="501"/>
      <c r="O983" s="501"/>
      <c r="P983" s="501"/>
      <c r="Q983" s="501"/>
      <c r="T983" s="501"/>
      <c r="U983" s="501"/>
      <c r="V983" s="501"/>
      <c r="W983" s="501"/>
      <c r="X983" s="501"/>
      <c r="AB983" s="501"/>
      <c r="AC983" s="501"/>
    </row>
    <row r="984" spans="1:29">
      <c r="A984" s="6"/>
      <c r="C984" s="719"/>
      <c r="E984" s="522"/>
      <c r="G984" s="29"/>
      <c r="L984" s="501"/>
      <c r="M984" s="501"/>
      <c r="N984" s="501"/>
      <c r="O984" s="501"/>
      <c r="P984" s="501"/>
      <c r="Q984" s="501"/>
      <c r="T984" s="501"/>
      <c r="U984" s="501"/>
      <c r="V984" s="501"/>
      <c r="W984" s="501"/>
      <c r="X984" s="501"/>
      <c r="AB984" s="501"/>
      <c r="AC984" s="501"/>
    </row>
    <row r="985" spans="1:29">
      <c r="A985" s="6"/>
      <c r="C985" s="719"/>
      <c r="E985" s="522"/>
      <c r="G985" s="29"/>
      <c r="L985" s="501"/>
      <c r="M985" s="501"/>
      <c r="N985" s="501"/>
      <c r="O985" s="501"/>
      <c r="P985" s="501"/>
      <c r="Q985" s="501"/>
      <c r="T985" s="501"/>
      <c r="U985" s="501"/>
      <c r="V985" s="501"/>
      <c r="W985" s="501"/>
      <c r="X985" s="501"/>
      <c r="AB985" s="501"/>
      <c r="AC985" s="501"/>
    </row>
    <row r="986" spans="1:29">
      <c r="A986" s="6"/>
      <c r="C986" s="719"/>
      <c r="E986" s="522"/>
      <c r="G986" s="29"/>
      <c r="L986" s="501"/>
      <c r="M986" s="501"/>
      <c r="N986" s="501"/>
      <c r="O986" s="501"/>
      <c r="P986" s="501"/>
      <c r="Q986" s="501"/>
      <c r="T986" s="501"/>
      <c r="U986" s="501"/>
      <c r="V986" s="501"/>
      <c r="W986" s="501"/>
      <c r="X986" s="501"/>
      <c r="AB986" s="501"/>
      <c r="AC986" s="501"/>
    </row>
    <row r="987" spans="1:29">
      <c r="C987" s="501"/>
      <c r="E987" s="501"/>
      <c r="G987" s="129"/>
      <c r="L987" s="501"/>
      <c r="M987" s="501"/>
      <c r="N987" s="501"/>
      <c r="O987" s="501"/>
      <c r="P987" s="501"/>
      <c r="Q987" s="501"/>
      <c r="T987" s="501"/>
      <c r="U987" s="501"/>
      <c r="V987" s="501"/>
      <c r="W987" s="501"/>
      <c r="X987" s="501"/>
      <c r="AB987" s="501"/>
      <c r="AC987" s="501"/>
    </row>
    <row r="988" spans="1:29">
      <c r="C988" s="526"/>
      <c r="E988" s="522"/>
      <c r="G988" s="129"/>
      <c r="L988" s="501"/>
      <c r="M988" s="501"/>
      <c r="N988" s="501"/>
      <c r="O988" s="501"/>
      <c r="P988" s="501"/>
      <c r="Q988" s="501"/>
      <c r="T988" s="501"/>
      <c r="U988" s="501"/>
      <c r="V988" s="501"/>
      <c r="W988" s="501"/>
      <c r="X988" s="501"/>
      <c r="AB988" s="501"/>
      <c r="AC988" s="501"/>
    </row>
    <row r="989" spans="1:29">
      <c r="C989" s="697"/>
      <c r="E989" s="501"/>
      <c r="G989" s="129"/>
      <c r="L989" s="501"/>
      <c r="M989" s="501"/>
      <c r="N989" s="501"/>
      <c r="O989" s="501"/>
      <c r="P989" s="501"/>
      <c r="Q989" s="501"/>
      <c r="T989" s="501"/>
      <c r="U989" s="501"/>
      <c r="V989" s="501"/>
      <c r="W989" s="501"/>
      <c r="X989" s="501"/>
      <c r="AB989" s="501"/>
      <c r="AC989" s="501"/>
    </row>
    <row r="990" spans="1:29">
      <c r="A990" s="6"/>
      <c r="C990" s="719"/>
      <c r="E990" s="522"/>
      <c r="G990" s="29"/>
      <c r="L990" s="501"/>
      <c r="M990" s="501"/>
      <c r="N990" s="501"/>
      <c r="O990" s="501"/>
      <c r="P990" s="501"/>
      <c r="Q990" s="501"/>
      <c r="T990" s="501"/>
      <c r="U990" s="501"/>
      <c r="V990" s="501"/>
      <c r="W990" s="501"/>
      <c r="X990" s="501"/>
      <c r="AB990" s="501"/>
      <c r="AC990" s="501"/>
    </row>
    <row r="991" spans="1:29">
      <c r="A991" s="6"/>
      <c r="C991" s="719"/>
      <c r="E991" s="522"/>
      <c r="G991" s="29"/>
      <c r="L991" s="501"/>
      <c r="M991" s="501"/>
      <c r="N991" s="501"/>
      <c r="O991" s="501"/>
      <c r="P991" s="501"/>
      <c r="Q991" s="501"/>
      <c r="T991" s="501"/>
      <c r="U991" s="501"/>
      <c r="V991" s="501"/>
      <c r="W991" s="501"/>
      <c r="X991" s="501"/>
      <c r="AB991" s="501"/>
      <c r="AC991" s="501"/>
    </row>
    <row r="992" spans="1:29">
      <c r="G992" s="129"/>
      <c r="L992" s="501"/>
      <c r="M992" s="501"/>
      <c r="N992" s="501"/>
      <c r="O992" s="501"/>
      <c r="P992" s="501"/>
      <c r="Q992" s="501"/>
      <c r="T992" s="501"/>
      <c r="U992" s="501"/>
      <c r="V992" s="501"/>
      <c r="W992" s="501"/>
      <c r="X992" s="501"/>
      <c r="AB992" s="501"/>
      <c r="AC992" s="501"/>
    </row>
    <row r="993" spans="1:29">
      <c r="A993" s="6"/>
      <c r="E993" s="522"/>
      <c r="G993" s="29"/>
      <c r="L993" s="501"/>
      <c r="M993" s="501"/>
      <c r="N993" s="501"/>
      <c r="O993" s="501"/>
      <c r="P993" s="501"/>
      <c r="Q993" s="501"/>
      <c r="T993" s="501"/>
      <c r="U993" s="501"/>
      <c r="V993" s="501"/>
      <c r="W993" s="501"/>
      <c r="X993" s="501"/>
      <c r="AB993" s="501"/>
      <c r="AC993" s="501"/>
    </row>
    <row r="994" spans="1:29">
      <c r="A994" s="6"/>
      <c r="G994" s="129"/>
      <c r="L994" s="501"/>
      <c r="M994" s="501"/>
      <c r="N994" s="501"/>
      <c r="O994" s="501"/>
      <c r="P994" s="501"/>
      <c r="Q994" s="501"/>
      <c r="T994" s="501"/>
      <c r="U994" s="501"/>
      <c r="V994" s="501"/>
      <c r="W994" s="501"/>
      <c r="X994" s="501"/>
      <c r="AB994" s="501"/>
      <c r="AC994" s="501"/>
    </row>
    <row r="995" spans="1:29">
      <c r="G995" s="129"/>
      <c r="L995" s="501"/>
      <c r="M995" s="501"/>
      <c r="N995" s="501"/>
      <c r="O995" s="501"/>
      <c r="P995" s="501"/>
      <c r="Q995" s="501"/>
      <c r="T995" s="501"/>
      <c r="U995" s="501"/>
      <c r="V995" s="501"/>
      <c r="W995" s="501"/>
      <c r="X995" s="501"/>
      <c r="AB995" s="501"/>
      <c r="AC995" s="501"/>
    </row>
    <row r="996" spans="1:29">
      <c r="A996" s="6"/>
      <c r="G996" s="642"/>
      <c r="L996" s="501"/>
      <c r="M996" s="501"/>
      <c r="N996" s="501"/>
      <c r="O996" s="501"/>
      <c r="P996" s="501"/>
      <c r="Q996" s="501"/>
      <c r="T996" s="501"/>
      <c r="U996" s="501"/>
      <c r="V996" s="501"/>
      <c r="W996" s="501"/>
      <c r="X996" s="501"/>
      <c r="AB996" s="501"/>
      <c r="AC996" s="501"/>
    </row>
    <row r="997" spans="1:29">
      <c r="G997" s="129"/>
      <c r="L997" s="501"/>
      <c r="M997" s="501"/>
      <c r="N997" s="501"/>
      <c r="O997" s="501"/>
      <c r="P997" s="501"/>
      <c r="Q997" s="501"/>
      <c r="T997" s="501"/>
      <c r="U997" s="501"/>
      <c r="V997" s="501"/>
      <c r="W997" s="501"/>
      <c r="X997" s="501"/>
      <c r="AB997" s="501"/>
      <c r="AC997" s="501"/>
    </row>
    <row r="998" spans="1:29">
      <c r="G998" s="129"/>
      <c r="L998" s="501"/>
      <c r="M998" s="501"/>
      <c r="N998" s="501"/>
      <c r="O998" s="501"/>
      <c r="P998" s="501"/>
      <c r="Q998" s="501"/>
      <c r="T998" s="501"/>
      <c r="U998" s="501"/>
      <c r="V998" s="501"/>
      <c r="W998" s="501"/>
      <c r="X998" s="501"/>
      <c r="AB998" s="501"/>
      <c r="AC998" s="501"/>
    </row>
    <row r="999" spans="1:29">
      <c r="G999" s="129"/>
      <c r="L999" s="501"/>
      <c r="M999" s="501"/>
      <c r="N999" s="501"/>
      <c r="O999" s="501"/>
      <c r="P999" s="501"/>
      <c r="Q999" s="501"/>
      <c r="T999" s="501"/>
      <c r="U999" s="501"/>
      <c r="V999" s="501"/>
      <c r="W999" s="501"/>
      <c r="X999" s="501"/>
      <c r="AB999" s="501"/>
      <c r="AC999" s="501"/>
    </row>
    <row r="1000" spans="1:29">
      <c r="A1000" s="581"/>
      <c r="B1000" s="4"/>
      <c r="C1000" s="4"/>
      <c r="D1000" s="4"/>
      <c r="E1000" s="4"/>
      <c r="F1000" s="4"/>
      <c r="G1000" s="4"/>
      <c r="H1000" s="4"/>
      <c r="I1000" s="4"/>
      <c r="J1000" s="4"/>
      <c r="K1000" s="4"/>
      <c r="L1000" s="501"/>
      <c r="M1000" s="501"/>
      <c r="N1000" s="501"/>
      <c r="O1000" s="501"/>
      <c r="P1000" s="501"/>
      <c r="Q1000" s="501"/>
      <c r="R1000" s="4"/>
      <c r="S1000" s="4"/>
      <c r="T1000" s="501"/>
      <c r="U1000" s="501"/>
      <c r="V1000" s="501"/>
      <c r="W1000" s="501"/>
      <c r="X1000" s="501"/>
      <c r="Y1000" s="4"/>
      <c r="Z1000" s="4"/>
      <c r="AA1000" s="4"/>
      <c r="AB1000" s="501"/>
      <c r="AC1000" s="501"/>
    </row>
    <row r="1001" spans="1:29">
      <c r="A1001" s="731"/>
      <c r="B1001" s="581"/>
      <c r="C1001" s="581"/>
      <c r="D1001" s="581"/>
      <c r="E1001" s="581"/>
      <c r="F1001" s="581"/>
      <c r="G1001" s="581"/>
      <c r="H1001" s="581"/>
      <c r="I1001" s="581"/>
      <c r="J1001" s="581"/>
      <c r="K1001" s="581"/>
      <c r="L1001" s="501"/>
      <c r="M1001" s="501"/>
      <c r="N1001" s="501"/>
      <c r="O1001" s="501"/>
      <c r="P1001" s="501"/>
      <c r="Q1001" s="501"/>
      <c r="R1001" s="581"/>
      <c r="S1001" s="581"/>
      <c r="T1001" s="501"/>
      <c r="U1001" s="501"/>
      <c r="V1001" s="501"/>
      <c r="W1001" s="501"/>
      <c r="X1001" s="501"/>
      <c r="Y1001" s="581"/>
      <c r="Z1001" s="581"/>
      <c r="AA1001" s="581"/>
      <c r="AB1001" s="501"/>
      <c r="AC1001" s="501"/>
    </row>
    <row r="1002" spans="1:29">
      <c r="A1002" s="6"/>
      <c r="B1002" s="6"/>
      <c r="C1002" s="6"/>
      <c r="D1002" s="6"/>
      <c r="E1002" s="3"/>
      <c r="F1002" s="6"/>
      <c r="G1002" s="3"/>
      <c r="H1002" s="6"/>
      <c r="I1002" s="6"/>
      <c r="J1002" s="6"/>
      <c r="K1002" s="6"/>
      <c r="L1002" s="501"/>
      <c r="M1002" s="501"/>
      <c r="N1002" s="501"/>
      <c r="O1002" s="501"/>
      <c r="P1002" s="501"/>
      <c r="Q1002" s="501"/>
      <c r="R1002" s="6"/>
      <c r="S1002" s="6"/>
      <c r="T1002" s="501"/>
      <c r="U1002" s="501"/>
      <c r="V1002" s="501"/>
      <c r="W1002" s="501"/>
      <c r="X1002" s="501"/>
      <c r="Y1002" s="6"/>
      <c r="Z1002" s="6"/>
      <c r="AA1002" s="6"/>
      <c r="AB1002" s="501"/>
      <c r="AC1002" s="501"/>
    </row>
    <row r="1003" spans="1:29">
      <c r="A1003" s="3"/>
      <c r="B1003" s="3"/>
      <c r="C1003" s="3"/>
      <c r="D1003" s="3"/>
      <c r="E1003" s="6"/>
      <c r="F1003" s="3"/>
      <c r="G1003" s="6"/>
      <c r="H1003" s="3"/>
      <c r="I1003" s="3"/>
      <c r="J1003" s="3"/>
      <c r="K1003" s="3"/>
      <c r="L1003" s="501"/>
      <c r="M1003" s="501"/>
      <c r="N1003" s="501"/>
      <c r="O1003" s="501"/>
      <c r="P1003" s="501"/>
      <c r="Q1003" s="501"/>
      <c r="R1003" s="3"/>
      <c r="S1003" s="3"/>
      <c r="T1003" s="501"/>
      <c r="U1003" s="501"/>
      <c r="V1003" s="501"/>
      <c r="W1003" s="501"/>
      <c r="X1003" s="501"/>
      <c r="Y1003" s="3"/>
      <c r="Z1003" s="3"/>
      <c r="AA1003" s="3"/>
      <c r="AB1003" s="501"/>
      <c r="AC1003" s="501"/>
    </row>
    <row r="1004" spans="1:29">
      <c r="A1004" s="5"/>
      <c r="B1004" s="5"/>
      <c r="C1004" s="5"/>
      <c r="D1004" s="5"/>
      <c r="E1004" s="6"/>
      <c r="F1004" s="5"/>
      <c r="G1004" s="17"/>
      <c r="H1004" s="5"/>
      <c r="I1004" s="5"/>
      <c r="J1004" s="5"/>
      <c r="K1004" s="5"/>
      <c r="L1004" s="501"/>
      <c r="M1004" s="501"/>
      <c r="N1004" s="501"/>
      <c r="O1004" s="501"/>
      <c r="P1004" s="501"/>
      <c r="Q1004" s="501"/>
      <c r="R1004" s="5"/>
      <c r="S1004" s="5"/>
      <c r="T1004" s="501"/>
      <c r="U1004" s="501"/>
      <c r="V1004" s="501"/>
      <c r="W1004" s="501"/>
      <c r="X1004" s="501"/>
      <c r="Y1004" s="5"/>
      <c r="Z1004" s="5"/>
      <c r="AA1004" s="5"/>
      <c r="AB1004" s="501"/>
      <c r="AC1004" s="501"/>
    </row>
    <row r="1005" spans="1:29">
      <c r="A1005" s="6"/>
      <c r="B1005" s="58"/>
      <c r="C1005" s="58"/>
      <c r="D1005" s="58"/>
      <c r="E1005" s="6"/>
      <c r="F1005" s="58"/>
      <c r="G1005" s="6"/>
      <c r="H1005" s="58"/>
      <c r="I1005" s="58"/>
      <c r="J1005" s="58"/>
      <c r="K1005" s="58"/>
      <c r="L1005" s="501"/>
      <c r="M1005" s="501"/>
      <c r="N1005" s="501"/>
      <c r="O1005" s="501"/>
      <c r="P1005" s="501"/>
      <c r="Q1005" s="501"/>
      <c r="R1005" s="58"/>
      <c r="S1005" s="58"/>
      <c r="T1005" s="501"/>
      <c r="U1005" s="501"/>
      <c r="V1005" s="501"/>
      <c r="W1005" s="501"/>
      <c r="X1005" s="501"/>
      <c r="Y1005" s="58"/>
      <c r="Z1005" s="58"/>
      <c r="AA1005" s="58"/>
      <c r="AB1005" s="501"/>
      <c r="AC1005" s="501"/>
    </row>
    <row r="1006" spans="1:29">
      <c r="A1006" s="6"/>
      <c r="B1006" s="58"/>
      <c r="C1006" s="58"/>
      <c r="D1006" s="58"/>
      <c r="E1006" s="6"/>
      <c r="F1006" s="58"/>
      <c r="G1006" s="6"/>
      <c r="H1006" s="58"/>
      <c r="I1006" s="58"/>
      <c r="J1006" s="58"/>
      <c r="K1006" s="58"/>
      <c r="L1006" s="501"/>
      <c r="M1006" s="501"/>
      <c r="N1006" s="501"/>
      <c r="O1006" s="501"/>
      <c r="P1006" s="501"/>
      <c r="Q1006" s="501"/>
      <c r="R1006" s="58"/>
      <c r="S1006" s="58"/>
      <c r="T1006" s="501"/>
      <c r="U1006" s="501"/>
      <c r="V1006" s="501"/>
      <c r="W1006" s="501"/>
      <c r="X1006" s="501"/>
      <c r="Y1006" s="58"/>
      <c r="Z1006" s="58"/>
      <c r="AA1006" s="58"/>
      <c r="AB1006" s="501"/>
      <c r="AC1006" s="501"/>
    </row>
    <row r="1007" spans="1:29">
      <c r="G1007" s="129"/>
      <c r="L1007" s="501"/>
      <c r="M1007" s="501"/>
      <c r="N1007" s="501"/>
      <c r="O1007" s="501"/>
      <c r="P1007" s="501"/>
      <c r="Q1007" s="501"/>
      <c r="T1007" s="501"/>
      <c r="U1007" s="501"/>
      <c r="V1007" s="501"/>
      <c r="W1007" s="501"/>
      <c r="X1007" s="501"/>
      <c r="AB1007" s="501"/>
      <c r="AC1007" s="501"/>
    </row>
    <row r="1008" spans="1:29">
      <c r="C1008" s="723"/>
      <c r="E1008" s="733"/>
      <c r="G1008" s="129"/>
      <c r="L1008" s="501"/>
      <c r="M1008" s="501"/>
      <c r="N1008" s="501"/>
      <c r="O1008" s="501"/>
      <c r="P1008" s="501"/>
      <c r="Q1008" s="501"/>
      <c r="T1008" s="501"/>
      <c r="U1008" s="501"/>
      <c r="V1008" s="501"/>
      <c r="W1008" s="501"/>
      <c r="X1008" s="501"/>
      <c r="AB1008" s="501"/>
      <c r="AC1008" s="501"/>
    </row>
    <row r="1009" spans="1:29">
      <c r="A1009" s="6"/>
      <c r="C1009" s="521"/>
      <c r="E1009" s="30"/>
      <c r="G1009" s="29"/>
      <c r="L1009" s="501"/>
      <c r="M1009" s="501"/>
      <c r="N1009" s="501"/>
      <c r="O1009" s="501"/>
      <c r="P1009" s="501"/>
      <c r="Q1009" s="501"/>
      <c r="T1009" s="501"/>
      <c r="U1009" s="501"/>
      <c r="V1009" s="501"/>
      <c r="W1009" s="501"/>
      <c r="X1009" s="501"/>
      <c r="AB1009" s="501"/>
      <c r="AC1009" s="501"/>
    </row>
    <row r="1010" spans="1:29">
      <c r="A1010" s="6"/>
      <c r="C1010" s="521"/>
      <c r="E1010" s="30"/>
      <c r="G1010" s="29"/>
      <c r="L1010" s="501"/>
      <c r="M1010" s="501"/>
      <c r="N1010" s="501"/>
      <c r="O1010" s="501"/>
      <c r="P1010" s="501"/>
      <c r="Q1010" s="501"/>
      <c r="T1010" s="501"/>
      <c r="U1010" s="501"/>
      <c r="V1010" s="501"/>
      <c r="W1010" s="501"/>
      <c r="X1010" s="501"/>
      <c r="AB1010" s="501"/>
      <c r="AC1010" s="501"/>
    </row>
    <row r="1011" spans="1:29">
      <c r="A1011" s="6"/>
      <c r="C1011" s="521"/>
      <c r="E1011" s="30"/>
      <c r="G1011" s="29"/>
      <c r="L1011" s="501"/>
      <c r="M1011" s="501"/>
      <c r="N1011" s="501"/>
      <c r="O1011" s="501"/>
      <c r="P1011" s="501"/>
      <c r="Q1011" s="501"/>
      <c r="T1011" s="501"/>
      <c r="U1011" s="501"/>
      <c r="V1011" s="501"/>
      <c r="W1011" s="501"/>
      <c r="X1011" s="501"/>
      <c r="AB1011" s="501"/>
      <c r="AC1011" s="501"/>
    </row>
    <row r="1012" spans="1:29">
      <c r="A1012" s="6"/>
      <c r="C1012" s="521"/>
      <c r="E1012" s="1"/>
      <c r="G1012" s="29"/>
      <c r="L1012" s="501"/>
      <c r="M1012" s="501"/>
      <c r="N1012" s="501"/>
      <c r="O1012" s="501"/>
      <c r="P1012" s="501"/>
      <c r="Q1012" s="501"/>
      <c r="T1012" s="501"/>
      <c r="U1012" s="501"/>
      <c r="V1012" s="501"/>
      <c r="W1012" s="501"/>
      <c r="X1012" s="501"/>
      <c r="AB1012" s="501"/>
      <c r="AC1012" s="501"/>
    </row>
    <row r="1013" spans="1:29">
      <c r="A1013" s="6"/>
      <c r="C1013" s="521"/>
      <c r="E1013" s="1"/>
      <c r="G1013" s="29"/>
      <c r="L1013" s="501"/>
      <c r="M1013" s="501"/>
      <c r="N1013" s="501"/>
      <c r="O1013" s="501"/>
      <c r="P1013" s="501"/>
      <c r="Q1013" s="501"/>
      <c r="T1013" s="501"/>
      <c r="U1013" s="501"/>
      <c r="V1013" s="501"/>
      <c r="W1013" s="501"/>
      <c r="X1013" s="501"/>
      <c r="AB1013" s="501"/>
      <c r="AC1013" s="501"/>
    </row>
    <row r="1014" spans="1:29">
      <c r="A1014" s="6"/>
      <c r="C1014" s="521"/>
      <c r="E1014" s="1"/>
      <c r="G1014" s="29"/>
      <c r="L1014" s="501"/>
      <c r="M1014" s="501"/>
      <c r="N1014" s="501"/>
      <c r="O1014" s="501"/>
      <c r="P1014" s="501"/>
      <c r="Q1014" s="501"/>
      <c r="T1014" s="501"/>
      <c r="U1014" s="501"/>
      <c r="V1014" s="501"/>
      <c r="W1014" s="501"/>
      <c r="X1014" s="501"/>
      <c r="AB1014" s="501"/>
      <c r="AC1014" s="501"/>
    </row>
    <row r="1015" spans="1:29">
      <c r="C1015" s="10"/>
      <c r="L1015" s="501"/>
      <c r="M1015" s="501"/>
      <c r="N1015" s="501"/>
      <c r="O1015" s="501"/>
      <c r="P1015" s="501"/>
      <c r="Q1015" s="501"/>
      <c r="T1015" s="501"/>
      <c r="U1015" s="501"/>
      <c r="V1015" s="501"/>
      <c r="W1015" s="501"/>
      <c r="X1015" s="501"/>
      <c r="AB1015" s="501"/>
      <c r="AC1015" s="501"/>
    </row>
    <row r="1016" spans="1:29">
      <c r="A1016" s="6"/>
      <c r="C1016" s="724"/>
      <c r="E1016" s="734"/>
      <c r="G1016" s="132"/>
      <c r="L1016" s="501"/>
      <c r="M1016" s="501"/>
      <c r="N1016" s="501"/>
      <c r="O1016" s="501"/>
      <c r="P1016" s="501"/>
      <c r="Q1016" s="501"/>
      <c r="T1016" s="501"/>
      <c r="U1016" s="501"/>
      <c r="V1016" s="501"/>
      <c r="W1016" s="501"/>
      <c r="X1016" s="501"/>
      <c r="AB1016" s="501"/>
      <c r="AC1016" s="501"/>
    </row>
    <row r="1017" spans="1:29">
      <c r="C1017" s="10"/>
      <c r="G1017" s="129"/>
      <c r="L1017" s="501"/>
      <c r="M1017" s="501"/>
      <c r="N1017" s="501"/>
      <c r="O1017" s="501"/>
      <c r="P1017" s="501"/>
      <c r="Q1017" s="501"/>
      <c r="T1017" s="501"/>
      <c r="U1017" s="501"/>
      <c r="V1017" s="501"/>
      <c r="W1017" s="501"/>
      <c r="X1017" s="501"/>
      <c r="AB1017" s="501"/>
      <c r="AC1017" s="501"/>
    </row>
    <row r="1018" spans="1:29">
      <c r="A1018" s="6"/>
      <c r="C1018" s="521"/>
      <c r="E1018" s="30"/>
      <c r="G1018" s="29"/>
      <c r="L1018" s="501"/>
      <c r="M1018" s="501"/>
      <c r="N1018" s="501"/>
      <c r="O1018" s="501"/>
      <c r="P1018" s="501"/>
      <c r="Q1018" s="501"/>
      <c r="T1018" s="501"/>
      <c r="U1018" s="501"/>
      <c r="V1018" s="501"/>
      <c r="W1018" s="501"/>
      <c r="X1018" s="501"/>
      <c r="AB1018" s="501"/>
      <c r="AC1018" s="501"/>
    </row>
    <row r="1019" spans="1:29">
      <c r="A1019" s="6"/>
      <c r="L1019" s="501"/>
      <c r="M1019" s="501"/>
      <c r="N1019" s="501"/>
      <c r="O1019" s="501"/>
      <c r="P1019" s="501"/>
      <c r="Q1019" s="501"/>
      <c r="T1019" s="501"/>
      <c r="U1019" s="501"/>
      <c r="V1019" s="501"/>
      <c r="W1019" s="501"/>
      <c r="X1019" s="501"/>
      <c r="AB1019" s="501"/>
      <c r="AC1019" s="501"/>
    </row>
    <row r="1020" spans="1:29">
      <c r="G1020" s="129"/>
      <c r="L1020" s="501"/>
      <c r="M1020" s="501"/>
      <c r="N1020" s="501"/>
      <c r="O1020" s="501"/>
      <c r="P1020" s="501"/>
      <c r="Q1020" s="501"/>
      <c r="T1020" s="501"/>
      <c r="U1020" s="501"/>
      <c r="V1020" s="501"/>
      <c r="W1020" s="501"/>
      <c r="X1020" s="501"/>
      <c r="AB1020" s="501"/>
      <c r="AC1020" s="501"/>
    </row>
    <row r="1021" spans="1:29">
      <c r="G1021" s="129"/>
      <c r="L1021" s="501"/>
      <c r="M1021" s="501"/>
      <c r="N1021" s="501"/>
      <c r="O1021" s="501"/>
      <c r="P1021" s="501"/>
      <c r="Q1021" s="501"/>
      <c r="T1021" s="501"/>
      <c r="U1021" s="501"/>
      <c r="V1021" s="501"/>
      <c r="W1021" s="501"/>
      <c r="X1021" s="501"/>
      <c r="AB1021" s="501"/>
      <c r="AC1021" s="501"/>
    </row>
    <row r="1022" spans="1:29">
      <c r="C1022" s="9"/>
      <c r="G1022" s="129"/>
      <c r="L1022" s="501"/>
      <c r="M1022" s="501"/>
      <c r="N1022" s="501"/>
      <c r="O1022" s="501"/>
      <c r="P1022" s="501"/>
      <c r="Q1022" s="501"/>
      <c r="T1022" s="501"/>
      <c r="U1022" s="501"/>
      <c r="V1022" s="501"/>
      <c r="W1022" s="501"/>
      <c r="X1022" s="501"/>
      <c r="AB1022" s="501"/>
      <c r="AC1022" s="501"/>
    </row>
    <row r="1023" spans="1:29">
      <c r="A1023" s="6"/>
      <c r="C1023" s="521"/>
      <c r="E1023" s="30"/>
      <c r="G1023" s="29"/>
      <c r="L1023" s="501"/>
      <c r="M1023" s="501"/>
      <c r="N1023" s="501"/>
      <c r="O1023" s="501"/>
      <c r="P1023" s="501"/>
      <c r="Q1023" s="501"/>
      <c r="T1023" s="501"/>
      <c r="U1023" s="501"/>
      <c r="V1023" s="501"/>
      <c r="W1023" s="501"/>
      <c r="X1023" s="501"/>
      <c r="AB1023" s="501"/>
      <c r="AC1023" s="501"/>
    </row>
    <row r="1024" spans="1:29">
      <c r="A1024" s="6"/>
      <c r="C1024" s="521"/>
      <c r="E1024" s="1"/>
      <c r="G1024" s="29"/>
      <c r="L1024" s="501"/>
      <c r="M1024" s="501"/>
      <c r="N1024" s="501"/>
      <c r="O1024" s="501"/>
      <c r="P1024" s="501"/>
      <c r="Q1024" s="501"/>
      <c r="T1024" s="501"/>
      <c r="U1024" s="501"/>
      <c r="V1024" s="501"/>
      <c r="W1024" s="501"/>
      <c r="X1024" s="501"/>
      <c r="AB1024" s="501"/>
      <c r="AC1024" s="501"/>
    </row>
    <row r="1025" spans="1:29">
      <c r="C1025" s="521"/>
      <c r="G1025" s="129"/>
      <c r="L1025" s="501"/>
      <c r="M1025" s="501"/>
      <c r="N1025" s="501"/>
      <c r="O1025" s="501"/>
      <c r="P1025" s="501"/>
      <c r="Q1025" s="501"/>
      <c r="T1025" s="501"/>
      <c r="U1025" s="501"/>
      <c r="V1025" s="501"/>
      <c r="W1025" s="501"/>
      <c r="X1025" s="501"/>
      <c r="AB1025" s="501"/>
      <c r="AC1025" s="501"/>
    </row>
    <row r="1026" spans="1:29">
      <c r="A1026" s="6"/>
      <c r="C1026" s="526"/>
      <c r="E1026" s="522"/>
      <c r="G1026" s="29"/>
      <c r="L1026" s="501"/>
      <c r="M1026" s="501"/>
      <c r="N1026" s="501"/>
      <c r="O1026" s="501"/>
      <c r="P1026" s="501"/>
      <c r="Q1026" s="501"/>
      <c r="T1026" s="501"/>
      <c r="U1026" s="501"/>
      <c r="V1026" s="501"/>
      <c r="W1026" s="501"/>
      <c r="X1026" s="501"/>
      <c r="AB1026" s="501"/>
      <c r="AC1026" s="501"/>
    </row>
    <row r="1027" spans="1:29">
      <c r="A1027" s="6"/>
      <c r="C1027" s="526"/>
      <c r="E1027" s="1"/>
      <c r="G1027" s="29"/>
      <c r="L1027" s="501"/>
      <c r="M1027" s="501"/>
      <c r="N1027" s="501"/>
      <c r="O1027" s="501"/>
      <c r="P1027" s="501"/>
      <c r="Q1027" s="501"/>
      <c r="T1027" s="501"/>
      <c r="U1027" s="501"/>
      <c r="V1027" s="501"/>
      <c r="W1027" s="501"/>
      <c r="X1027" s="501"/>
      <c r="AB1027" s="501"/>
      <c r="AC1027" s="501"/>
    </row>
    <row r="1028" spans="1:29">
      <c r="A1028" s="6"/>
      <c r="C1028" s="526"/>
      <c r="E1028" s="1"/>
      <c r="G1028" s="29"/>
      <c r="L1028" s="501"/>
      <c r="M1028" s="501"/>
      <c r="N1028" s="501"/>
      <c r="O1028" s="501"/>
      <c r="P1028" s="501"/>
      <c r="Q1028" s="501"/>
      <c r="T1028" s="501"/>
      <c r="U1028" s="501"/>
      <c r="V1028" s="501"/>
      <c r="W1028" s="501"/>
      <c r="X1028" s="501"/>
      <c r="AB1028" s="501"/>
      <c r="AC1028" s="501"/>
    </row>
    <row r="1029" spans="1:29">
      <c r="A1029" s="6"/>
      <c r="C1029" s="526"/>
      <c r="E1029" s="1"/>
      <c r="G1029" s="29"/>
      <c r="L1029" s="501"/>
      <c r="M1029" s="501"/>
      <c r="N1029" s="501"/>
      <c r="O1029" s="501"/>
      <c r="P1029" s="501"/>
      <c r="Q1029" s="501"/>
      <c r="T1029" s="501"/>
      <c r="U1029" s="501"/>
      <c r="V1029" s="501"/>
      <c r="W1029" s="501"/>
      <c r="X1029" s="501"/>
      <c r="AB1029" s="501"/>
      <c r="AC1029" s="501"/>
    </row>
    <row r="1030" spans="1:29">
      <c r="A1030" s="6"/>
      <c r="C1030" s="526"/>
      <c r="E1030" s="1"/>
      <c r="G1030" s="29"/>
      <c r="L1030" s="501"/>
      <c r="M1030" s="501"/>
      <c r="N1030" s="501"/>
      <c r="O1030" s="501"/>
      <c r="P1030" s="501"/>
      <c r="Q1030" s="501"/>
      <c r="T1030" s="501"/>
      <c r="U1030" s="501"/>
      <c r="V1030" s="501"/>
      <c r="W1030" s="501"/>
      <c r="X1030" s="501"/>
      <c r="AB1030" s="501"/>
      <c r="AC1030" s="501"/>
    </row>
    <row r="1031" spans="1:29">
      <c r="C1031" s="521"/>
      <c r="G1031" s="129"/>
      <c r="L1031" s="501"/>
      <c r="M1031" s="501"/>
      <c r="N1031" s="501"/>
      <c r="O1031" s="501"/>
      <c r="P1031" s="501"/>
      <c r="Q1031" s="501"/>
      <c r="T1031" s="501"/>
      <c r="U1031" s="501"/>
      <c r="V1031" s="501"/>
      <c r="W1031" s="501"/>
      <c r="X1031" s="501"/>
      <c r="AB1031" s="501"/>
      <c r="AC1031" s="501"/>
    </row>
    <row r="1032" spans="1:29">
      <c r="A1032" s="6"/>
      <c r="C1032" s="526"/>
      <c r="E1032" s="522"/>
      <c r="G1032" s="29"/>
      <c r="L1032" s="501"/>
      <c r="M1032" s="501"/>
      <c r="N1032" s="501"/>
      <c r="O1032" s="501"/>
      <c r="P1032" s="501"/>
      <c r="Q1032" s="501"/>
      <c r="T1032" s="501"/>
      <c r="U1032" s="501"/>
      <c r="V1032" s="501"/>
      <c r="W1032" s="501"/>
      <c r="X1032" s="501"/>
      <c r="AB1032" s="501"/>
      <c r="AC1032" s="501"/>
    </row>
    <row r="1033" spans="1:29">
      <c r="A1033" s="6"/>
      <c r="C1033" s="526"/>
      <c r="E1033" s="1"/>
      <c r="G1033" s="29"/>
      <c r="L1033" s="501"/>
      <c r="M1033" s="501"/>
      <c r="N1033" s="501"/>
      <c r="O1033" s="501"/>
      <c r="P1033" s="501"/>
      <c r="Q1033" s="501"/>
      <c r="T1033" s="501"/>
      <c r="U1033" s="501"/>
      <c r="V1033" s="501"/>
      <c r="W1033" s="501"/>
      <c r="X1033" s="501"/>
      <c r="AB1033" s="501"/>
      <c r="AC1033" s="501"/>
    </row>
    <row r="1034" spans="1:29">
      <c r="A1034" s="6"/>
      <c r="C1034" s="526"/>
      <c r="E1034" s="1"/>
      <c r="G1034" s="29"/>
      <c r="L1034" s="501"/>
      <c r="M1034" s="501"/>
      <c r="N1034" s="501"/>
      <c r="O1034" s="501"/>
      <c r="P1034" s="501"/>
      <c r="Q1034" s="501"/>
      <c r="T1034" s="501"/>
      <c r="U1034" s="501"/>
      <c r="V1034" s="501"/>
      <c r="W1034" s="501"/>
      <c r="X1034" s="501"/>
      <c r="AB1034" s="501"/>
      <c r="AC1034" s="501"/>
    </row>
    <row r="1035" spans="1:29">
      <c r="C1035" s="713"/>
      <c r="G1035" s="129"/>
      <c r="L1035" s="501"/>
      <c r="M1035" s="501"/>
      <c r="N1035" s="501"/>
      <c r="O1035" s="501"/>
      <c r="P1035" s="501"/>
      <c r="Q1035" s="501"/>
      <c r="T1035" s="501"/>
      <c r="U1035" s="501"/>
      <c r="V1035" s="501"/>
      <c r="W1035" s="501"/>
      <c r="X1035" s="501"/>
      <c r="AB1035" s="501"/>
      <c r="AC1035" s="501"/>
    </row>
    <row r="1036" spans="1:29">
      <c r="A1036" s="6"/>
      <c r="G1036" s="132"/>
      <c r="L1036" s="501"/>
      <c r="M1036" s="501"/>
      <c r="N1036" s="501"/>
      <c r="O1036" s="501"/>
      <c r="P1036" s="501"/>
      <c r="Q1036" s="501"/>
      <c r="T1036" s="501"/>
      <c r="U1036" s="501"/>
      <c r="V1036" s="501"/>
      <c r="W1036" s="501"/>
      <c r="X1036" s="501"/>
      <c r="AB1036" s="501"/>
      <c r="AC1036" s="501"/>
    </row>
    <row r="1037" spans="1:29">
      <c r="A1037" s="6"/>
      <c r="C1037" s="501"/>
      <c r="G1037" s="29"/>
      <c r="L1037" s="501"/>
      <c r="M1037" s="501"/>
      <c r="N1037" s="501"/>
      <c r="O1037" s="501"/>
      <c r="P1037" s="501"/>
      <c r="Q1037" s="501"/>
      <c r="T1037" s="501"/>
      <c r="U1037" s="501"/>
      <c r="V1037" s="501"/>
      <c r="W1037" s="501"/>
      <c r="X1037" s="501"/>
      <c r="AB1037" s="501"/>
      <c r="AC1037" s="501"/>
    </row>
    <row r="1038" spans="1:29">
      <c r="A1038" s="2"/>
      <c r="L1038" s="501"/>
      <c r="M1038" s="501"/>
      <c r="N1038" s="501"/>
      <c r="O1038" s="501"/>
      <c r="P1038" s="501"/>
      <c r="Q1038" s="501"/>
      <c r="T1038" s="501"/>
      <c r="U1038" s="501"/>
      <c r="V1038" s="501"/>
      <c r="W1038" s="501"/>
      <c r="X1038" s="501"/>
      <c r="AB1038" s="501"/>
      <c r="AC1038" s="501"/>
    </row>
    <row r="1039" spans="1:29">
      <c r="G1039" s="129"/>
      <c r="L1039" s="501"/>
      <c r="M1039" s="501"/>
      <c r="N1039" s="501"/>
      <c r="O1039" s="501"/>
      <c r="P1039" s="501"/>
      <c r="Q1039" s="501"/>
      <c r="T1039" s="501"/>
      <c r="U1039" s="501"/>
      <c r="V1039" s="501"/>
      <c r="W1039" s="501"/>
      <c r="X1039" s="501"/>
      <c r="AB1039" s="501"/>
      <c r="AC1039" s="501"/>
    </row>
    <row r="1040" spans="1:29">
      <c r="G1040" s="129"/>
      <c r="L1040" s="501"/>
      <c r="M1040" s="501"/>
      <c r="N1040" s="501"/>
      <c r="O1040" s="501"/>
      <c r="P1040" s="501"/>
      <c r="Q1040" s="501"/>
      <c r="T1040" s="501"/>
      <c r="U1040" s="501"/>
      <c r="V1040" s="501"/>
      <c r="W1040" s="501"/>
      <c r="X1040" s="501"/>
      <c r="AB1040" s="501"/>
      <c r="AC1040" s="501"/>
    </row>
    <row r="1041" spans="1:29">
      <c r="G1041" s="129"/>
      <c r="L1041" s="501"/>
      <c r="M1041" s="501"/>
      <c r="N1041" s="501"/>
      <c r="O1041" s="501"/>
      <c r="P1041" s="501"/>
      <c r="Q1041" s="501"/>
      <c r="T1041" s="501"/>
      <c r="U1041" s="501"/>
      <c r="V1041" s="501"/>
      <c r="W1041" s="501"/>
      <c r="X1041" s="501"/>
      <c r="AB1041" s="501"/>
      <c r="AC1041" s="501"/>
    </row>
    <row r="1042" spans="1:29">
      <c r="A1042" s="581"/>
      <c r="B1042" s="4"/>
      <c r="C1042" s="4"/>
      <c r="D1042" s="4"/>
      <c r="E1042" s="4"/>
      <c r="F1042" s="4"/>
      <c r="G1042" s="4"/>
      <c r="H1042" s="4"/>
      <c r="I1042" s="4"/>
      <c r="J1042" s="4"/>
      <c r="K1042" s="4"/>
      <c r="L1042" s="501"/>
      <c r="M1042" s="501"/>
      <c r="N1042" s="501"/>
      <c r="O1042" s="501"/>
      <c r="P1042" s="501"/>
      <c r="Q1042" s="501"/>
      <c r="R1042" s="4"/>
      <c r="S1042" s="4"/>
      <c r="T1042" s="501"/>
      <c r="U1042" s="501"/>
      <c r="V1042" s="501"/>
      <c r="W1042" s="501"/>
      <c r="X1042" s="501"/>
      <c r="Y1042" s="4"/>
      <c r="Z1042" s="4"/>
      <c r="AA1042" s="4"/>
      <c r="AB1042" s="501"/>
      <c r="AC1042" s="501"/>
    </row>
    <row r="1043" spans="1:29">
      <c r="A1043" s="731"/>
      <c r="B1043" s="581"/>
      <c r="C1043" s="581"/>
      <c r="D1043" s="581"/>
      <c r="E1043" s="581"/>
      <c r="F1043" s="581"/>
      <c r="G1043" s="581"/>
      <c r="H1043" s="581"/>
      <c r="I1043" s="581"/>
      <c r="J1043" s="581"/>
      <c r="K1043" s="581"/>
      <c r="L1043" s="501"/>
      <c r="M1043" s="501"/>
      <c r="N1043" s="501"/>
      <c r="O1043" s="501"/>
      <c r="P1043" s="501"/>
      <c r="Q1043" s="501"/>
      <c r="R1043" s="581"/>
      <c r="S1043" s="581"/>
      <c r="T1043" s="501"/>
      <c r="U1043" s="501"/>
      <c r="V1043" s="501"/>
      <c r="W1043" s="501"/>
      <c r="X1043" s="501"/>
      <c r="Y1043" s="581"/>
      <c r="Z1043" s="581"/>
      <c r="AA1043" s="581"/>
      <c r="AB1043" s="501"/>
      <c r="AC1043" s="501"/>
    </row>
    <row r="1044" spans="1:29">
      <c r="A1044" s="6"/>
      <c r="B1044" s="6"/>
      <c r="C1044" s="6"/>
      <c r="D1044" s="6"/>
      <c r="E1044" s="3"/>
      <c r="F1044" s="6"/>
      <c r="G1044" s="3"/>
      <c r="H1044" s="6"/>
      <c r="I1044" s="6"/>
      <c r="J1044" s="6"/>
      <c r="K1044" s="6"/>
      <c r="L1044" s="501"/>
      <c r="M1044" s="501"/>
      <c r="N1044" s="501"/>
      <c r="O1044" s="501"/>
      <c r="P1044" s="501"/>
      <c r="Q1044" s="501"/>
      <c r="R1044" s="6"/>
      <c r="S1044" s="6"/>
      <c r="T1044" s="501"/>
      <c r="U1044" s="501"/>
      <c r="V1044" s="501"/>
      <c r="W1044" s="501"/>
      <c r="X1044" s="501"/>
      <c r="Y1044" s="6"/>
      <c r="Z1044" s="6"/>
      <c r="AA1044" s="6"/>
      <c r="AB1044" s="501"/>
      <c r="AC1044" s="501"/>
    </row>
    <row r="1045" spans="1:29">
      <c r="A1045" s="3"/>
      <c r="B1045" s="3"/>
      <c r="C1045" s="3"/>
      <c r="D1045" s="3"/>
      <c r="E1045" s="6"/>
      <c r="F1045" s="3"/>
      <c r="G1045" s="6"/>
      <c r="H1045" s="3"/>
      <c r="I1045" s="3"/>
      <c r="J1045" s="3"/>
      <c r="K1045" s="3"/>
      <c r="L1045" s="501"/>
      <c r="M1045" s="501"/>
      <c r="N1045" s="501"/>
      <c r="O1045" s="501"/>
      <c r="P1045" s="501"/>
      <c r="Q1045" s="501"/>
      <c r="R1045" s="3"/>
      <c r="S1045" s="3"/>
      <c r="T1045" s="501"/>
      <c r="U1045" s="501"/>
      <c r="V1045" s="501"/>
      <c r="W1045" s="501"/>
      <c r="X1045" s="501"/>
      <c r="Y1045" s="3"/>
      <c r="Z1045" s="3"/>
      <c r="AA1045" s="3"/>
      <c r="AB1045" s="501"/>
      <c r="AC1045" s="501"/>
    </row>
    <row r="1046" spans="1:29">
      <c r="A1046" s="5"/>
      <c r="B1046" s="5"/>
      <c r="C1046" s="5"/>
      <c r="D1046" s="5"/>
      <c r="E1046" s="6"/>
      <c r="F1046" s="5"/>
      <c r="G1046" s="17"/>
      <c r="H1046" s="5"/>
      <c r="I1046" s="5"/>
      <c r="J1046" s="5"/>
      <c r="K1046" s="5"/>
      <c r="L1046" s="501"/>
      <c r="M1046" s="501"/>
      <c r="N1046" s="501"/>
      <c r="O1046" s="501"/>
      <c r="P1046" s="501"/>
      <c r="Q1046" s="501"/>
      <c r="R1046" s="5"/>
      <c r="S1046" s="5"/>
      <c r="T1046" s="501"/>
      <c r="U1046" s="501"/>
      <c r="V1046" s="501"/>
      <c r="W1046" s="501"/>
      <c r="X1046" s="501"/>
      <c r="Y1046" s="5"/>
      <c r="Z1046" s="5"/>
      <c r="AA1046" s="5"/>
      <c r="AB1046" s="501"/>
      <c r="AC1046" s="501"/>
    </row>
    <row r="1047" spans="1:29">
      <c r="A1047" s="6"/>
      <c r="B1047" s="58"/>
      <c r="C1047" s="58"/>
      <c r="D1047" s="58"/>
      <c r="E1047" s="6"/>
      <c r="F1047" s="58"/>
      <c r="G1047" s="6"/>
      <c r="H1047" s="58"/>
      <c r="I1047" s="58"/>
      <c r="J1047" s="58"/>
      <c r="K1047" s="58"/>
      <c r="L1047" s="501"/>
      <c r="M1047" s="501"/>
      <c r="N1047" s="501"/>
      <c r="O1047" s="501"/>
      <c r="P1047" s="501"/>
      <c r="Q1047" s="501"/>
      <c r="R1047" s="58"/>
      <c r="S1047" s="58"/>
      <c r="T1047" s="501"/>
      <c r="U1047" s="501"/>
      <c r="V1047" s="501"/>
      <c r="W1047" s="501"/>
      <c r="X1047" s="501"/>
      <c r="Y1047" s="58"/>
      <c r="Z1047" s="58"/>
      <c r="AA1047" s="58"/>
      <c r="AB1047" s="501"/>
      <c r="AC1047" s="501"/>
    </row>
    <row r="1048" spans="1:29">
      <c r="A1048" s="6"/>
      <c r="B1048" s="58"/>
      <c r="C1048" s="58"/>
      <c r="D1048" s="58"/>
      <c r="E1048" s="6"/>
      <c r="F1048" s="58"/>
      <c r="G1048" s="6"/>
      <c r="H1048" s="58"/>
      <c r="I1048" s="58"/>
      <c r="J1048" s="58"/>
      <c r="K1048" s="58"/>
      <c r="L1048" s="501"/>
      <c r="M1048" s="501"/>
      <c r="N1048" s="501"/>
      <c r="O1048" s="501"/>
      <c r="P1048" s="501"/>
      <c r="Q1048" s="501"/>
      <c r="R1048" s="58"/>
      <c r="S1048" s="58"/>
      <c r="T1048" s="501"/>
      <c r="U1048" s="501"/>
      <c r="V1048" s="501"/>
      <c r="W1048" s="501"/>
      <c r="X1048" s="501"/>
      <c r="Y1048" s="58"/>
      <c r="Z1048" s="58"/>
      <c r="AA1048" s="58"/>
      <c r="AB1048" s="501"/>
      <c r="AC1048" s="501"/>
    </row>
    <row r="1049" spans="1:29">
      <c r="G1049" s="129"/>
      <c r="L1049" s="501"/>
      <c r="M1049" s="501"/>
      <c r="N1049" s="501"/>
      <c r="O1049" s="501"/>
      <c r="P1049" s="501"/>
      <c r="Q1049" s="501"/>
      <c r="T1049" s="501"/>
      <c r="U1049" s="501"/>
      <c r="V1049" s="501"/>
      <c r="W1049" s="501"/>
      <c r="X1049" s="501"/>
      <c r="AB1049" s="501"/>
      <c r="AC1049" s="501"/>
    </row>
    <row r="1050" spans="1:29">
      <c r="C1050" s="9"/>
      <c r="G1050" s="129"/>
      <c r="L1050" s="501"/>
      <c r="M1050" s="501"/>
      <c r="N1050" s="501"/>
      <c r="O1050" s="501"/>
      <c r="P1050" s="501"/>
      <c r="Q1050" s="501"/>
      <c r="T1050" s="501"/>
      <c r="U1050" s="501"/>
      <c r="V1050" s="501"/>
      <c r="W1050" s="501"/>
      <c r="X1050" s="501"/>
      <c r="AB1050" s="501"/>
      <c r="AC1050" s="501"/>
    </row>
    <row r="1051" spans="1:29">
      <c r="A1051" s="6"/>
      <c r="C1051" s="521"/>
      <c r="E1051" s="522"/>
      <c r="G1051" s="29"/>
      <c r="L1051" s="501"/>
      <c r="M1051" s="501"/>
      <c r="N1051" s="501"/>
      <c r="O1051" s="501"/>
      <c r="P1051" s="501"/>
      <c r="Q1051" s="501"/>
      <c r="T1051" s="501"/>
      <c r="U1051" s="501"/>
      <c r="V1051" s="501"/>
      <c r="W1051" s="501"/>
      <c r="X1051" s="501"/>
      <c r="AB1051" s="501"/>
      <c r="AC1051" s="501"/>
    </row>
    <row r="1052" spans="1:29">
      <c r="A1052" s="6"/>
      <c r="C1052" s="521"/>
      <c r="E1052" s="501"/>
      <c r="G1052" s="29"/>
      <c r="L1052" s="501"/>
      <c r="M1052" s="501"/>
      <c r="N1052" s="501"/>
      <c r="O1052" s="501"/>
      <c r="P1052" s="501"/>
      <c r="Q1052" s="501"/>
      <c r="T1052" s="501"/>
      <c r="U1052" s="501"/>
      <c r="V1052" s="501"/>
      <c r="W1052" s="501"/>
      <c r="X1052" s="501"/>
      <c r="AB1052" s="501"/>
      <c r="AC1052" s="501"/>
    </row>
    <row r="1053" spans="1:29">
      <c r="A1053" s="6"/>
      <c r="C1053" s="705"/>
      <c r="E1053" s="522"/>
      <c r="G1053" s="29"/>
      <c r="L1053" s="501"/>
      <c r="M1053" s="501"/>
      <c r="N1053" s="501"/>
      <c r="O1053" s="501"/>
      <c r="P1053" s="501"/>
      <c r="Q1053" s="501"/>
      <c r="T1053" s="501"/>
      <c r="U1053" s="501"/>
      <c r="V1053" s="501"/>
      <c r="W1053" s="501"/>
      <c r="X1053" s="501"/>
      <c r="AB1053" s="501"/>
      <c r="AC1053" s="501"/>
    </row>
    <row r="1054" spans="1:29">
      <c r="A1054" s="6"/>
      <c r="C1054" s="705"/>
      <c r="E1054" s="522"/>
      <c r="G1054" s="29"/>
      <c r="L1054" s="501"/>
      <c r="M1054" s="501"/>
      <c r="N1054" s="501"/>
      <c r="O1054" s="501"/>
      <c r="P1054" s="501"/>
      <c r="Q1054" s="501"/>
      <c r="T1054" s="501"/>
      <c r="U1054" s="501"/>
      <c r="V1054" s="501"/>
      <c r="W1054" s="501"/>
      <c r="X1054" s="501"/>
      <c r="AB1054" s="501"/>
      <c r="AC1054" s="501"/>
    </row>
    <row r="1055" spans="1:29">
      <c r="A1055" s="6"/>
      <c r="C1055" s="705"/>
      <c r="E1055" s="522"/>
      <c r="G1055" s="29"/>
      <c r="L1055" s="501"/>
      <c r="M1055" s="501"/>
      <c r="N1055" s="501"/>
      <c r="O1055" s="501"/>
      <c r="P1055" s="501"/>
      <c r="Q1055" s="501"/>
      <c r="T1055" s="501"/>
      <c r="U1055" s="501"/>
      <c r="V1055" s="501"/>
      <c r="W1055" s="501"/>
      <c r="X1055" s="501"/>
      <c r="AB1055" s="501"/>
      <c r="AC1055" s="501"/>
    </row>
    <row r="1056" spans="1:29">
      <c r="A1056" s="6"/>
      <c r="C1056" s="521"/>
      <c r="E1056" s="501"/>
      <c r="G1056" s="29"/>
      <c r="L1056" s="501"/>
      <c r="M1056" s="501"/>
      <c r="N1056" s="501"/>
      <c r="O1056" s="501"/>
      <c r="P1056" s="501"/>
      <c r="Q1056" s="501"/>
      <c r="T1056" s="501"/>
      <c r="U1056" s="501"/>
      <c r="V1056" s="501"/>
      <c r="W1056" s="501"/>
      <c r="X1056" s="501"/>
      <c r="AB1056" s="501"/>
      <c r="AC1056" s="501"/>
    </row>
    <row r="1057" spans="1:29">
      <c r="A1057" s="6"/>
      <c r="C1057" s="697"/>
      <c r="E1057" s="522"/>
      <c r="G1057" s="29"/>
      <c r="L1057" s="501"/>
      <c r="M1057" s="501"/>
      <c r="N1057" s="501"/>
      <c r="O1057" s="501"/>
      <c r="P1057" s="501"/>
      <c r="Q1057" s="501"/>
      <c r="T1057" s="501"/>
      <c r="U1057" s="501"/>
      <c r="V1057" s="501"/>
      <c r="W1057" s="501"/>
      <c r="X1057" s="501"/>
      <c r="AB1057" s="501"/>
      <c r="AC1057" s="501"/>
    </row>
    <row r="1058" spans="1:29">
      <c r="A1058" s="6"/>
      <c r="C1058" s="501"/>
      <c r="G1058" s="29"/>
      <c r="L1058" s="501"/>
      <c r="M1058" s="501"/>
      <c r="N1058" s="501"/>
      <c r="O1058" s="501"/>
      <c r="P1058" s="501"/>
      <c r="Q1058" s="501"/>
      <c r="T1058" s="501"/>
      <c r="U1058" s="501"/>
      <c r="V1058" s="501"/>
      <c r="W1058" s="501"/>
      <c r="X1058" s="501"/>
      <c r="AB1058" s="501"/>
      <c r="AC1058" s="501"/>
    </row>
    <row r="1059" spans="1:29">
      <c r="A1059" s="6"/>
      <c r="C1059" s="501"/>
      <c r="G1059" s="132"/>
      <c r="L1059" s="501"/>
      <c r="M1059" s="501"/>
      <c r="N1059" s="501"/>
      <c r="O1059" s="501"/>
      <c r="P1059" s="501"/>
      <c r="Q1059" s="501"/>
      <c r="T1059" s="501"/>
      <c r="U1059" s="501"/>
      <c r="V1059" s="501"/>
      <c r="W1059" s="501"/>
      <c r="X1059" s="501"/>
      <c r="AB1059" s="501"/>
      <c r="AC1059" s="501"/>
    </row>
    <row r="1060" spans="1:29">
      <c r="A1060" s="6"/>
      <c r="C1060" s="501"/>
      <c r="G1060" s="129"/>
      <c r="L1060" s="501"/>
      <c r="M1060" s="501"/>
      <c r="N1060" s="501"/>
      <c r="O1060" s="501"/>
      <c r="P1060" s="501"/>
      <c r="Q1060" s="501"/>
      <c r="T1060" s="501"/>
      <c r="U1060" s="501"/>
      <c r="V1060" s="501"/>
      <c r="W1060" s="501"/>
      <c r="X1060" s="501"/>
      <c r="AB1060" s="501"/>
      <c r="AC1060" s="501"/>
    </row>
    <row r="1061" spans="1:29">
      <c r="A1061" s="6"/>
      <c r="C1061" s="726"/>
      <c r="G1061" s="129"/>
      <c r="L1061" s="501"/>
      <c r="M1061" s="501"/>
      <c r="N1061" s="501"/>
      <c r="O1061" s="501"/>
      <c r="P1061" s="501"/>
      <c r="Q1061" s="501"/>
      <c r="T1061" s="501"/>
      <c r="U1061" s="501"/>
      <c r="V1061" s="501"/>
      <c r="W1061" s="501"/>
      <c r="X1061" s="501"/>
      <c r="AB1061" s="501"/>
      <c r="AC1061" s="501"/>
    </row>
    <row r="1062" spans="1:29">
      <c r="A1062" s="6"/>
      <c r="C1062" s="727"/>
      <c r="G1062" s="129"/>
      <c r="L1062" s="501"/>
      <c r="M1062" s="501"/>
      <c r="N1062" s="501"/>
      <c r="O1062" s="501"/>
      <c r="P1062" s="501"/>
      <c r="Q1062" s="501"/>
      <c r="T1062" s="501"/>
      <c r="U1062" s="501"/>
      <c r="V1062" s="501"/>
      <c r="W1062" s="501"/>
      <c r="X1062" s="501"/>
      <c r="AB1062" s="501"/>
      <c r="AC1062" s="501"/>
    </row>
    <row r="1063" spans="1:29">
      <c r="A1063" s="6"/>
      <c r="C1063" s="501"/>
      <c r="G1063" s="129"/>
      <c r="L1063" s="501"/>
      <c r="M1063" s="501"/>
      <c r="N1063" s="501"/>
      <c r="O1063" s="501"/>
      <c r="P1063" s="501"/>
      <c r="Q1063" s="501"/>
      <c r="T1063" s="501"/>
      <c r="U1063" s="501"/>
      <c r="V1063" s="501"/>
      <c r="W1063" s="501"/>
      <c r="X1063" s="501"/>
      <c r="AB1063" s="501"/>
      <c r="AC1063" s="501"/>
    </row>
    <row r="1064" spans="1:29">
      <c r="A1064" s="6"/>
      <c r="L1064" s="501"/>
      <c r="M1064" s="501"/>
      <c r="N1064" s="501"/>
      <c r="O1064" s="501"/>
      <c r="P1064" s="501"/>
      <c r="Q1064" s="501"/>
      <c r="T1064" s="501"/>
      <c r="U1064" s="501"/>
      <c r="V1064" s="501"/>
      <c r="W1064" s="501"/>
      <c r="X1064" s="501"/>
      <c r="AB1064" s="501"/>
      <c r="AC1064" s="501"/>
    </row>
    <row r="1065" spans="1:29">
      <c r="A1065" s="6"/>
      <c r="C1065" s="727"/>
      <c r="G1065" s="735"/>
      <c r="L1065" s="501"/>
      <c r="M1065" s="501"/>
      <c r="N1065" s="501"/>
      <c r="O1065" s="501"/>
      <c r="P1065" s="501"/>
      <c r="Q1065" s="501"/>
      <c r="T1065" s="501"/>
      <c r="U1065" s="501"/>
      <c r="V1065" s="501"/>
      <c r="W1065" s="501"/>
      <c r="X1065" s="501"/>
      <c r="AB1065" s="501"/>
      <c r="AC1065" s="501"/>
    </row>
    <row r="1066" spans="1:29">
      <c r="A1066" s="6"/>
      <c r="L1066" s="501"/>
      <c r="M1066" s="501"/>
      <c r="N1066" s="501"/>
      <c r="O1066" s="501"/>
      <c r="P1066" s="501"/>
      <c r="Q1066" s="501"/>
      <c r="T1066" s="501"/>
      <c r="U1066" s="501"/>
      <c r="V1066" s="501"/>
      <c r="W1066" s="501"/>
      <c r="X1066" s="501"/>
      <c r="AB1066" s="501"/>
      <c r="AC1066" s="501"/>
    </row>
    <row r="1067" spans="1:29">
      <c r="A1067" s="6"/>
      <c r="L1067" s="501"/>
      <c r="M1067" s="501"/>
      <c r="N1067" s="501"/>
      <c r="O1067" s="501"/>
      <c r="P1067" s="501"/>
      <c r="Q1067" s="501"/>
      <c r="T1067" s="501"/>
      <c r="U1067" s="501"/>
      <c r="V1067" s="501"/>
      <c r="W1067" s="501"/>
      <c r="X1067" s="501"/>
      <c r="AB1067" s="501"/>
      <c r="AC1067" s="501"/>
    </row>
    <row r="1068" spans="1:29">
      <c r="B1068" s="9"/>
      <c r="D1068" s="9"/>
      <c r="F1068" s="9"/>
      <c r="H1068" s="9"/>
      <c r="I1068" s="9"/>
      <c r="J1068" s="9"/>
      <c r="K1068" s="9"/>
      <c r="L1068" s="501"/>
      <c r="M1068" s="501"/>
      <c r="N1068" s="501"/>
      <c r="O1068" s="501"/>
      <c r="P1068" s="501"/>
      <c r="Q1068" s="501"/>
      <c r="R1068" s="9"/>
      <c r="S1068" s="9"/>
      <c r="T1068" s="501"/>
      <c r="U1068" s="501"/>
      <c r="V1068" s="501"/>
      <c r="W1068" s="501"/>
      <c r="X1068" s="501"/>
      <c r="Y1068" s="9"/>
      <c r="Z1068" s="9"/>
      <c r="AA1068" s="9"/>
      <c r="AB1068" s="501"/>
      <c r="AC1068" s="501"/>
    </row>
    <row r="1069" spans="1:29">
      <c r="B1069" s="15"/>
      <c r="C1069" s="15"/>
      <c r="D1069" s="15"/>
      <c r="F1069" s="15"/>
      <c r="H1069" s="15"/>
      <c r="I1069" s="15"/>
      <c r="J1069" s="15"/>
      <c r="K1069" s="15"/>
      <c r="L1069" s="501"/>
      <c r="M1069" s="501"/>
      <c r="N1069" s="501"/>
      <c r="O1069" s="501"/>
      <c r="P1069" s="501"/>
      <c r="Q1069" s="501"/>
      <c r="R1069" s="15"/>
      <c r="S1069" s="15"/>
      <c r="T1069" s="501"/>
      <c r="U1069" s="501"/>
      <c r="V1069" s="501"/>
      <c r="W1069" s="501"/>
      <c r="X1069" s="501"/>
      <c r="Y1069" s="15"/>
      <c r="Z1069" s="15"/>
      <c r="AA1069" s="15"/>
      <c r="AB1069" s="501"/>
      <c r="AC1069" s="501"/>
    </row>
    <row r="1070" spans="1:29">
      <c r="C1070" s="15"/>
      <c r="L1070" s="501"/>
      <c r="M1070" s="501"/>
      <c r="N1070" s="501"/>
      <c r="O1070" s="501"/>
      <c r="P1070" s="501"/>
      <c r="Q1070" s="501"/>
      <c r="T1070" s="501"/>
      <c r="U1070" s="501"/>
      <c r="V1070" s="501"/>
      <c r="W1070" s="501"/>
      <c r="X1070" s="501"/>
      <c r="AB1070" s="501"/>
      <c r="AC1070" s="501"/>
    </row>
    <row r="1071" spans="1:29">
      <c r="C1071" s="15"/>
    </row>
    <row r="1072" spans="1:29">
      <c r="C1072" s="15"/>
    </row>
    <row r="1073" spans="3:7">
      <c r="C1073" s="15"/>
    </row>
    <row r="1081" spans="3:7">
      <c r="G1081" s="314"/>
    </row>
    <row r="1082" spans="3:7">
      <c r="G1082" s="252"/>
    </row>
    <row r="1083" spans="3:7">
      <c r="G1083" s="252"/>
    </row>
    <row r="1084" spans="3:7">
      <c r="G1084" s="252"/>
    </row>
  </sheetData>
  <mergeCells count="85">
    <mergeCell ref="G842:J842"/>
    <mergeCell ref="L842:P842"/>
    <mergeCell ref="S842:X842"/>
    <mergeCell ref="Z842:AC842"/>
    <mergeCell ref="A802:AC802"/>
    <mergeCell ref="G804:J804"/>
    <mergeCell ref="L804:P804"/>
    <mergeCell ref="S804:X804"/>
    <mergeCell ref="Z804:AC804"/>
    <mergeCell ref="A840:AC840"/>
    <mergeCell ref="G770:J770"/>
    <mergeCell ref="L770:P770"/>
    <mergeCell ref="S770:X770"/>
    <mergeCell ref="Z770:AC770"/>
    <mergeCell ref="A674:AC674"/>
    <mergeCell ref="G676:J676"/>
    <mergeCell ref="L676:P676"/>
    <mergeCell ref="S676:X676"/>
    <mergeCell ref="Z676:AC676"/>
    <mergeCell ref="A715:AC715"/>
    <mergeCell ref="G717:J717"/>
    <mergeCell ref="L717:P717"/>
    <mergeCell ref="S717:X717"/>
    <mergeCell ref="Z717:AC717"/>
    <mergeCell ref="A768:AC768"/>
    <mergeCell ref="G628:J628"/>
    <mergeCell ref="L628:P628"/>
    <mergeCell ref="S628:X628"/>
    <mergeCell ref="Z628:AC628"/>
    <mergeCell ref="A522:AC522"/>
    <mergeCell ref="G524:J524"/>
    <mergeCell ref="L524:P524"/>
    <mergeCell ref="S524:X524"/>
    <mergeCell ref="Z524:AC524"/>
    <mergeCell ref="A572:AC572"/>
    <mergeCell ref="G574:J574"/>
    <mergeCell ref="L574:P574"/>
    <mergeCell ref="S574:X574"/>
    <mergeCell ref="Z574:AC574"/>
    <mergeCell ref="A626:AC626"/>
    <mergeCell ref="G467:J467"/>
    <mergeCell ref="L467:P467"/>
    <mergeCell ref="S467:X467"/>
    <mergeCell ref="Z467:AC467"/>
    <mergeCell ref="A343:AC343"/>
    <mergeCell ref="G345:J345"/>
    <mergeCell ref="L345:P345"/>
    <mergeCell ref="S345:X345"/>
    <mergeCell ref="Z345:AC345"/>
    <mergeCell ref="A410:AC410"/>
    <mergeCell ref="G412:J412"/>
    <mergeCell ref="L412:P412"/>
    <mergeCell ref="S412:X412"/>
    <mergeCell ref="Z412:AC412"/>
    <mergeCell ref="A465:AC465"/>
    <mergeCell ref="G273:J273"/>
    <mergeCell ref="L273:P273"/>
    <mergeCell ref="S273:X273"/>
    <mergeCell ref="Z273:AC273"/>
    <mergeCell ref="A152:AC152"/>
    <mergeCell ref="G154:J154"/>
    <mergeCell ref="L154:P154"/>
    <mergeCell ref="S154:X154"/>
    <mergeCell ref="Z154:AC154"/>
    <mergeCell ref="A218:AC218"/>
    <mergeCell ref="G220:J220"/>
    <mergeCell ref="L220:P220"/>
    <mergeCell ref="S220:X220"/>
    <mergeCell ref="Z220:AC220"/>
    <mergeCell ref="A271:AC271"/>
    <mergeCell ref="G113:J113"/>
    <mergeCell ref="L113:P113"/>
    <mergeCell ref="S113:X113"/>
    <mergeCell ref="Z113:AC113"/>
    <mergeCell ref="A6:AC6"/>
    <mergeCell ref="G8:J8"/>
    <mergeCell ref="L8:P8"/>
    <mergeCell ref="S8:X8"/>
    <mergeCell ref="Z8:AC8"/>
    <mergeCell ref="A62:AC62"/>
    <mergeCell ref="G64:J64"/>
    <mergeCell ref="L64:P64"/>
    <mergeCell ref="S64:X64"/>
    <mergeCell ref="Z64:AC64"/>
    <mergeCell ref="A111:AC111"/>
  </mergeCells>
  <printOptions horizontalCentered="1"/>
  <pageMargins left="0.25" right="0.25" top="0.75" bottom="0.75" header="0.3" footer="0.3"/>
  <pageSetup scale="48" fitToHeight="0" orientation="landscape" r:id="rId1"/>
  <headerFooter>
    <oddHeader>&amp;R&amp;10Filed: 2024-02-16
EB-2022-0200
Rate Order
Working Papers
Schedule 19
Page &amp;P of 51</oddHeader>
  </headerFooter>
  <rowBreaks count="17" manualBreakCount="17">
    <brk id="57" max="28" man="1"/>
    <brk id="106" max="28" man="1"/>
    <brk id="146" max="28" man="1"/>
    <brk id="213" max="28" man="1"/>
    <brk id="266" max="28" man="1"/>
    <brk id="336" max="28" man="1"/>
    <brk id="404" max="28" man="1"/>
    <brk id="459" max="28" man="1"/>
    <brk id="516" max="28" man="1"/>
    <brk id="566" max="28" man="1"/>
    <brk id="621" max="28" man="1"/>
    <brk id="670" max="28" man="1"/>
    <brk id="712" max="28" man="1"/>
    <brk id="764" max="28" man="1"/>
    <brk id="799" max="28" man="1"/>
    <brk id="837" max="16383" man="1"/>
    <brk id="875" max="30" man="1"/>
  </rowBreaks>
  <colBreaks count="1" manualBreakCount="1">
    <brk id="3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A59F-9E78-41AF-B67F-8F3E0787BD01}">
  <sheetPr>
    <pageSetUpPr fitToPage="1"/>
  </sheetPr>
  <dimension ref="A1:AM1078"/>
  <sheetViews>
    <sheetView view="pageBreakPreview" zoomScaleNormal="85" zoomScaleSheetLayoutView="100" workbookViewId="0">
      <selection activeCell="G3" sqref="G3"/>
    </sheetView>
  </sheetViews>
  <sheetFormatPr defaultColWidth="8" defaultRowHeight="12.6"/>
  <cols>
    <col min="1" max="1" width="4" style="1" customWidth="1"/>
    <col min="2" max="2" width="3" style="2" customWidth="1"/>
    <col min="3" max="3" width="42.125" style="2" customWidth="1"/>
    <col min="4" max="4" width="1.25" style="2" customWidth="1"/>
    <col min="5" max="5" width="9.25" style="2" customWidth="1"/>
    <col min="6" max="6" width="1.25" style="2" customWidth="1"/>
    <col min="7" max="7" width="11" style="2" bestFit="1" customWidth="1"/>
    <col min="8" max="8" width="1.75" style="2" bestFit="1" customWidth="1"/>
    <col min="9" max="9" width="9.5" style="2" customWidth="1"/>
    <col min="10" max="10" width="11.75" style="2" bestFit="1" customWidth="1"/>
    <col min="11" max="11" width="1.25" style="2" customWidth="1"/>
    <col min="12" max="12" width="10" style="252" bestFit="1" customWidth="1"/>
    <col min="13" max="13" width="10.75" style="252" customWidth="1"/>
    <col min="14" max="14" width="13.25" style="252" customWidth="1"/>
    <col min="15" max="15" width="1.25" style="2" customWidth="1"/>
    <col min="16" max="16" width="12.25" style="2" customWidth="1"/>
    <col min="17" max="17" width="10" style="252" bestFit="1" customWidth="1"/>
    <col min="18" max="18" width="9.125" style="252" bestFit="1" customWidth="1"/>
    <col min="19" max="19" width="1.25" style="2" customWidth="1"/>
    <col min="20" max="20" width="10.5" style="2" customWidth="1"/>
    <col min="21" max="21" width="10" style="2" customWidth="1"/>
    <col min="22" max="22" width="11" style="252" customWidth="1"/>
    <col min="23" max="23" width="10.625" style="252" customWidth="1"/>
    <col min="24" max="24" width="9.25" style="252" customWidth="1"/>
    <col min="25" max="25" width="8" style="252"/>
    <col min="26" max="26" width="10" style="530" customWidth="1"/>
    <col min="27" max="27" width="5.25" style="530" bestFit="1" customWidth="1"/>
    <col min="28" max="28" width="10.25" style="530" bestFit="1" customWidth="1"/>
    <col min="29" max="29" width="5.25" style="530" bestFit="1" customWidth="1"/>
    <col min="30" max="30" width="8.625" style="530" bestFit="1" customWidth="1"/>
    <col min="31" max="31" width="5.25" style="252" bestFit="1" customWidth="1"/>
    <col min="32" max="32" width="9.75" style="736" bestFit="1" customWidth="1"/>
    <col min="33" max="16384" width="8" style="252"/>
  </cols>
  <sheetData>
    <row r="1" spans="1:32">
      <c r="L1" s="2"/>
      <c r="M1" s="2"/>
      <c r="N1" s="501"/>
      <c r="Q1" s="501"/>
      <c r="R1" s="501"/>
      <c r="V1" s="501"/>
      <c r="W1" s="501"/>
    </row>
    <row r="2" spans="1:32">
      <c r="L2" s="2"/>
      <c r="M2" s="2"/>
      <c r="N2" s="501"/>
      <c r="Q2" s="501"/>
      <c r="R2" s="501"/>
      <c r="V2" s="501"/>
      <c r="W2" s="501"/>
    </row>
    <row r="3" spans="1:32">
      <c r="L3" s="2"/>
      <c r="M3" s="2"/>
      <c r="N3" s="501"/>
      <c r="Q3" s="501"/>
      <c r="R3" s="501"/>
      <c r="V3" s="501"/>
      <c r="W3" s="501"/>
    </row>
    <row r="4" spans="1:32">
      <c r="L4" s="2"/>
      <c r="M4" s="2"/>
      <c r="N4" s="501"/>
      <c r="Q4" s="501"/>
      <c r="R4" s="501"/>
      <c r="V4" s="501"/>
      <c r="W4" s="501"/>
    </row>
    <row r="5" spans="1:32">
      <c r="A5" s="1156" t="s">
        <v>230</v>
      </c>
      <c r="B5" s="1156"/>
      <c r="C5" s="1156"/>
      <c r="D5" s="1156"/>
      <c r="E5" s="1156"/>
      <c r="F5" s="1156"/>
      <c r="G5" s="1156"/>
      <c r="H5" s="1156"/>
      <c r="I5" s="1156"/>
      <c r="J5" s="1156"/>
      <c r="K5" s="1156"/>
      <c r="L5" s="1156"/>
      <c r="M5" s="1156"/>
      <c r="N5" s="1156"/>
      <c r="O5" s="1156"/>
      <c r="P5" s="1156"/>
      <c r="Q5" s="1156"/>
      <c r="R5" s="1156"/>
      <c r="S5" s="1156"/>
      <c r="T5" s="1156"/>
      <c r="U5" s="1156"/>
      <c r="V5" s="1156"/>
      <c r="W5" s="1156"/>
      <c r="X5" s="531"/>
    </row>
    <row r="6" spans="1:32" ht="15" customHeight="1">
      <c r="A6" s="1156" t="s">
        <v>471</v>
      </c>
      <c r="B6" s="1156"/>
      <c r="C6" s="1156"/>
      <c r="D6" s="1156"/>
      <c r="E6" s="1156"/>
      <c r="F6" s="1156"/>
      <c r="G6" s="1156"/>
      <c r="H6" s="1156"/>
      <c r="I6" s="1156"/>
      <c r="J6" s="1156"/>
      <c r="K6" s="1156"/>
      <c r="L6" s="1156"/>
      <c r="M6" s="1156"/>
      <c r="N6" s="1156"/>
      <c r="O6" s="1156"/>
      <c r="P6" s="1156"/>
      <c r="Q6" s="1156"/>
      <c r="R6" s="1156"/>
      <c r="S6" s="1156"/>
      <c r="T6" s="1156"/>
      <c r="U6" s="1156"/>
      <c r="V6" s="1156"/>
      <c r="W6" s="1156"/>
      <c r="X6" s="737"/>
      <c r="Y6" s="737"/>
    </row>
    <row r="7" spans="1:32" ht="11.65" customHeight="1">
      <c r="A7" s="57"/>
      <c r="B7" s="57"/>
      <c r="C7" s="57"/>
      <c r="D7" s="57"/>
      <c r="E7" s="3"/>
      <c r="F7" s="57"/>
      <c r="G7" s="3"/>
      <c r="H7" s="57"/>
      <c r="I7" s="57"/>
      <c r="J7" s="57"/>
      <c r="K7" s="57"/>
      <c r="L7" s="57"/>
      <c r="M7" s="57"/>
      <c r="N7" s="501"/>
      <c r="O7" s="57"/>
      <c r="P7" s="57"/>
      <c r="Q7" s="501"/>
      <c r="R7" s="501"/>
      <c r="S7" s="57"/>
      <c r="T7" s="57"/>
      <c r="U7" s="57"/>
      <c r="V7" s="501"/>
      <c r="W7" s="501"/>
    </row>
    <row r="8" spans="1:32" ht="26.65" customHeight="1">
      <c r="A8" s="3"/>
      <c r="B8" s="3"/>
      <c r="C8" s="3"/>
      <c r="D8" s="3"/>
      <c r="E8" s="57"/>
      <c r="F8" s="1152" t="s">
        <v>231</v>
      </c>
      <c r="G8" s="1152"/>
      <c r="H8" s="1152"/>
      <c r="I8" s="1152"/>
      <c r="J8" s="1152"/>
      <c r="K8" s="3"/>
      <c r="L8" s="1157" t="s">
        <v>94</v>
      </c>
      <c r="M8" s="1157"/>
      <c r="N8" s="58"/>
      <c r="O8" s="3"/>
      <c r="P8" s="59"/>
      <c r="Q8" s="1157" t="s">
        <v>95</v>
      </c>
      <c r="R8" s="1157"/>
      <c r="S8" s="3"/>
      <c r="T8" s="1152" t="s">
        <v>472</v>
      </c>
      <c r="U8" s="1152"/>
      <c r="V8" s="1152"/>
      <c r="W8" s="1152"/>
      <c r="X8" s="6"/>
    </row>
    <row r="9" spans="1:32" ht="37.5">
      <c r="A9" s="5" t="s">
        <v>56</v>
      </c>
      <c r="B9" s="5"/>
      <c r="C9" s="5"/>
      <c r="D9" s="5"/>
      <c r="E9" s="6" t="s">
        <v>233</v>
      </c>
      <c r="F9" s="5"/>
      <c r="G9" s="17" t="s">
        <v>234</v>
      </c>
      <c r="H9" s="5"/>
      <c r="I9" s="17" t="s">
        <v>235</v>
      </c>
      <c r="J9" s="17" t="s">
        <v>101</v>
      </c>
      <c r="K9" s="5"/>
      <c r="L9" s="17" t="s">
        <v>106</v>
      </c>
      <c r="M9" s="17" t="s">
        <v>236</v>
      </c>
      <c r="N9" s="5" t="s">
        <v>239</v>
      </c>
      <c r="O9" s="5"/>
      <c r="P9" s="5" t="s">
        <v>240</v>
      </c>
      <c r="Q9" s="17" t="s">
        <v>106</v>
      </c>
      <c r="R9" s="17" t="s">
        <v>236</v>
      </c>
      <c r="S9" s="5"/>
      <c r="T9" s="17" t="s">
        <v>241</v>
      </c>
      <c r="U9" s="17" t="s">
        <v>242</v>
      </c>
      <c r="V9" s="17" t="s">
        <v>243</v>
      </c>
      <c r="W9" s="5" t="s">
        <v>244</v>
      </c>
      <c r="X9" s="5"/>
    </row>
    <row r="10" spans="1:32" ht="14.45">
      <c r="A10" s="237" t="s">
        <v>57</v>
      </c>
      <c r="B10" s="58"/>
      <c r="C10" s="59" t="s">
        <v>194</v>
      </c>
      <c r="D10" s="58"/>
      <c r="E10" s="237" t="s">
        <v>245</v>
      </c>
      <c r="F10" s="58"/>
      <c r="G10" s="237" t="s">
        <v>246</v>
      </c>
      <c r="H10" s="58"/>
      <c r="I10" s="237" t="s">
        <v>247</v>
      </c>
      <c r="J10" s="237" t="s">
        <v>248</v>
      </c>
      <c r="K10" s="58"/>
      <c r="L10" s="237" t="s">
        <v>248</v>
      </c>
      <c r="M10" s="237" t="s">
        <v>248</v>
      </c>
      <c r="N10" s="237" t="s">
        <v>248</v>
      </c>
      <c r="O10" s="58"/>
      <c r="P10" s="237" t="s">
        <v>248</v>
      </c>
      <c r="Q10" s="237" t="s">
        <v>248</v>
      </c>
      <c r="R10" s="237" t="s">
        <v>248</v>
      </c>
      <c r="S10" s="58"/>
      <c r="T10" s="237" t="s">
        <v>248</v>
      </c>
      <c r="U10" s="237" t="s">
        <v>247</v>
      </c>
      <c r="V10" s="237" t="s">
        <v>248</v>
      </c>
      <c r="W10" s="237" t="s">
        <v>249</v>
      </c>
      <c r="X10" s="6"/>
      <c r="Z10" s="1158"/>
      <c r="AA10" s="1158"/>
      <c r="AB10" s="1158"/>
      <c r="AC10" s="1158"/>
      <c r="AD10" s="1158"/>
    </row>
    <row r="11" spans="1:32">
      <c r="A11" s="6"/>
      <c r="B11" s="58"/>
      <c r="C11" s="58"/>
      <c r="D11" s="58"/>
      <c r="E11" s="6"/>
      <c r="F11" s="58"/>
      <c r="G11" s="6" t="s">
        <v>9</v>
      </c>
      <c r="H11" s="6"/>
      <c r="I11" s="6" t="s">
        <v>10</v>
      </c>
      <c r="J11" s="6" t="s">
        <v>58</v>
      </c>
      <c r="K11" s="6"/>
      <c r="L11" s="123" t="s">
        <v>12</v>
      </c>
      <c r="M11" s="123" t="s">
        <v>13</v>
      </c>
      <c r="N11" s="6" t="s">
        <v>473</v>
      </c>
      <c r="O11" s="6"/>
      <c r="P11" s="6" t="s">
        <v>474</v>
      </c>
      <c r="Q11" s="6" t="s">
        <v>210</v>
      </c>
      <c r="R11" s="6" t="s">
        <v>118</v>
      </c>
      <c r="S11" s="6"/>
      <c r="T11" s="6" t="s">
        <v>475</v>
      </c>
      <c r="U11" s="6" t="s">
        <v>120</v>
      </c>
      <c r="V11" s="6" t="s">
        <v>476</v>
      </c>
      <c r="W11" s="6" t="s">
        <v>477</v>
      </c>
      <c r="X11" s="6"/>
    </row>
    <row r="12" spans="1:32" ht="12.95">
      <c r="A12" s="6"/>
      <c r="B12" s="58"/>
      <c r="C12" s="9" t="s">
        <v>125</v>
      </c>
      <c r="D12" s="58"/>
      <c r="E12" s="533"/>
      <c r="F12" s="58"/>
      <c r="G12" s="533"/>
      <c r="H12" s="58"/>
      <c r="I12" s="534"/>
      <c r="J12" s="534"/>
      <c r="K12" s="58"/>
      <c r="L12" s="534"/>
      <c r="M12" s="534"/>
      <c r="N12" s="534"/>
      <c r="O12" s="58"/>
      <c r="P12" s="58"/>
      <c r="Q12" s="534"/>
      <c r="R12" s="534"/>
      <c r="S12" s="58"/>
      <c r="T12" s="58"/>
      <c r="U12" s="58"/>
      <c r="V12" s="501"/>
      <c r="W12" s="501"/>
    </row>
    <row r="13" spans="1:32" ht="12.95">
      <c r="A13" s="6"/>
      <c r="B13" s="58"/>
      <c r="C13" s="9" t="s">
        <v>127</v>
      </c>
      <c r="D13" s="58"/>
      <c r="E13" s="533"/>
      <c r="F13" s="58"/>
      <c r="G13" s="533"/>
      <c r="H13" s="58"/>
      <c r="I13" s="534"/>
      <c r="J13" s="534"/>
      <c r="K13" s="58"/>
      <c r="L13" s="534"/>
      <c r="M13" s="534"/>
      <c r="N13" s="534"/>
      <c r="O13" s="58"/>
      <c r="P13" s="58"/>
      <c r="Q13" s="534"/>
      <c r="R13" s="534"/>
      <c r="S13" s="58"/>
      <c r="T13" s="58"/>
      <c r="U13" s="58"/>
      <c r="V13" s="501"/>
      <c r="W13" s="501"/>
    </row>
    <row r="14" spans="1:32">
      <c r="A14" s="6">
        <v>1</v>
      </c>
      <c r="B14" s="58"/>
      <c r="C14" s="10" t="s">
        <v>258</v>
      </c>
      <c r="D14" s="58"/>
      <c r="E14" s="535" t="s">
        <v>259</v>
      </c>
      <c r="F14" s="58"/>
      <c r="G14" s="536">
        <v>25957058</v>
      </c>
      <c r="H14" s="58"/>
      <c r="I14" s="537">
        <v>21.878786989991127</v>
      </c>
      <c r="J14" s="536">
        <f>G14*I14/1000</f>
        <v>567908.94286884507</v>
      </c>
      <c r="K14" s="58"/>
      <c r="L14" s="538">
        <v>0</v>
      </c>
      <c r="M14" s="538">
        <v>0</v>
      </c>
      <c r="N14" s="534">
        <f>J14-L14-M14</f>
        <v>567908.94286884507</v>
      </c>
      <c r="O14" s="58"/>
      <c r="P14" s="536">
        <v>15518.274592247908</v>
      </c>
      <c r="Q14" s="536">
        <v>58464.788364658962</v>
      </c>
      <c r="R14" s="538">
        <v>0</v>
      </c>
      <c r="S14" s="58"/>
      <c r="T14" s="539">
        <f>N14+P14+Q14+R14</f>
        <v>641892.00582575193</v>
      </c>
      <c r="U14" s="540">
        <f>T14/G14*1000</f>
        <v>24.728996861884422</v>
      </c>
      <c r="V14" s="534">
        <f>T14-J14</f>
        <v>73983.062956906855</v>
      </c>
      <c r="W14" s="541">
        <f>U14/I14-1</f>
        <v>0.13027275566955243</v>
      </c>
      <c r="X14" s="542"/>
      <c r="Z14" s="738"/>
      <c r="AB14" s="738"/>
      <c r="AD14" s="738"/>
      <c r="AF14" s="739"/>
    </row>
    <row r="15" spans="1:32">
      <c r="A15" s="6"/>
      <c r="B15" s="58"/>
      <c r="C15" s="521" t="s">
        <v>260</v>
      </c>
      <c r="D15" s="58"/>
      <c r="E15" s="545"/>
      <c r="F15" s="58"/>
      <c r="G15" s="536"/>
      <c r="H15" s="58"/>
      <c r="I15" s="546"/>
      <c r="J15" s="534"/>
      <c r="K15" s="58"/>
      <c r="L15" s="538"/>
      <c r="M15" s="538"/>
      <c r="N15" s="534"/>
      <c r="O15" s="58"/>
      <c r="P15" s="58"/>
      <c r="Q15" s="534"/>
      <c r="R15" s="538"/>
      <c r="S15" s="58"/>
      <c r="T15" s="539"/>
      <c r="U15" s="540"/>
      <c r="V15" s="534"/>
      <c r="W15" s="6"/>
      <c r="X15" s="542"/>
    </row>
    <row r="16" spans="1:32">
      <c r="A16" s="6">
        <f>MAX(A$13:A15)+1</f>
        <v>2</v>
      </c>
      <c r="B16" s="58"/>
      <c r="C16" s="12" t="s">
        <v>261</v>
      </c>
      <c r="D16" s="58"/>
      <c r="E16" s="535" t="s">
        <v>262</v>
      </c>
      <c r="F16" s="58"/>
      <c r="G16" s="536">
        <v>712504.72543658817</v>
      </c>
      <c r="H16" s="58"/>
      <c r="I16" s="547">
        <v>9.5616692595911292</v>
      </c>
      <c r="J16" s="536">
        <f>G16*I16/100</f>
        <v>68127.345305204435</v>
      </c>
      <c r="K16" s="58"/>
      <c r="L16" s="536">
        <v>6370.5021444180629</v>
      </c>
      <c r="M16" s="538">
        <v>0</v>
      </c>
      <c r="N16" s="534">
        <f t="shared" ref="N16:N19" si="0">J16-L16-M16</f>
        <v>61756.843160786375</v>
      </c>
      <c r="O16" s="58"/>
      <c r="P16" s="536">
        <v>1687.5234351447725</v>
      </c>
      <c r="Q16" s="536">
        <v>1489.3069266303887</v>
      </c>
      <c r="R16" s="538">
        <v>0</v>
      </c>
      <c r="S16" s="58"/>
      <c r="T16" s="539">
        <f>N16+P16+Q16+R16</f>
        <v>64933.673522561534</v>
      </c>
      <c r="U16" s="548">
        <f>T16/G16*100</f>
        <v>9.1134375961890424</v>
      </c>
      <c r="V16" s="549">
        <f>T16-J16</f>
        <v>-3193.6717826429012</v>
      </c>
      <c r="W16" s="541"/>
      <c r="X16" s="542"/>
      <c r="Z16" s="738"/>
      <c r="AB16" s="738"/>
      <c r="AD16" s="738"/>
      <c r="AF16" s="740"/>
    </row>
    <row r="17" spans="1:32">
      <c r="A17" s="6">
        <f>MAX(A$13:A16)+1</f>
        <v>3</v>
      </c>
      <c r="B17" s="58"/>
      <c r="C17" s="12" t="s">
        <v>263</v>
      </c>
      <c r="D17" s="58"/>
      <c r="E17" s="535" t="s">
        <v>262</v>
      </c>
      <c r="F17" s="58"/>
      <c r="G17" s="536">
        <v>1022924.1636396735</v>
      </c>
      <c r="H17" s="58"/>
      <c r="I17" s="547">
        <v>8.8860279917706571</v>
      </c>
      <c r="J17" s="536">
        <f>G17*I17/100</f>
        <v>90897.327515607278</v>
      </c>
      <c r="K17" s="58"/>
      <c r="L17" s="536">
        <v>9145.9612061528078</v>
      </c>
      <c r="M17" s="538">
        <v>0</v>
      </c>
      <c r="N17" s="534">
        <f t="shared" si="0"/>
        <v>81751.366309454475</v>
      </c>
      <c r="O17" s="58"/>
      <c r="P17" s="536">
        <v>2233.8795094032248</v>
      </c>
      <c r="Q17" s="536">
        <v>2138.1585103069574</v>
      </c>
      <c r="R17" s="538">
        <v>0</v>
      </c>
      <c r="S17" s="58"/>
      <c r="T17" s="539">
        <f>N17+P17+Q17+R17</f>
        <v>86123.404329164652</v>
      </c>
      <c r="U17" s="548">
        <f>T17/G17*100</f>
        <v>8.4193342371274493</v>
      </c>
      <c r="V17" s="549">
        <f>T17-J17</f>
        <v>-4773.9231864426256</v>
      </c>
      <c r="W17" s="541"/>
      <c r="X17" s="542"/>
      <c r="Z17" s="738"/>
      <c r="AB17" s="738"/>
      <c r="AD17" s="738"/>
      <c r="AF17" s="740"/>
    </row>
    <row r="18" spans="1:32">
      <c r="A18" s="6">
        <f>MAX(A$13:A17)+1</f>
        <v>4</v>
      </c>
      <c r="B18" s="58"/>
      <c r="C18" s="12" t="s">
        <v>264</v>
      </c>
      <c r="D18" s="58"/>
      <c r="E18" s="535" t="s">
        <v>262</v>
      </c>
      <c r="F18" s="58"/>
      <c r="G18" s="536">
        <v>1109755.6772268531</v>
      </c>
      <c r="H18" s="58"/>
      <c r="I18" s="547">
        <v>8.3569694314837264</v>
      </c>
      <c r="J18" s="536">
        <f>G18*I18/100</f>
        <v>92741.942710003335</v>
      </c>
      <c r="K18" s="58"/>
      <c r="L18" s="536">
        <v>9922.3214515831023</v>
      </c>
      <c r="M18" s="538">
        <v>0</v>
      </c>
      <c r="N18" s="534">
        <f t="shared" si="0"/>
        <v>82819.621258420229</v>
      </c>
      <c r="O18" s="58"/>
      <c r="P18" s="536">
        <v>2263.0698819809768</v>
      </c>
      <c r="Q18" s="536">
        <v>2319.6573411476188</v>
      </c>
      <c r="R18" s="538">
        <v>0</v>
      </c>
      <c r="S18" s="58"/>
      <c r="T18" s="539">
        <f>N18+P18+Q18+R18</f>
        <v>87402.348481548819</v>
      </c>
      <c r="U18" s="548">
        <f>T18/G18*100</f>
        <v>7.8758190000844914</v>
      </c>
      <c r="V18" s="549">
        <f>T18-J18</f>
        <v>-5339.5942284545163</v>
      </c>
      <c r="W18" s="541"/>
      <c r="X18" s="542"/>
      <c r="Z18" s="738"/>
      <c r="AB18" s="738"/>
      <c r="AD18" s="738"/>
      <c r="AF18" s="740"/>
    </row>
    <row r="19" spans="1:32">
      <c r="A19" s="6">
        <f>MAX(A$13:A18)+1</f>
        <v>5</v>
      </c>
      <c r="B19" s="58"/>
      <c r="C19" s="12" t="s">
        <v>265</v>
      </c>
      <c r="D19" s="58"/>
      <c r="E19" s="535" t="s">
        <v>262</v>
      </c>
      <c r="F19" s="58"/>
      <c r="G19" s="536">
        <v>2166403.060431628</v>
      </c>
      <c r="H19" s="58"/>
      <c r="I19" s="547">
        <v>7.9625807490111589</v>
      </c>
      <c r="J19" s="536">
        <f>G19*I19/100</f>
        <v>172501.59303591738</v>
      </c>
      <c r="K19" s="58"/>
      <c r="L19" s="536">
        <v>19369.80184053785</v>
      </c>
      <c r="M19" s="538">
        <v>0</v>
      </c>
      <c r="N19" s="534">
        <f t="shared" si="0"/>
        <v>153131.79119537954</v>
      </c>
      <c r="O19" s="58"/>
      <c r="P19" s="536">
        <v>4184.3700727239193</v>
      </c>
      <c r="Q19" s="536">
        <v>4528.3055235838492</v>
      </c>
      <c r="R19" s="538">
        <v>0</v>
      </c>
      <c r="S19" s="58"/>
      <c r="T19" s="539">
        <f>N19+P19+Q19+R19</f>
        <v>161844.4667916873</v>
      </c>
      <c r="U19" s="548">
        <f>T19/G19*100</f>
        <v>7.4706535338554163</v>
      </c>
      <c r="V19" s="549">
        <f>T19-J19</f>
        <v>-10657.126244230079</v>
      </c>
      <c r="W19" s="541"/>
      <c r="X19" s="542"/>
      <c r="Z19" s="738"/>
      <c r="AB19" s="738"/>
      <c r="AD19" s="738"/>
      <c r="AF19" s="740"/>
    </row>
    <row r="20" spans="1:32">
      <c r="A20" s="6">
        <f>MAX(A$13:A19)+1</f>
        <v>6</v>
      </c>
      <c r="B20" s="58"/>
      <c r="C20" s="521" t="s">
        <v>260</v>
      </c>
      <c r="D20" s="58"/>
      <c r="E20" s="545"/>
      <c r="F20" s="58"/>
      <c r="G20" s="550">
        <f>SUM(G16:G19)</f>
        <v>5011587.6267347429</v>
      </c>
      <c r="H20" s="58"/>
      <c r="I20" s="551">
        <f>J20/G20*100</f>
        <v>8.4657445936580533</v>
      </c>
      <c r="J20" s="552">
        <f>SUM(J16:J19)</f>
        <v>424268.20856673241</v>
      </c>
      <c r="K20" s="58"/>
      <c r="L20" s="553">
        <f>SUM(L16:L19)</f>
        <v>44808.586642691822</v>
      </c>
      <c r="M20" s="555">
        <v>0</v>
      </c>
      <c r="N20" s="552">
        <f>SUM(N16:N19)</f>
        <v>379459.62192404061</v>
      </c>
      <c r="O20" s="58"/>
      <c r="P20" s="554">
        <f>SUM(P16:P19)</f>
        <v>10368.842899252893</v>
      </c>
      <c r="Q20" s="552">
        <f>SUM(Q16:Q19)</f>
        <v>10475.428301668813</v>
      </c>
      <c r="R20" s="555">
        <f t="shared" ref="R20" si="1">SUM(R16:R19)</f>
        <v>0</v>
      </c>
      <c r="S20" s="58"/>
      <c r="T20" s="554">
        <f>SUM(T16:T19)</f>
        <v>400303.89312496228</v>
      </c>
      <c r="U20" s="556">
        <f>T20/G20*100</f>
        <v>7.9875664747336135</v>
      </c>
      <c r="V20" s="557">
        <f>SUM(V16:V19)</f>
        <v>-23964.315441770123</v>
      </c>
      <c r="W20" s="558">
        <f>U20/I20-1</f>
        <v>-5.6483882030017529E-2</v>
      </c>
      <c r="X20" s="559"/>
      <c r="Z20" s="738"/>
      <c r="AB20" s="738"/>
      <c r="AD20" s="738"/>
      <c r="AF20" s="740"/>
    </row>
    <row r="21" spans="1:32">
      <c r="A21" s="6"/>
      <c r="B21" s="58"/>
      <c r="C21" s="10"/>
      <c r="D21" s="58"/>
      <c r="E21" s="545"/>
      <c r="F21" s="58"/>
      <c r="G21" s="536"/>
      <c r="H21" s="58"/>
      <c r="I21" s="534"/>
      <c r="J21" s="534"/>
      <c r="K21" s="58"/>
      <c r="L21" s="538"/>
      <c r="M21" s="538"/>
      <c r="N21" s="534"/>
      <c r="O21" s="58"/>
      <c r="P21" s="58"/>
      <c r="Q21" s="534"/>
      <c r="R21" s="538"/>
      <c r="S21" s="58"/>
      <c r="T21" s="58"/>
      <c r="U21" s="58"/>
      <c r="V21" s="501"/>
      <c r="W21" s="541"/>
      <c r="X21" s="542"/>
    </row>
    <row r="22" spans="1:32">
      <c r="A22" s="6">
        <f>MAX(A$13:A21)+1</f>
        <v>7</v>
      </c>
      <c r="B22" s="58"/>
      <c r="C22" s="10" t="s">
        <v>266</v>
      </c>
      <c r="D22" s="58"/>
      <c r="E22" s="545"/>
      <c r="F22" s="58"/>
      <c r="G22" s="550">
        <f>G20</f>
        <v>5011587.6267347429</v>
      </c>
      <c r="H22" s="58"/>
      <c r="I22" s="551">
        <f>J22/G22*100</f>
        <v>19.797661446498982</v>
      </c>
      <c r="J22" s="552">
        <f>J14+J20</f>
        <v>992177.15143557754</v>
      </c>
      <c r="K22" s="534"/>
      <c r="L22" s="552">
        <f>L14+L20</f>
        <v>44808.586642691822</v>
      </c>
      <c r="M22" s="555">
        <f t="shared" ref="M22:R22" si="2">M14+M20</f>
        <v>0</v>
      </c>
      <c r="N22" s="552">
        <f t="shared" si="2"/>
        <v>947368.56479288568</v>
      </c>
      <c r="O22" s="534"/>
      <c r="P22" s="552">
        <f t="shared" si="2"/>
        <v>25887.117491500801</v>
      </c>
      <c r="Q22" s="552">
        <f t="shared" si="2"/>
        <v>68940.216666327775</v>
      </c>
      <c r="R22" s="555">
        <f t="shared" si="2"/>
        <v>0</v>
      </c>
      <c r="S22" s="534"/>
      <c r="T22" s="552">
        <f>T14+T20</f>
        <v>1042195.8989507142</v>
      </c>
      <c r="U22" s="592">
        <f>T22/G22*100</f>
        <v>20.795723363012371</v>
      </c>
      <c r="V22" s="555">
        <f>V14+V20</f>
        <v>50018.747515136733</v>
      </c>
      <c r="W22" s="562">
        <f>U22/I22-1</f>
        <v>5.0413121732106658E-2</v>
      </c>
      <c r="X22" s="542"/>
      <c r="Y22" s="563"/>
      <c r="Z22" s="741"/>
      <c r="AB22" s="741"/>
      <c r="AD22" s="741"/>
    </row>
    <row r="23" spans="1:32">
      <c r="E23" s="545"/>
      <c r="G23" s="536"/>
      <c r="I23" s="534"/>
      <c r="J23" s="534"/>
      <c r="L23" s="538"/>
      <c r="M23" s="538"/>
      <c r="N23" s="538"/>
      <c r="O23" s="64"/>
      <c r="P23" s="64"/>
      <c r="Q23" s="538"/>
      <c r="R23" s="538"/>
      <c r="S23" s="64"/>
      <c r="T23" s="64"/>
      <c r="U23" s="64"/>
      <c r="V23" s="538"/>
      <c r="W23" s="541"/>
      <c r="X23" s="542"/>
      <c r="Y23" s="563"/>
    </row>
    <row r="24" spans="1:32">
      <c r="A24" s="6">
        <f>MAX(A$13:A23)+1</f>
        <v>8</v>
      </c>
      <c r="B24" s="58"/>
      <c r="C24" s="12" t="s">
        <v>267</v>
      </c>
      <c r="D24" s="58"/>
      <c r="E24" s="535" t="s">
        <v>262</v>
      </c>
      <c r="F24" s="58"/>
      <c r="G24" s="536">
        <v>5011587.6267347429</v>
      </c>
      <c r="H24" s="58"/>
      <c r="I24" s="547">
        <v>0.69423121843054436</v>
      </c>
      <c r="J24" s="536">
        <f>G24*I24/100</f>
        <v>34792.005843795007</v>
      </c>
      <c r="K24" s="58"/>
      <c r="L24" s="538">
        <v>0</v>
      </c>
      <c r="M24" s="536">
        <v>15787.788096522025</v>
      </c>
      <c r="N24" s="538">
        <f>J24-L24-M24</f>
        <v>19004.217747272982</v>
      </c>
      <c r="O24" s="564"/>
      <c r="P24" s="536">
        <v>519.29569540369266</v>
      </c>
      <c r="Q24" s="538">
        <v>0</v>
      </c>
      <c r="R24" s="536">
        <v>15733.138523330314</v>
      </c>
      <c r="S24" s="564"/>
      <c r="T24" s="564">
        <f>N24+P24+Q24+R24</f>
        <v>35256.65196600699</v>
      </c>
      <c r="U24" s="565">
        <f>T24/G24*100</f>
        <v>0.70350265408764601</v>
      </c>
      <c r="V24" s="538">
        <f>T24-J24</f>
        <v>464.64612221198331</v>
      </c>
      <c r="W24" s="559">
        <f>U24/I24-1</f>
        <v>1.3354967928497441E-2</v>
      </c>
      <c r="X24" s="559"/>
      <c r="Y24" s="563"/>
      <c r="Z24" s="738"/>
      <c r="AB24" s="738"/>
      <c r="AD24" s="738"/>
      <c r="AF24" s="740"/>
    </row>
    <row r="25" spans="1:32">
      <c r="A25" s="6"/>
      <c r="B25" s="58"/>
      <c r="C25" s="12"/>
      <c r="D25" s="58"/>
      <c r="E25" s="535"/>
      <c r="F25" s="58"/>
      <c r="G25" s="536"/>
      <c r="H25" s="58"/>
      <c r="I25" s="547"/>
      <c r="J25" s="536"/>
      <c r="K25" s="58"/>
      <c r="L25" s="538"/>
      <c r="M25" s="536"/>
      <c r="N25" s="538"/>
      <c r="O25" s="564"/>
      <c r="P25" s="536"/>
      <c r="Q25" s="538"/>
      <c r="R25" s="536"/>
      <c r="S25" s="564"/>
      <c r="T25" s="564"/>
      <c r="U25" s="565"/>
      <c r="V25" s="538"/>
      <c r="W25" s="559"/>
      <c r="X25" s="559"/>
      <c r="Y25" s="563"/>
      <c r="Z25" s="738"/>
      <c r="AB25" s="738"/>
      <c r="AD25" s="738"/>
      <c r="AF25" s="740"/>
    </row>
    <row r="26" spans="1:32">
      <c r="A26" s="6"/>
      <c r="B26" s="58"/>
      <c r="C26" s="10" t="s">
        <v>268</v>
      </c>
      <c r="D26" s="58"/>
      <c r="E26" s="535"/>
      <c r="F26" s="58"/>
      <c r="G26" s="536"/>
      <c r="H26" s="58"/>
      <c r="I26" s="547"/>
      <c r="J26" s="536"/>
      <c r="K26" s="58"/>
      <c r="L26" s="538"/>
      <c r="M26" s="536"/>
      <c r="N26" s="538"/>
      <c r="O26" s="564"/>
      <c r="P26" s="536"/>
      <c r="Q26" s="538"/>
      <c r="R26" s="536"/>
      <c r="S26" s="564"/>
      <c r="T26" s="564"/>
      <c r="U26" s="565"/>
      <c r="V26" s="538"/>
      <c r="W26" s="559"/>
      <c r="X26" s="559"/>
      <c r="Y26" s="563"/>
      <c r="Z26" s="738"/>
      <c r="AB26" s="738"/>
      <c r="AD26" s="738"/>
      <c r="AF26" s="740"/>
    </row>
    <row r="27" spans="1:32">
      <c r="A27" s="6">
        <f>MAX(A$13:A24)+1</f>
        <v>9</v>
      </c>
      <c r="B27" s="58"/>
      <c r="C27" s="12" t="s">
        <v>268</v>
      </c>
      <c r="D27" s="58"/>
      <c r="E27" s="535" t="s">
        <v>262</v>
      </c>
      <c r="F27" s="58"/>
      <c r="G27" s="536">
        <v>4941365.8225043351</v>
      </c>
      <c r="H27" s="58"/>
      <c r="I27" s="547">
        <v>7.5247902377075362E-2</v>
      </c>
      <c r="J27" s="536">
        <f>G27*I27/100</f>
        <v>3718.274130212229</v>
      </c>
      <c r="K27" s="58"/>
      <c r="L27" s="538">
        <v>0</v>
      </c>
      <c r="M27" s="538">
        <v>0</v>
      </c>
      <c r="N27" s="538">
        <f t="shared" ref="N27:N28" si="3">J27-L27-M27</f>
        <v>3718.274130212229</v>
      </c>
      <c r="O27" s="564"/>
      <c r="P27" s="536">
        <v>101.60290604053898</v>
      </c>
      <c r="Q27" s="538">
        <v>0</v>
      </c>
      <c r="R27" s="538">
        <v>0</v>
      </c>
      <c r="S27" s="564"/>
      <c r="T27" s="564">
        <f>N27+P27+Q27+R27</f>
        <v>3819.877036252768</v>
      </c>
      <c r="U27" s="565">
        <f>T27/G27*100</f>
        <v>7.7304072871026877E-2</v>
      </c>
      <c r="V27" s="538">
        <f>T27-J27</f>
        <v>101.60290604053898</v>
      </c>
      <c r="W27" s="541"/>
      <c r="X27" s="542"/>
      <c r="Y27" s="563"/>
      <c r="Z27" s="738"/>
      <c r="AB27" s="738"/>
      <c r="AD27" s="738"/>
      <c r="AF27" s="740"/>
    </row>
    <row r="28" spans="1:32">
      <c r="A28" s="6">
        <f>MAX(A$13:A27)+1</f>
        <v>10</v>
      </c>
      <c r="B28" s="58"/>
      <c r="C28" s="12" t="s">
        <v>269</v>
      </c>
      <c r="D28" s="58"/>
      <c r="E28" s="535" t="s">
        <v>262</v>
      </c>
      <c r="F28" s="58"/>
      <c r="G28" s="536">
        <v>70111.872093691025</v>
      </c>
      <c r="H28" s="58"/>
      <c r="I28" s="547">
        <v>0.59779333782231125</v>
      </c>
      <c r="J28" s="536">
        <f>G28*I28/100</f>
        <v>419.12410039858514</v>
      </c>
      <c r="K28" s="58"/>
      <c r="L28" s="538">
        <v>0</v>
      </c>
      <c r="M28" s="538">
        <v>0</v>
      </c>
      <c r="N28" s="538">
        <f t="shared" si="3"/>
        <v>419.12410039858514</v>
      </c>
      <c r="O28" s="564"/>
      <c r="P28" s="536">
        <v>11.452686139010495</v>
      </c>
      <c r="Q28" s="538">
        <v>0</v>
      </c>
      <c r="R28" s="538">
        <v>0</v>
      </c>
      <c r="S28" s="564"/>
      <c r="T28" s="564">
        <f>N28+P28+Q28+R28</f>
        <v>430.57678653759564</v>
      </c>
      <c r="U28" s="565">
        <f>T28/G28*100</f>
        <v>0.61412821206972279</v>
      </c>
      <c r="V28" s="538">
        <f>T28-J28</f>
        <v>11.452686139010495</v>
      </c>
      <c r="W28" s="541"/>
      <c r="X28" s="542"/>
      <c r="Y28" s="563"/>
      <c r="Z28" s="738"/>
      <c r="AB28" s="738"/>
      <c r="AD28" s="738"/>
      <c r="AF28" s="740"/>
    </row>
    <row r="29" spans="1:32">
      <c r="A29" s="6">
        <v>11</v>
      </c>
      <c r="B29" s="58"/>
      <c r="C29" s="10" t="s">
        <v>268</v>
      </c>
      <c r="D29" s="58"/>
      <c r="E29" s="535"/>
      <c r="F29" s="58"/>
      <c r="G29" s="553">
        <f>SUM(G27:G28)</f>
        <v>5011477.6945980266</v>
      </c>
      <c r="H29" s="58"/>
      <c r="I29" s="566">
        <f>J29/G29*100</f>
        <v>8.2558448480586855E-2</v>
      </c>
      <c r="J29" s="553">
        <f>SUM(J27:J28)</f>
        <v>4137.3982306108137</v>
      </c>
      <c r="K29" s="536"/>
      <c r="L29" s="411">
        <f t="shared" ref="L29:T29" si="4">SUM(L27:L28)</f>
        <v>0</v>
      </c>
      <c r="M29" s="411">
        <f t="shared" si="4"/>
        <v>0</v>
      </c>
      <c r="N29" s="553">
        <f t="shared" si="4"/>
        <v>4137.3982306108137</v>
      </c>
      <c r="O29" s="536"/>
      <c r="P29" s="553">
        <f t="shared" si="4"/>
        <v>113.05559217954948</v>
      </c>
      <c r="Q29" s="411">
        <f t="shared" si="4"/>
        <v>0</v>
      </c>
      <c r="R29" s="411">
        <f t="shared" si="4"/>
        <v>0</v>
      </c>
      <c r="S29" s="536"/>
      <c r="T29" s="553">
        <f t="shared" si="4"/>
        <v>4250.453822790364</v>
      </c>
      <c r="U29" s="592">
        <f>T29/G29*100</f>
        <v>8.4814381741577238E-2</v>
      </c>
      <c r="V29" s="555">
        <f>V27+V28</f>
        <v>113.05559217954948</v>
      </c>
      <c r="W29" s="562">
        <f>U29/I29-1</f>
        <v>2.7325286539521709E-2</v>
      </c>
      <c r="X29" s="542"/>
      <c r="Y29" s="563"/>
      <c r="Z29" s="738"/>
      <c r="AB29" s="738"/>
      <c r="AD29" s="738"/>
      <c r="AF29" s="740"/>
    </row>
    <row r="30" spans="1:32">
      <c r="E30" s="567"/>
      <c r="G30" s="568"/>
      <c r="I30" s="534"/>
      <c r="J30" s="536"/>
      <c r="L30" s="538"/>
      <c r="M30" s="29"/>
      <c r="N30" s="538"/>
      <c r="O30" s="64"/>
      <c r="P30" s="536"/>
      <c r="Q30" s="538"/>
      <c r="R30" s="538"/>
      <c r="S30" s="64"/>
      <c r="T30" s="564"/>
      <c r="U30" s="565"/>
      <c r="V30" s="538"/>
      <c r="W30" s="541"/>
      <c r="X30" s="542"/>
      <c r="Y30" s="563"/>
      <c r="Z30" s="738"/>
      <c r="AB30" s="738"/>
      <c r="AD30" s="738"/>
      <c r="AF30" s="740"/>
    </row>
    <row r="31" spans="1:32">
      <c r="A31" s="6">
        <f>MAX(A$13:A30)+1</f>
        <v>12</v>
      </c>
      <c r="B31" s="58"/>
      <c r="C31" s="10" t="s">
        <v>270</v>
      </c>
      <c r="D31" s="58"/>
      <c r="E31" s="535" t="s">
        <v>262</v>
      </c>
      <c r="F31" s="58"/>
      <c r="G31" s="536">
        <v>4926335.0754972538</v>
      </c>
      <c r="H31" s="58"/>
      <c r="I31" s="547">
        <v>8.4952403136659735E-2</v>
      </c>
      <c r="J31" s="536">
        <f>G31*I31/100</f>
        <v>4185.0400331990977</v>
      </c>
      <c r="K31" s="58"/>
      <c r="L31" s="538">
        <v>0</v>
      </c>
      <c r="M31" s="538">
        <v>0</v>
      </c>
      <c r="N31" s="538">
        <f>J31-L31-M31</f>
        <v>4185.0400331990977</v>
      </c>
      <c r="O31" s="564"/>
      <c r="P31" s="536">
        <v>114.35741808653347</v>
      </c>
      <c r="Q31" s="538">
        <v>0</v>
      </c>
      <c r="R31" s="538">
        <v>0</v>
      </c>
      <c r="S31" s="564"/>
      <c r="T31" s="564">
        <f>N31+P31+Q31+R31</f>
        <v>4299.3974512856312</v>
      </c>
      <c r="U31" s="565">
        <f>T31/G31*100</f>
        <v>8.7273751894589899E-2</v>
      </c>
      <c r="V31" s="538">
        <f>T31-J31</f>
        <v>114.35741808653347</v>
      </c>
      <c r="W31" s="541">
        <f>U31/I31-1</f>
        <v>2.7325286539521487E-2</v>
      </c>
      <c r="X31" s="542"/>
      <c r="Y31" s="563"/>
      <c r="Z31" s="738"/>
      <c r="AB31" s="738"/>
      <c r="AD31" s="738"/>
      <c r="AF31" s="740"/>
    </row>
    <row r="32" spans="1:32">
      <c r="A32" s="6"/>
      <c r="B32" s="58"/>
      <c r="C32" s="10"/>
      <c r="D32" s="58"/>
      <c r="E32" s="545"/>
      <c r="F32" s="58"/>
      <c r="G32" s="536"/>
      <c r="H32" s="58"/>
      <c r="I32" s="534"/>
      <c r="J32" s="534"/>
      <c r="K32" s="58"/>
      <c r="L32" s="538"/>
      <c r="M32" s="538"/>
      <c r="N32" s="538"/>
      <c r="O32" s="564"/>
      <c r="P32" s="564"/>
      <c r="Q32" s="538"/>
      <c r="R32" s="538"/>
      <c r="S32" s="564"/>
      <c r="T32" s="564"/>
      <c r="U32" s="565"/>
      <c r="V32" s="538"/>
      <c r="W32" s="541"/>
      <c r="X32" s="542"/>
      <c r="Y32" s="563"/>
    </row>
    <row r="33" spans="1:32" ht="12.95" thickBot="1">
      <c r="A33" s="6">
        <f>MAX(A$13:A32)+1</f>
        <v>13</v>
      </c>
      <c r="B33" s="58"/>
      <c r="C33" s="10" t="s">
        <v>271</v>
      </c>
      <c r="D33" s="58"/>
      <c r="E33" s="545"/>
      <c r="F33" s="58"/>
      <c r="G33" s="569">
        <f>G20</f>
        <v>5011587.6267347429</v>
      </c>
      <c r="H33" s="58"/>
      <c r="I33" s="570">
        <f>J33/G33*100</f>
        <v>20.657956572889812</v>
      </c>
      <c r="J33" s="571">
        <f>J22+J24+J29+J31</f>
        <v>1035291.5955431825</v>
      </c>
      <c r="K33" s="534"/>
      <c r="L33" s="571">
        <f t="shared" ref="L33:T33" si="5">L22+L24+L29+L31</f>
        <v>44808.586642691822</v>
      </c>
      <c r="M33" s="571">
        <f t="shared" si="5"/>
        <v>15787.788096522025</v>
      </c>
      <c r="N33" s="571">
        <f t="shared" si="5"/>
        <v>974695.22080396849</v>
      </c>
      <c r="O33" s="534"/>
      <c r="P33" s="571">
        <f t="shared" si="5"/>
        <v>26633.826197170576</v>
      </c>
      <c r="Q33" s="571">
        <f t="shared" si="5"/>
        <v>68940.216666327775</v>
      </c>
      <c r="R33" s="571">
        <f t="shared" si="5"/>
        <v>15733.138523330314</v>
      </c>
      <c r="S33" s="534"/>
      <c r="T33" s="571">
        <f t="shared" si="5"/>
        <v>1086002.4021907973</v>
      </c>
      <c r="U33" s="590">
        <f>T33/G33*100</f>
        <v>21.669827668929194</v>
      </c>
      <c r="V33" s="587">
        <f>V22+V24+V29+V31</f>
        <v>50710.806647614801</v>
      </c>
      <c r="W33" s="573">
        <f>U33/I33-1</f>
        <v>4.8982148474805864E-2</v>
      </c>
      <c r="X33" s="542"/>
      <c r="Y33" s="563"/>
      <c r="Z33" s="738"/>
      <c r="AB33" s="738"/>
      <c r="AD33" s="738"/>
      <c r="AF33" s="740"/>
    </row>
    <row r="34" spans="1:32" ht="12.95" thickTop="1">
      <c r="A34" s="6"/>
      <c r="B34" s="58"/>
      <c r="D34" s="58"/>
      <c r="E34" s="574"/>
      <c r="F34" s="58"/>
      <c r="G34" s="132"/>
      <c r="H34" s="58"/>
      <c r="I34" s="501"/>
      <c r="J34" s="501"/>
      <c r="K34" s="58"/>
      <c r="L34" s="501"/>
      <c r="M34" s="501"/>
      <c r="N34" s="501"/>
      <c r="O34" s="58"/>
      <c r="P34" s="58"/>
      <c r="Q34" s="501"/>
      <c r="R34" s="501"/>
      <c r="S34" s="58"/>
      <c r="T34" s="58"/>
      <c r="U34" s="58"/>
      <c r="V34" s="534"/>
      <c r="W34" s="501"/>
    </row>
    <row r="35" spans="1:32" ht="12.95">
      <c r="A35" s="6"/>
      <c r="B35" s="58"/>
      <c r="C35" s="9" t="s">
        <v>128</v>
      </c>
      <c r="D35" s="58"/>
      <c r="E35" s="128"/>
      <c r="F35" s="58"/>
      <c r="G35" s="575"/>
      <c r="H35" s="58"/>
      <c r="I35" s="501"/>
      <c r="J35" s="501"/>
      <c r="K35" s="58"/>
      <c r="L35" s="501"/>
      <c r="M35" s="501"/>
      <c r="N35" s="501"/>
      <c r="O35" s="58"/>
      <c r="P35" s="58"/>
      <c r="Q35" s="501"/>
      <c r="R35" s="501"/>
      <c r="S35" s="58"/>
      <c r="T35" s="58"/>
      <c r="U35" s="58"/>
      <c r="V35" s="534"/>
      <c r="W35" s="501"/>
    </row>
    <row r="36" spans="1:32">
      <c r="A36" s="6">
        <v>14</v>
      </c>
      <c r="B36" s="58"/>
      <c r="C36" s="10" t="s">
        <v>258</v>
      </c>
      <c r="D36" s="58"/>
      <c r="E36" s="535" t="s">
        <v>259</v>
      </c>
      <c r="F36" s="58"/>
      <c r="G36" s="536">
        <v>2075693</v>
      </c>
      <c r="H36" s="58"/>
      <c r="I36" s="537">
        <v>76.575754464968981</v>
      </c>
      <c r="J36" s="536">
        <f>G36*I36/1000</f>
        <v>158947.75751265488</v>
      </c>
      <c r="K36" s="58"/>
      <c r="L36" s="538">
        <v>0</v>
      </c>
      <c r="M36" s="538">
        <v>0</v>
      </c>
      <c r="N36" s="534">
        <f>J36-L36-M36</f>
        <v>158947.75751265488</v>
      </c>
      <c r="O36" s="58"/>
      <c r="P36" s="536">
        <v>4343.2930188476748</v>
      </c>
      <c r="Q36" s="29">
        <v>0</v>
      </c>
      <c r="R36" s="538">
        <v>0</v>
      </c>
      <c r="S36" s="58"/>
      <c r="T36" s="539">
        <f>N36+P36+Q36+R36</f>
        <v>163291.05053150255</v>
      </c>
      <c r="U36" s="540">
        <f>T36/G36*1000</f>
        <v>78.668208897704304</v>
      </c>
      <c r="V36" s="534">
        <f>T36-J36</f>
        <v>4343.2930188476748</v>
      </c>
      <c r="W36" s="541">
        <f>U36/I36-1</f>
        <v>2.7325286539521487E-2</v>
      </c>
      <c r="X36" s="542"/>
      <c r="Z36" s="738"/>
      <c r="AB36" s="738"/>
      <c r="AD36" s="738"/>
      <c r="AF36" s="739"/>
    </row>
    <row r="37" spans="1:32">
      <c r="A37" s="6"/>
      <c r="B37" s="58"/>
      <c r="C37" s="521" t="s">
        <v>260</v>
      </c>
      <c r="D37" s="58"/>
      <c r="E37" s="545"/>
      <c r="F37" s="58"/>
      <c r="G37" s="536"/>
      <c r="H37" s="58"/>
      <c r="I37" s="546"/>
      <c r="J37" s="534"/>
      <c r="K37" s="58"/>
      <c r="L37" s="538"/>
      <c r="M37" s="538"/>
      <c r="N37" s="534"/>
      <c r="O37" s="58"/>
      <c r="P37" s="58"/>
      <c r="Q37" s="534"/>
      <c r="R37" s="538"/>
      <c r="S37" s="58"/>
      <c r="T37" s="539"/>
      <c r="U37" s="540"/>
      <c r="V37" s="534"/>
      <c r="W37" s="541"/>
      <c r="X37" s="542"/>
    </row>
    <row r="38" spans="1:32">
      <c r="A38" s="6">
        <v>15</v>
      </c>
      <c r="B38" s="58"/>
      <c r="C38" s="12" t="s">
        <v>272</v>
      </c>
      <c r="D38" s="58"/>
      <c r="E38" s="535" t="s">
        <v>262</v>
      </c>
      <c r="F38" s="58"/>
      <c r="G38" s="536">
        <v>581366.01608913206</v>
      </c>
      <c r="H38" s="58"/>
      <c r="I38" s="547">
        <v>9.0446162464862105</v>
      </c>
      <c r="J38" s="536">
        <f t="shared" ref="J38:J43" si="6">G38*I38/100</f>
        <v>52582.325142747279</v>
      </c>
      <c r="K38" s="58"/>
      <c r="L38" s="536">
        <v>2833.9180250907939</v>
      </c>
      <c r="M38" s="538">
        <v>0</v>
      </c>
      <c r="N38" s="534">
        <f t="shared" ref="N38:N43" si="7">J38-L38-M38</f>
        <v>49748.407117656483</v>
      </c>
      <c r="O38" s="58"/>
      <c r="P38" s="536">
        <v>1359.3894793747313</v>
      </c>
      <c r="Q38" s="536">
        <v>3808.8893325852423</v>
      </c>
      <c r="R38" s="538">
        <v>0</v>
      </c>
      <c r="S38" s="58"/>
      <c r="T38" s="539">
        <f t="shared" ref="T38:T43" si="8">N38+P38+Q38+R38</f>
        <v>54916.685929616455</v>
      </c>
      <c r="U38" s="548">
        <f t="shared" ref="U38:U44" si="9">T38/G38*100</f>
        <v>9.4461465599662624</v>
      </c>
      <c r="V38" s="534">
        <f t="shared" ref="V38:V43" si="10">T38-J38</f>
        <v>2334.3607868691761</v>
      </c>
      <c r="W38" s="541"/>
      <c r="X38" s="542"/>
      <c r="Z38" s="738"/>
      <c r="AB38" s="738"/>
      <c r="AD38" s="738"/>
      <c r="AF38" s="740"/>
    </row>
    <row r="39" spans="1:32">
      <c r="A39" s="6">
        <v>16</v>
      </c>
      <c r="B39" s="58"/>
      <c r="C39" s="12" t="s">
        <v>273</v>
      </c>
      <c r="D39" s="58"/>
      <c r="E39" s="535" t="s">
        <v>262</v>
      </c>
      <c r="F39" s="58"/>
      <c r="G39" s="536">
        <v>654833.14152139914</v>
      </c>
      <c r="H39" s="58"/>
      <c r="I39" s="547">
        <v>6.7083965162988495</v>
      </c>
      <c r="J39" s="536">
        <f t="shared" si="6"/>
        <v>43928.803653391849</v>
      </c>
      <c r="K39" s="58"/>
      <c r="L39" s="536">
        <v>3192.0397681102345</v>
      </c>
      <c r="M39" s="538">
        <v>0</v>
      </c>
      <c r="N39" s="534">
        <f t="shared" si="7"/>
        <v>40736.763885281616</v>
      </c>
      <c r="O39" s="58"/>
      <c r="P39" s="536">
        <v>1113.1437458581495</v>
      </c>
      <c r="Q39" s="536">
        <v>4290.2180353482227</v>
      </c>
      <c r="R39" s="538">
        <v>0</v>
      </c>
      <c r="S39" s="58"/>
      <c r="T39" s="539">
        <f t="shared" si="8"/>
        <v>46140.125666487991</v>
      </c>
      <c r="U39" s="548">
        <f t="shared" si="9"/>
        <v>7.0460889562322482</v>
      </c>
      <c r="V39" s="534">
        <f t="shared" si="10"/>
        <v>2211.3220130961417</v>
      </c>
      <c r="W39" s="541"/>
      <c r="X39" s="542"/>
      <c r="Z39" s="738"/>
      <c r="AB39" s="738"/>
      <c r="AD39" s="738"/>
      <c r="AF39" s="740"/>
    </row>
    <row r="40" spans="1:32">
      <c r="A40" s="6">
        <v>17</v>
      </c>
      <c r="C40" s="12" t="s">
        <v>274</v>
      </c>
      <c r="E40" s="535" t="s">
        <v>262</v>
      </c>
      <c r="G40" s="536">
        <v>1156632.1092895225</v>
      </c>
      <c r="H40" s="58"/>
      <c r="I40" s="547">
        <v>5.0723881424537325</v>
      </c>
      <c r="J40" s="536">
        <f t="shared" si="6"/>
        <v>58668.869963414239</v>
      </c>
      <c r="K40" s="58"/>
      <c r="L40" s="536">
        <v>5638.1014579493876</v>
      </c>
      <c r="M40" s="538">
        <v>0</v>
      </c>
      <c r="N40" s="534">
        <f t="shared" si="7"/>
        <v>53030.768505464854</v>
      </c>
      <c r="O40" s="58"/>
      <c r="P40" s="536">
        <v>1449.0809448228611</v>
      </c>
      <c r="Q40" s="536">
        <v>7577.8142871753344</v>
      </c>
      <c r="R40" s="538">
        <v>0</v>
      </c>
      <c r="S40" s="58"/>
      <c r="T40" s="539">
        <f t="shared" si="8"/>
        <v>62057.663737463052</v>
      </c>
      <c r="U40" s="548">
        <f t="shared" si="9"/>
        <v>5.3653761847907582</v>
      </c>
      <c r="V40" s="534">
        <f t="shared" si="10"/>
        <v>3388.7937740488123</v>
      </c>
      <c r="W40" s="541"/>
      <c r="X40" s="542"/>
      <c r="Z40" s="738"/>
      <c r="AB40" s="738"/>
      <c r="AD40" s="738"/>
      <c r="AF40" s="740"/>
    </row>
    <row r="41" spans="1:32">
      <c r="A41" s="6">
        <v>18</v>
      </c>
      <c r="C41" s="12" t="s">
        <v>275</v>
      </c>
      <c r="E41" s="535" t="s">
        <v>262</v>
      </c>
      <c r="G41" s="536">
        <v>751680.94105884049</v>
      </c>
      <c r="H41" s="58"/>
      <c r="I41" s="547">
        <v>4.0212930499762454</v>
      </c>
      <c r="J41" s="536">
        <f t="shared" si="6"/>
        <v>30227.293440795191</v>
      </c>
      <c r="K41" s="58"/>
      <c r="L41" s="536">
        <v>3664.1325929468626</v>
      </c>
      <c r="M41" s="538">
        <v>0</v>
      </c>
      <c r="N41" s="534">
        <f t="shared" si="7"/>
        <v>26563.160847848329</v>
      </c>
      <c r="O41" s="58"/>
      <c r="P41" s="536">
        <v>725.84598156285574</v>
      </c>
      <c r="Q41" s="536">
        <v>4924.7280347871292</v>
      </c>
      <c r="R41" s="538">
        <v>0</v>
      </c>
      <c r="S41" s="58"/>
      <c r="T41" s="539">
        <f t="shared" si="8"/>
        <v>32213.734864198312</v>
      </c>
      <c r="U41" s="548">
        <f t="shared" si="9"/>
        <v>4.285559617731038</v>
      </c>
      <c r="V41" s="534">
        <f t="shared" si="10"/>
        <v>1986.441423403121</v>
      </c>
      <c r="W41" s="541"/>
      <c r="X41" s="542"/>
      <c r="Z41" s="738"/>
      <c r="AB41" s="738"/>
      <c r="AD41" s="738"/>
      <c r="AF41" s="740"/>
    </row>
    <row r="42" spans="1:32">
      <c r="A42" s="6">
        <v>19</v>
      </c>
      <c r="C42" s="12" t="s">
        <v>276</v>
      </c>
      <c r="E42" s="535" t="s">
        <v>262</v>
      </c>
      <c r="G42" s="536">
        <v>714347.32692564209</v>
      </c>
      <c r="H42" s="58"/>
      <c r="I42" s="547">
        <v>3.5542254378272298</v>
      </c>
      <c r="J42" s="536">
        <f t="shared" si="6"/>
        <v>25389.514408030016</v>
      </c>
      <c r="K42" s="58"/>
      <c r="L42" s="536">
        <v>3482.1467198379078</v>
      </c>
      <c r="M42" s="538">
        <v>0</v>
      </c>
      <c r="N42" s="534">
        <f t="shared" si="7"/>
        <v>21907.367688192109</v>
      </c>
      <c r="O42" s="58"/>
      <c r="P42" s="536">
        <v>598.62509940650489</v>
      </c>
      <c r="Q42" s="536">
        <v>4680.1323744226411</v>
      </c>
      <c r="R42" s="538">
        <v>0</v>
      </c>
      <c r="S42" s="58"/>
      <c r="T42" s="539">
        <f t="shared" si="8"/>
        <v>27186.125162021257</v>
      </c>
      <c r="U42" s="548">
        <f t="shared" si="9"/>
        <v>3.8057292492467205</v>
      </c>
      <c r="V42" s="534">
        <f t="shared" si="10"/>
        <v>1796.6107539912409</v>
      </c>
      <c r="W42" s="541"/>
      <c r="X42" s="542"/>
      <c r="Z42" s="738"/>
      <c r="AB42" s="738"/>
      <c r="AD42" s="738"/>
      <c r="AF42" s="740"/>
    </row>
    <row r="43" spans="1:32">
      <c r="A43" s="6">
        <v>20</v>
      </c>
      <c r="C43" s="12" t="s">
        <v>277</v>
      </c>
      <c r="E43" s="535" t="s">
        <v>262</v>
      </c>
      <c r="G43" s="536">
        <v>940380.33721585828</v>
      </c>
      <c r="H43" s="58"/>
      <c r="I43" s="547">
        <v>3.4369345798365516</v>
      </c>
      <c r="J43" s="536">
        <f t="shared" si="6"/>
        <v>32320.256991755403</v>
      </c>
      <c r="K43" s="58"/>
      <c r="L43" s="536">
        <v>4583.9638271329604</v>
      </c>
      <c r="M43" s="538">
        <v>0</v>
      </c>
      <c r="N43" s="534">
        <f t="shared" si="7"/>
        <v>27736.293164622442</v>
      </c>
      <c r="O43" s="58"/>
      <c r="P43" s="536">
        <v>757.90215826747954</v>
      </c>
      <c r="Q43" s="536">
        <v>6161.0148097223</v>
      </c>
      <c r="R43" s="538">
        <v>0</v>
      </c>
      <c r="S43" s="58"/>
      <c r="T43" s="539">
        <f t="shared" si="8"/>
        <v>34655.210132612221</v>
      </c>
      <c r="U43" s="548">
        <f t="shared" si="9"/>
        <v>3.6852333849529804</v>
      </c>
      <c r="V43" s="534">
        <f t="shared" si="10"/>
        <v>2334.9531408568182</v>
      </c>
      <c r="W43" s="541"/>
      <c r="X43" s="542"/>
      <c r="Z43" s="738"/>
      <c r="AB43" s="738"/>
      <c r="AD43" s="738"/>
      <c r="AF43" s="740"/>
    </row>
    <row r="44" spans="1:32">
      <c r="A44" s="6">
        <v>21</v>
      </c>
      <c r="B44" s="58"/>
      <c r="C44" s="521" t="s">
        <v>260</v>
      </c>
      <c r="D44" s="58"/>
      <c r="E44" s="545"/>
      <c r="F44" s="58"/>
      <c r="G44" s="550">
        <f>SUM(G38:G43)</f>
        <v>4799239.8721003952</v>
      </c>
      <c r="H44" s="58"/>
      <c r="I44" s="551">
        <f>J44/G44*100</f>
        <v>5.0657410356472425</v>
      </c>
      <c r="J44" s="552">
        <f>SUM(J38:J43)</f>
        <v>243117.06360013396</v>
      </c>
      <c r="K44" s="58"/>
      <c r="L44" s="553">
        <f>SUM(L38:L43)</f>
        <v>23394.302391068148</v>
      </c>
      <c r="M44" s="555">
        <f>SUM(M38:M43)</f>
        <v>0</v>
      </c>
      <c r="N44" s="552">
        <f>SUM(N38:N43)</f>
        <v>219722.76120906585</v>
      </c>
      <c r="O44" s="58"/>
      <c r="P44" s="554">
        <f>SUM(P38:P43)</f>
        <v>6003.987409292582</v>
      </c>
      <c r="Q44" s="552">
        <f>SUM(Q38:Q43)</f>
        <v>31442.796874040869</v>
      </c>
      <c r="R44" s="555">
        <f>SUM(R38:R43)</f>
        <v>0</v>
      </c>
      <c r="S44" s="58"/>
      <c r="T44" s="554">
        <f>SUM(T38:T43)</f>
        <v>257169.54549239925</v>
      </c>
      <c r="U44" s="556">
        <f t="shared" si="9"/>
        <v>5.3585474438861205</v>
      </c>
      <c r="V44" s="552">
        <f>SUM(V38:V43)</f>
        <v>14052.48189226531</v>
      </c>
      <c r="W44" s="558">
        <f>U44/I44-1</f>
        <v>5.7801298206604068E-2</v>
      </c>
      <c r="X44" s="559"/>
      <c r="Z44" s="738"/>
      <c r="AB44" s="738"/>
      <c r="AD44" s="738"/>
      <c r="AF44" s="740"/>
    </row>
    <row r="45" spans="1:32">
      <c r="A45" s="6"/>
      <c r="B45" s="58"/>
      <c r="C45" s="10"/>
      <c r="D45" s="58"/>
      <c r="E45" s="545"/>
      <c r="F45" s="58"/>
      <c r="G45" s="536"/>
      <c r="H45" s="58"/>
      <c r="I45" s="534"/>
      <c r="J45" s="534"/>
      <c r="K45" s="58"/>
      <c r="L45" s="538"/>
      <c r="M45" s="538"/>
      <c r="N45" s="534"/>
      <c r="O45" s="58"/>
      <c r="P45" s="58"/>
      <c r="Q45" s="534"/>
      <c r="R45" s="538"/>
      <c r="S45" s="58"/>
      <c r="T45" s="58"/>
      <c r="U45" s="548"/>
      <c r="V45" s="552"/>
      <c r="W45" s="541"/>
      <c r="X45" s="542"/>
    </row>
    <row r="46" spans="1:32">
      <c r="A46" s="6">
        <v>22</v>
      </c>
      <c r="B46" s="58"/>
      <c r="C46" s="10" t="s">
        <v>266</v>
      </c>
      <c r="D46" s="58"/>
      <c r="E46" s="545"/>
      <c r="F46" s="58"/>
      <c r="G46" s="550">
        <f>G44</f>
        <v>4799239.8721003952</v>
      </c>
      <c r="H46" s="58"/>
      <c r="I46" s="551">
        <f>J46/G46*100</f>
        <v>8.3776771286246312</v>
      </c>
      <c r="J46" s="552">
        <f>J36+J44</f>
        <v>402064.82111278886</v>
      </c>
      <c r="K46" s="534"/>
      <c r="L46" s="552">
        <f>L36+L44</f>
        <v>23394.302391068148</v>
      </c>
      <c r="M46" s="555">
        <f t="shared" ref="M46:N46" si="11">M36+M44</f>
        <v>0</v>
      </c>
      <c r="N46" s="552">
        <f t="shared" si="11"/>
        <v>378670.51872172073</v>
      </c>
      <c r="O46" s="534"/>
      <c r="P46" s="552">
        <f>P36+P44</f>
        <v>10347.280428140257</v>
      </c>
      <c r="Q46" s="552">
        <f t="shared" ref="Q46:R46" si="12">Q36+Q44</f>
        <v>31442.796874040869</v>
      </c>
      <c r="R46" s="555">
        <f t="shared" si="12"/>
        <v>0</v>
      </c>
      <c r="S46" s="534"/>
      <c r="T46" s="552">
        <f>T36+T44</f>
        <v>420460.59602390183</v>
      </c>
      <c r="U46" s="556">
        <f>T46/G46*100</f>
        <v>8.7609831396047007</v>
      </c>
      <c r="V46" s="552">
        <f>V36+V44</f>
        <v>18395.774911112985</v>
      </c>
      <c r="W46" s="562">
        <f>U46/I46-1</f>
        <v>4.575325655251139E-2</v>
      </c>
      <c r="X46" s="542"/>
    </row>
    <row r="47" spans="1:32">
      <c r="A47" s="6"/>
      <c r="B47" s="58"/>
      <c r="D47" s="58"/>
      <c r="E47" s="545"/>
      <c r="F47" s="58"/>
      <c r="G47" s="536"/>
      <c r="I47" s="534"/>
      <c r="J47" s="534"/>
      <c r="L47" s="538"/>
      <c r="M47" s="538"/>
      <c r="N47" s="538"/>
      <c r="O47" s="64"/>
      <c r="P47" s="64"/>
      <c r="Q47" s="538"/>
      <c r="R47" s="538"/>
      <c r="S47" s="64"/>
      <c r="T47" s="64"/>
      <c r="U47" s="64"/>
      <c r="V47" s="538"/>
      <c r="W47" s="541"/>
      <c r="X47" s="542"/>
      <c r="AD47" s="738"/>
      <c r="AF47" s="738"/>
    </row>
    <row r="48" spans="1:32">
      <c r="A48" s="6">
        <v>23</v>
      </c>
      <c r="B48" s="58"/>
      <c r="C48" s="12" t="s">
        <v>267</v>
      </c>
      <c r="D48" s="58"/>
      <c r="E48" s="535" t="s">
        <v>262</v>
      </c>
      <c r="F48" s="58"/>
      <c r="G48" s="536">
        <v>4799239.8721003952</v>
      </c>
      <c r="H48" s="58"/>
      <c r="I48" s="547">
        <v>0.64387089445584067</v>
      </c>
      <c r="J48" s="536">
        <f>G48*I48/100</f>
        <v>30900.908691574157</v>
      </c>
      <c r="K48" s="58"/>
      <c r="L48" s="538">
        <v>0</v>
      </c>
      <c r="M48" s="536">
        <v>14219.390273088122</v>
      </c>
      <c r="N48" s="538">
        <f>J48-L48-M48</f>
        <v>16681.518418486034</v>
      </c>
      <c r="O48" s="564"/>
      <c r="P48" s="536">
        <v>455.82727069943576</v>
      </c>
      <c r="Q48" s="538">
        <v>0</v>
      </c>
      <c r="R48" s="536">
        <v>14170.169723336643</v>
      </c>
      <c r="S48" s="564"/>
      <c r="T48" s="564">
        <f>N48+P48+Q48+R48</f>
        <v>31307.515412522112</v>
      </c>
      <c r="U48" s="548">
        <f>T48/G48*100</f>
        <v>0.65234320948455382</v>
      </c>
      <c r="V48" s="538">
        <f>T48-J48</f>
        <v>406.60672094795518</v>
      </c>
      <c r="W48" s="559">
        <f>U48/I48-1</f>
        <v>1.315840660241907E-2</v>
      </c>
      <c r="X48" s="559"/>
      <c r="Z48" s="738"/>
      <c r="AB48" s="738"/>
      <c r="AD48" s="738"/>
      <c r="AF48" s="738"/>
    </row>
    <row r="49" spans="1:32">
      <c r="A49" s="6"/>
      <c r="B49" s="58"/>
      <c r="C49" s="12"/>
      <c r="D49" s="58"/>
      <c r="E49" s="535"/>
      <c r="F49" s="58"/>
      <c r="G49" s="536"/>
      <c r="H49" s="58"/>
      <c r="I49" s="547"/>
      <c r="J49" s="536"/>
      <c r="K49" s="58"/>
      <c r="L49" s="538"/>
      <c r="M49" s="536"/>
      <c r="N49" s="538"/>
      <c r="O49" s="564"/>
      <c r="P49" s="536"/>
      <c r="Q49" s="538"/>
      <c r="R49" s="536"/>
      <c r="S49" s="564"/>
      <c r="T49" s="564"/>
      <c r="U49" s="548"/>
      <c r="V49" s="538"/>
      <c r="W49" s="559"/>
      <c r="X49" s="559"/>
      <c r="Z49" s="738"/>
      <c r="AB49" s="738"/>
      <c r="AD49" s="738"/>
      <c r="AF49" s="738"/>
    </row>
    <row r="50" spans="1:32">
      <c r="A50" s="6"/>
      <c r="B50" s="58"/>
      <c r="C50" s="10" t="s">
        <v>268</v>
      </c>
      <c r="D50" s="58"/>
      <c r="E50" s="535"/>
      <c r="F50" s="58"/>
      <c r="G50" s="536"/>
      <c r="H50" s="58"/>
      <c r="I50" s="547"/>
      <c r="J50" s="536"/>
      <c r="K50" s="58"/>
      <c r="L50" s="538"/>
      <c r="M50" s="536"/>
      <c r="N50" s="538"/>
      <c r="O50" s="564"/>
      <c r="P50" s="536"/>
      <c r="Q50" s="538"/>
      <c r="R50" s="536"/>
      <c r="S50" s="564"/>
      <c r="T50" s="564"/>
      <c r="U50" s="548"/>
      <c r="V50" s="538"/>
      <c r="W50" s="559"/>
      <c r="X50" s="559"/>
      <c r="Z50" s="738"/>
      <c r="AB50" s="738"/>
      <c r="AD50" s="738"/>
      <c r="AF50" s="738"/>
    </row>
    <row r="51" spans="1:32">
      <c r="A51" s="1">
        <v>24</v>
      </c>
      <c r="C51" s="12" t="s">
        <v>268</v>
      </c>
      <c r="E51" s="535" t="s">
        <v>262</v>
      </c>
      <c r="G51" s="536">
        <v>3151717.8705886342</v>
      </c>
      <c r="H51" s="58"/>
      <c r="I51" s="547">
        <v>7.524787423334324E-2</v>
      </c>
      <c r="J51" s="536">
        <f>G51*I51/100</f>
        <v>2371.6006994503391</v>
      </c>
      <c r="K51" s="58"/>
      <c r="L51" s="538">
        <v>0</v>
      </c>
      <c r="M51" s="538">
        <v>0</v>
      </c>
      <c r="N51" s="538">
        <f t="shared" ref="N51:N52" si="13">J51-L51-M51</f>
        <v>2371.6006994503391</v>
      </c>
      <c r="O51" s="564"/>
      <c r="P51" s="536">
        <v>64.804668669809871</v>
      </c>
      <c r="Q51" s="538">
        <v>0</v>
      </c>
      <c r="R51" s="538">
        <v>0</v>
      </c>
      <c r="S51" s="564"/>
      <c r="T51" s="564">
        <f>N51+P51+Q51+R51</f>
        <v>2436.405368120149</v>
      </c>
      <c r="U51" s="548">
        <f>T51/G51*100</f>
        <v>7.7304043958259211E-2</v>
      </c>
      <c r="V51" s="538">
        <f>T51-J51</f>
        <v>64.804668669809871</v>
      </c>
      <c r="W51" s="541"/>
      <c r="X51" s="542"/>
      <c r="Z51" s="738"/>
      <c r="AB51" s="738"/>
      <c r="AD51" s="738"/>
      <c r="AF51" s="738"/>
    </row>
    <row r="52" spans="1:32">
      <c r="A52" s="6">
        <v>25</v>
      </c>
      <c r="B52" s="58"/>
      <c r="C52" s="12" t="s">
        <v>269</v>
      </c>
      <c r="D52" s="58"/>
      <c r="E52" s="535" t="s">
        <v>262</v>
      </c>
      <c r="F52" s="58"/>
      <c r="G52" s="536">
        <v>1595783.9460776143</v>
      </c>
      <c r="H52" s="58"/>
      <c r="I52" s="547">
        <v>0.59779658373614264</v>
      </c>
      <c r="J52" s="536">
        <f>G52*I52/100</f>
        <v>9539.541913461786</v>
      </c>
      <c r="K52" s="58"/>
      <c r="L52" s="538">
        <v>0</v>
      </c>
      <c r="M52" s="538">
        <v>0</v>
      </c>
      <c r="N52" s="538">
        <f t="shared" si="13"/>
        <v>9539.541913461786</v>
      </c>
      <c r="O52" s="564"/>
      <c r="P52" s="536">
        <v>260.6707162411185</v>
      </c>
      <c r="Q52" s="538">
        <v>0</v>
      </c>
      <c r="R52" s="538">
        <v>0</v>
      </c>
      <c r="S52" s="564"/>
      <c r="T52" s="564">
        <f>N52+P52+Q52+R52</f>
        <v>9800.2126297029045</v>
      </c>
      <c r="U52" s="548">
        <f>T52/G52*100</f>
        <v>0.61413154667907977</v>
      </c>
      <c r="V52" s="538">
        <f>T52-J52</f>
        <v>260.6707162411185</v>
      </c>
      <c r="W52" s="541"/>
      <c r="X52" s="542"/>
      <c r="Z52" s="738"/>
      <c r="AB52" s="738"/>
      <c r="AD52" s="738"/>
      <c r="AF52" s="738"/>
    </row>
    <row r="53" spans="1:32">
      <c r="A53" s="6">
        <v>26</v>
      </c>
      <c r="B53" s="58"/>
      <c r="C53" s="10" t="s">
        <v>268</v>
      </c>
      <c r="D53" s="58"/>
      <c r="E53" s="535"/>
      <c r="F53" s="58"/>
      <c r="G53" s="553">
        <f>SUM(G51:G52)</f>
        <v>4747501.8166662483</v>
      </c>
      <c r="H53" s="536"/>
      <c r="I53" s="566">
        <f>J53/G53*100</f>
        <v>0.25089285002688572</v>
      </c>
      <c r="J53" s="553">
        <f>SUM(J51:J52)</f>
        <v>11911.142612912125</v>
      </c>
      <c r="K53" s="536"/>
      <c r="L53" s="411">
        <f t="shared" ref="L53:Q53" si="14">SUM(L51:L52)</f>
        <v>0</v>
      </c>
      <c r="M53" s="411">
        <f t="shared" si="14"/>
        <v>0</v>
      </c>
      <c r="N53" s="553">
        <f t="shared" si="14"/>
        <v>11911.142612912125</v>
      </c>
      <c r="O53" s="536"/>
      <c r="P53" s="553">
        <f t="shared" si="14"/>
        <v>325.47538491092837</v>
      </c>
      <c r="Q53" s="411">
        <f t="shared" si="14"/>
        <v>0</v>
      </c>
      <c r="R53" s="411">
        <f>SUM(R51:R52)</f>
        <v>0</v>
      </c>
      <c r="S53" s="536"/>
      <c r="T53" s="619">
        <f>SUM(T51:T52)</f>
        <v>12236.617997823054</v>
      </c>
      <c r="U53" s="556">
        <f>T53/G53*100</f>
        <v>0.25774856904458759</v>
      </c>
      <c r="V53" s="555">
        <f>SUM(V51:V52)</f>
        <v>325.47538491092837</v>
      </c>
      <c r="W53" s="562">
        <f>U53/I53-1</f>
        <v>2.7325286539521709E-2</v>
      </c>
      <c r="X53" s="542"/>
      <c r="Z53" s="738"/>
      <c r="AB53" s="738"/>
      <c r="AD53" s="738"/>
      <c r="AF53" s="738"/>
    </row>
    <row r="54" spans="1:32">
      <c r="A54" s="6"/>
      <c r="B54" s="58"/>
      <c r="D54" s="58"/>
      <c r="E54" s="567"/>
      <c r="F54" s="58"/>
      <c r="G54" s="568"/>
      <c r="I54" s="534"/>
      <c r="J54" s="536"/>
      <c r="L54" s="538"/>
      <c r="M54" s="29"/>
      <c r="N54" s="742"/>
      <c r="O54" s="64"/>
      <c r="P54" s="536"/>
      <c r="Q54" s="538"/>
      <c r="R54" s="538"/>
      <c r="S54" s="64"/>
      <c r="T54" s="536"/>
      <c r="U54" s="565"/>
      <c r="V54" s="538"/>
      <c r="W54" s="541"/>
      <c r="X54" s="542"/>
      <c r="Z54" s="738"/>
      <c r="AB54" s="738"/>
      <c r="AD54" s="738"/>
      <c r="AF54" s="738"/>
    </row>
    <row r="55" spans="1:32">
      <c r="A55" s="6">
        <v>27</v>
      </c>
      <c r="B55" s="58"/>
      <c r="C55" s="10" t="s">
        <v>270</v>
      </c>
      <c r="D55" s="58"/>
      <c r="E55" s="535" t="s">
        <v>262</v>
      </c>
      <c r="F55" s="58"/>
      <c r="G55" s="536">
        <v>2974410.3609594423</v>
      </c>
      <c r="H55" s="58"/>
      <c r="I55" s="547">
        <v>0.10826510133681916</v>
      </c>
      <c r="J55" s="536">
        <f>G55*I55/100</f>
        <v>3220.2483914655891</v>
      </c>
      <c r="K55" s="58"/>
      <c r="L55" s="538">
        <v>0</v>
      </c>
      <c r="M55" s="538">
        <v>0</v>
      </c>
      <c r="N55" s="536">
        <f>J55-L55-M55</f>
        <v>3220.2483914655891</v>
      </c>
      <c r="O55" s="564"/>
      <c r="P55" s="536">
        <v>87.994210025230586</v>
      </c>
      <c r="Q55" s="538">
        <v>0</v>
      </c>
      <c r="R55" s="538">
        <v>0</v>
      </c>
      <c r="S55" s="564"/>
      <c r="T55" s="536">
        <f>N55+P55+Q55+R55</f>
        <v>3308.2426014908197</v>
      </c>
      <c r="U55" s="548">
        <f>T55/G55*100</f>
        <v>0.11122347625307809</v>
      </c>
      <c r="V55" s="538">
        <f>T55-J55</f>
        <v>87.994210025230586</v>
      </c>
      <c r="W55" s="541">
        <f>U55/I55-1</f>
        <v>2.7325286539521709E-2</v>
      </c>
      <c r="X55" s="542"/>
      <c r="Z55" s="738"/>
      <c r="AB55" s="738"/>
      <c r="AD55" s="738"/>
      <c r="AF55" s="738"/>
    </row>
    <row r="56" spans="1:32">
      <c r="A56" s="6"/>
      <c r="B56" s="58"/>
      <c r="C56" s="10"/>
      <c r="D56" s="58"/>
      <c r="E56" s="545"/>
      <c r="F56" s="58"/>
      <c r="G56" s="536"/>
      <c r="H56" s="58"/>
      <c r="I56" s="534"/>
      <c r="J56" s="534"/>
      <c r="K56" s="58"/>
      <c r="L56" s="538"/>
      <c r="M56" s="538"/>
      <c r="N56" s="538"/>
      <c r="O56" s="564"/>
      <c r="P56" s="564"/>
      <c r="Q56" s="538"/>
      <c r="R56" s="538"/>
      <c r="S56" s="564"/>
      <c r="T56" s="564"/>
      <c r="U56" s="548"/>
      <c r="V56" s="538"/>
      <c r="W56" s="541"/>
      <c r="X56" s="542"/>
      <c r="AD56" s="738"/>
      <c r="AF56" s="738"/>
    </row>
    <row r="57" spans="1:32" ht="12.95" thickBot="1">
      <c r="A57" s="6">
        <v>28</v>
      </c>
      <c r="B57" s="58"/>
      <c r="C57" s="10" t="s">
        <v>278</v>
      </c>
      <c r="D57" s="58"/>
      <c r="E57" s="574"/>
      <c r="F57" s="58"/>
      <c r="G57" s="569">
        <f>G44</f>
        <v>4799239.8721003952</v>
      </c>
      <c r="H57" s="58"/>
      <c r="I57" s="570">
        <f>J57/G57*100</f>
        <v>9.33683526455264</v>
      </c>
      <c r="J57" s="571">
        <f>J46+J48+J53+J55</f>
        <v>448097.12080874073</v>
      </c>
      <c r="K57" s="534"/>
      <c r="L57" s="571">
        <f>L46+L48+L53+L55</f>
        <v>23394.302391068148</v>
      </c>
      <c r="M57" s="571">
        <f>M46+M48+M53+M55</f>
        <v>14219.390273088122</v>
      </c>
      <c r="N57" s="571">
        <f>N46+N48+N53+N55</f>
        <v>410483.42814458447</v>
      </c>
      <c r="O57" s="534"/>
      <c r="P57" s="571">
        <f>P46+P48+P53+P55</f>
        <v>11216.577293775852</v>
      </c>
      <c r="Q57" s="571">
        <f t="shared" ref="Q57:R57" si="15">Q46+Q48+Q53+Q55</f>
        <v>31442.796874040869</v>
      </c>
      <c r="R57" s="571">
        <f t="shared" si="15"/>
        <v>14170.169723336643</v>
      </c>
      <c r="S57" s="534"/>
      <c r="T57" s="571">
        <f>T46+T48+T53+T55</f>
        <v>467312.97203573782</v>
      </c>
      <c r="U57" s="572">
        <f t="shared" ref="U57" si="16">T57/G57*100</f>
        <v>9.7372289047769041</v>
      </c>
      <c r="V57" s="587">
        <f>V46+V48+V53+V55</f>
        <v>19215.8512269971</v>
      </c>
      <c r="W57" s="573">
        <f>U57/I57-1</f>
        <v>4.2883228511523708E-2</v>
      </c>
      <c r="X57" s="542"/>
      <c r="Z57" s="738"/>
      <c r="AB57" s="738"/>
      <c r="AD57" s="738"/>
      <c r="AF57" s="740"/>
    </row>
    <row r="58" spans="1:32" ht="12.95" thickTop="1">
      <c r="L58" s="2"/>
      <c r="M58" s="2"/>
      <c r="N58" s="501"/>
      <c r="Q58" s="501"/>
      <c r="R58" s="501"/>
      <c r="V58" s="534"/>
      <c r="W58" s="501"/>
      <c r="Z58" s="738"/>
      <c r="AB58" s="738"/>
      <c r="AD58" s="738"/>
      <c r="AF58" s="740"/>
    </row>
    <row r="59" spans="1:32">
      <c r="L59" s="2"/>
      <c r="M59" s="2"/>
      <c r="N59" s="501"/>
      <c r="Q59" s="501"/>
      <c r="R59" s="501"/>
      <c r="V59" s="534"/>
      <c r="W59" s="501"/>
      <c r="Z59" s="738"/>
      <c r="AB59" s="738"/>
      <c r="AD59" s="738"/>
      <c r="AF59" s="740"/>
    </row>
    <row r="60" spans="1:32">
      <c r="L60" s="2"/>
      <c r="M60" s="2"/>
      <c r="N60" s="501"/>
      <c r="Q60" s="501"/>
      <c r="R60" s="501"/>
      <c r="V60" s="534"/>
      <c r="W60" s="501"/>
      <c r="Z60" s="738"/>
      <c r="AB60" s="738"/>
      <c r="AD60" s="738"/>
      <c r="AF60" s="740"/>
    </row>
    <row r="61" spans="1:32">
      <c r="L61" s="2"/>
      <c r="M61" s="2"/>
      <c r="N61" s="501"/>
      <c r="Q61" s="501"/>
      <c r="R61" s="501"/>
      <c r="V61" s="501"/>
      <c r="W61" s="501"/>
      <c r="X61" s="531"/>
      <c r="Z61" s="738"/>
      <c r="AB61" s="738"/>
      <c r="AD61" s="738"/>
      <c r="AF61" s="740"/>
    </row>
    <row r="62" spans="1:32">
      <c r="A62" s="1156" t="s">
        <v>279</v>
      </c>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737"/>
      <c r="Y62" s="737"/>
      <c r="Z62" s="738"/>
      <c r="AB62" s="738"/>
      <c r="AD62" s="738"/>
      <c r="AF62" s="740"/>
    </row>
    <row r="63" spans="1:32">
      <c r="A63" s="1156" t="s">
        <v>478</v>
      </c>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Z63" s="738"/>
      <c r="AB63" s="738"/>
      <c r="AD63" s="738"/>
      <c r="AF63" s="740"/>
    </row>
    <row r="64" spans="1:32">
      <c r="A64" s="57"/>
      <c r="B64" s="57"/>
      <c r="C64" s="57"/>
      <c r="D64" s="57"/>
      <c r="E64" s="3"/>
      <c r="F64" s="57"/>
      <c r="G64" s="3"/>
      <c r="H64" s="57"/>
      <c r="I64" s="57"/>
      <c r="J64" s="57"/>
      <c r="K64" s="57"/>
      <c r="L64" s="57"/>
      <c r="M64" s="57"/>
      <c r="N64" s="501"/>
      <c r="O64" s="57"/>
      <c r="P64" s="57"/>
      <c r="Q64" s="501"/>
      <c r="R64" s="501"/>
      <c r="S64" s="57"/>
      <c r="T64" s="57"/>
      <c r="U64" s="57"/>
      <c r="V64" s="501"/>
      <c r="W64" s="501"/>
      <c r="X64" s="6"/>
      <c r="Z64" s="738"/>
      <c r="AB64" s="738"/>
      <c r="AD64" s="738"/>
      <c r="AF64" s="740"/>
    </row>
    <row r="65" spans="1:32" ht="26.65" customHeight="1">
      <c r="A65" s="3"/>
      <c r="B65" s="3"/>
      <c r="C65" s="3"/>
      <c r="D65" s="3"/>
      <c r="E65" s="57"/>
      <c r="F65" s="1152" t="s">
        <v>231</v>
      </c>
      <c r="G65" s="1152"/>
      <c r="H65" s="1152"/>
      <c r="I65" s="1152"/>
      <c r="J65" s="1152"/>
      <c r="K65" s="3"/>
      <c r="L65" s="1157" t="s">
        <v>94</v>
      </c>
      <c r="M65" s="1157"/>
      <c r="N65" s="58"/>
      <c r="O65" s="3"/>
      <c r="P65" s="59"/>
      <c r="Q65" s="1157" t="s">
        <v>95</v>
      </c>
      <c r="R65" s="1157"/>
      <c r="S65" s="3"/>
      <c r="T65" s="1152" t="s">
        <v>472</v>
      </c>
      <c r="U65" s="1152"/>
      <c r="V65" s="1152"/>
      <c r="W65" s="1152"/>
      <c r="X65" s="5"/>
      <c r="Z65" s="738"/>
      <c r="AB65" s="738"/>
      <c r="AD65" s="738"/>
      <c r="AF65" s="740"/>
    </row>
    <row r="66" spans="1:32" ht="37.5">
      <c r="A66" s="5" t="s">
        <v>56</v>
      </c>
      <c r="B66" s="5"/>
      <c r="C66" s="5"/>
      <c r="D66" s="5"/>
      <c r="E66" s="6" t="s">
        <v>233</v>
      </c>
      <c r="F66" s="5"/>
      <c r="G66" s="17" t="s">
        <v>234</v>
      </c>
      <c r="H66" s="5"/>
      <c r="I66" s="17" t="s">
        <v>235</v>
      </c>
      <c r="J66" s="17" t="s">
        <v>101</v>
      </c>
      <c r="K66" s="5"/>
      <c r="L66" s="17" t="s">
        <v>106</v>
      </c>
      <c r="M66" s="17" t="s">
        <v>236</v>
      </c>
      <c r="N66" s="5" t="s">
        <v>239</v>
      </c>
      <c r="O66" s="5"/>
      <c r="P66" s="5" t="s">
        <v>240</v>
      </c>
      <c r="Q66" s="17" t="s">
        <v>106</v>
      </c>
      <c r="R66" s="17" t="s">
        <v>236</v>
      </c>
      <c r="S66" s="5"/>
      <c r="T66" s="17" t="s">
        <v>241</v>
      </c>
      <c r="U66" s="17" t="s">
        <v>242</v>
      </c>
      <c r="V66" s="17" t="s">
        <v>243</v>
      </c>
      <c r="W66" s="5" t="s">
        <v>244</v>
      </c>
      <c r="X66" s="6"/>
      <c r="Z66" s="738"/>
      <c r="AB66" s="738"/>
      <c r="AD66" s="738"/>
      <c r="AF66" s="740"/>
    </row>
    <row r="67" spans="1:32" ht="14.45">
      <c r="A67" s="237" t="s">
        <v>57</v>
      </c>
      <c r="B67" s="58"/>
      <c r="C67" s="59" t="s">
        <v>194</v>
      </c>
      <c r="D67" s="58"/>
      <c r="E67" s="237" t="s">
        <v>245</v>
      </c>
      <c r="F67" s="58"/>
      <c r="G67" s="237" t="s">
        <v>246</v>
      </c>
      <c r="H67" s="58"/>
      <c r="I67" s="237" t="s">
        <v>247</v>
      </c>
      <c r="J67" s="237" t="s">
        <v>248</v>
      </c>
      <c r="K67" s="58"/>
      <c r="L67" s="237" t="s">
        <v>248</v>
      </c>
      <c r="M67" s="237" t="s">
        <v>248</v>
      </c>
      <c r="N67" s="237" t="s">
        <v>248</v>
      </c>
      <c r="O67" s="58"/>
      <c r="P67" s="237" t="s">
        <v>248</v>
      </c>
      <c r="Q67" s="237" t="s">
        <v>248</v>
      </c>
      <c r="R67" s="237" t="s">
        <v>248</v>
      </c>
      <c r="S67" s="58"/>
      <c r="T67" s="237" t="s">
        <v>248</v>
      </c>
      <c r="U67" s="237" t="s">
        <v>247</v>
      </c>
      <c r="V67" s="237" t="s">
        <v>248</v>
      </c>
      <c r="W67" s="237" t="s">
        <v>249</v>
      </c>
      <c r="X67" s="6"/>
      <c r="Z67" s="738"/>
      <c r="AB67" s="738"/>
      <c r="AD67" s="738"/>
      <c r="AF67" s="740"/>
    </row>
    <row r="68" spans="1:32">
      <c r="A68" s="6"/>
      <c r="B68" s="58"/>
      <c r="C68" s="58"/>
      <c r="D68" s="58"/>
      <c r="E68" s="6"/>
      <c r="F68" s="58"/>
      <c r="G68" s="6" t="s">
        <v>9</v>
      </c>
      <c r="H68" s="6"/>
      <c r="I68" s="6" t="s">
        <v>10</v>
      </c>
      <c r="J68" s="6" t="s">
        <v>58</v>
      </c>
      <c r="K68" s="6"/>
      <c r="L68" s="123" t="s">
        <v>12</v>
      </c>
      <c r="M68" s="123" t="s">
        <v>13</v>
      </c>
      <c r="N68" s="6" t="s">
        <v>473</v>
      </c>
      <c r="O68" s="6"/>
      <c r="P68" s="6" t="s">
        <v>474</v>
      </c>
      <c r="Q68" s="6" t="s">
        <v>210</v>
      </c>
      <c r="R68" s="6" t="s">
        <v>118</v>
      </c>
      <c r="S68" s="6"/>
      <c r="T68" s="6" t="s">
        <v>475</v>
      </c>
      <c r="U68" s="6" t="s">
        <v>120</v>
      </c>
      <c r="V68" s="6" t="s">
        <v>476</v>
      </c>
      <c r="W68" s="6" t="s">
        <v>477</v>
      </c>
      <c r="Z68" s="738"/>
      <c r="AB68" s="738"/>
      <c r="AD68" s="738"/>
      <c r="AF68" s="740"/>
    </row>
    <row r="69" spans="1:32">
      <c r="A69" s="6"/>
      <c r="B69" s="58"/>
      <c r="C69" s="10"/>
      <c r="D69" s="58"/>
      <c r="E69" s="30"/>
      <c r="F69" s="58"/>
      <c r="G69" s="132"/>
      <c r="H69" s="58"/>
      <c r="I69" s="501"/>
      <c r="J69" s="501"/>
      <c r="K69" s="58"/>
      <c r="L69" s="501"/>
      <c r="M69" s="501"/>
      <c r="N69" s="501"/>
      <c r="O69" s="58"/>
      <c r="P69" s="58"/>
      <c r="Q69" s="501"/>
      <c r="R69" s="501"/>
      <c r="S69" s="58"/>
      <c r="T69" s="58"/>
      <c r="U69" s="58"/>
      <c r="V69" s="501"/>
      <c r="W69" s="501"/>
    </row>
    <row r="70" spans="1:32">
      <c r="C70" s="9" t="s">
        <v>129</v>
      </c>
      <c r="G70" s="16"/>
      <c r="I70" s="501"/>
      <c r="J70" s="536"/>
      <c r="L70" s="501"/>
      <c r="M70" s="501"/>
      <c r="N70" s="501"/>
      <c r="Q70" s="501"/>
      <c r="R70" s="501"/>
      <c r="V70" s="501"/>
      <c r="W70" s="501"/>
    </row>
    <row r="71" spans="1:32">
      <c r="A71" s="6">
        <v>29</v>
      </c>
      <c r="B71" s="58"/>
      <c r="C71" s="10" t="s">
        <v>258</v>
      </c>
      <c r="D71" s="58"/>
      <c r="E71" s="535" t="s">
        <v>259</v>
      </c>
      <c r="F71" s="58"/>
      <c r="G71" s="29">
        <v>168</v>
      </c>
      <c r="H71" s="58"/>
      <c r="I71" s="537">
        <v>133.47154003244088</v>
      </c>
      <c r="J71" s="536">
        <f>G71*I71/1000</f>
        <v>22.423218725450067</v>
      </c>
      <c r="K71" s="58"/>
      <c r="L71" s="538">
        <v>0</v>
      </c>
      <c r="M71" s="538">
        <v>0</v>
      </c>
      <c r="N71" s="538">
        <f>J71-L71-M71</f>
        <v>22.423218725450067</v>
      </c>
      <c r="O71" s="564"/>
      <c r="P71" s="29">
        <v>0.61272087681128795</v>
      </c>
      <c r="Q71" s="538">
        <v>0</v>
      </c>
      <c r="R71" s="538">
        <v>0</v>
      </c>
      <c r="S71" s="564"/>
      <c r="T71" s="564">
        <f>N71+P71+Q71+R71</f>
        <v>23.035939602261355</v>
      </c>
      <c r="U71" s="577">
        <f>T71/G71*1000</f>
        <v>137.11868810869854</v>
      </c>
      <c r="V71" s="538">
        <f>T71-J71</f>
        <v>0.61272087681128795</v>
      </c>
      <c r="W71" s="541">
        <f>U71/I71-1</f>
        <v>2.7325286539521487E-2</v>
      </c>
      <c r="X71" s="542"/>
      <c r="Z71" s="738"/>
      <c r="AB71" s="738"/>
      <c r="AD71" s="738"/>
      <c r="AF71" s="739"/>
    </row>
    <row r="72" spans="1:32">
      <c r="A72" s="6">
        <f>MAX(A$70:A71)+1</f>
        <v>30</v>
      </c>
      <c r="B72" s="58"/>
      <c r="C72" s="521" t="s">
        <v>280</v>
      </c>
      <c r="D72" s="58"/>
      <c r="E72" s="522" t="s">
        <v>281</v>
      </c>
      <c r="F72" s="58"/>
      <c r="G72" s="29">
        <v>4503.3599999999997</v>
      </c>
      <c r="H72" s="58"/>
      <c r="I72" s="547">
        <v>39.612916581984031</v>
      </c>
      <c r="J72" s="536">
        <f>G72*I72/100</f>
        <v>1783.9122401864358</v>
      </c>
      <c r="K72" s="58"/>
      <c r="L72" s="538">
        <v>0</v>
      </c>
      <c r="M72" s="538">
        <v>0</v>
      </c>
      <c r="N72" s="538">
        <f t="shared" ref="N72:N73" si="17">J72-L72-M72</f>
        <v>1783.9122401864358</v>
      </c>
      <c r="O72" s="564"/>
      <c r="P72" s="29">
        <v>48.745913124454091</v>
      </c>
      <c r="Q72" s="538">
        <v>0</v>
      </c>
      <c r="R72" s="538">
        <v>0</v>
      </c>
      <c r="S72" s="564"/>
      <c r="T72" s="564">
        <f>N72+P72+Q72+R72</f>
        <v>1832.6581533108899</v>
      </c>
      <c r="U72" s="565">
        <f>T72/G72*100</f>
        <v>40.695350878252903</v>
      </c>
      <c r="V72" s="538">
        <f>T72-J72</f>
        <v>48.745913124454091</v>
      </c>
      <c r="W72" s="541">
        <f>U72/I72-1</f>
        <v>2.7325286539521487E-2</v>
      </c>
      <c r="X72" s="542"/>
      <c r="Z72" s="738"/>
      <c r="AB72" s="738"/>
      <c r="AD72" s="738"/>
      <c r="AF72" s="740"/>
    </row>
    <row r="73" spans="1:32">
      <c r="A73" s="6">
        <f>MAX(A$70:A72)+1</f>
        <v>31</v>
      </c>
      <c r="B73" s="58"/>
      <c r="C73" s="521" t="s">
        <v>260</v>
      </c>
      <c r="D73" s="58"/>
      <c r="E73" s="522" t="s">
        <v>262</v>
      </c>
      <c r="F73" s="58"/>
      <c r="G73" s="29">
        <v>27429.148000000001</v>
      </c>
      <c r="H73" s="58"/>
      <c r="I73" s="29">
        <v>0</v>
      </c>
      <c r="J73" s="29">
        <f>G73*I73/100</f>
        <v>0</v>
      </c>
      <c r="K73" s="58"/>
      <c r="L73" s="538">
        <v>0</v>
      </c>
      <c r="M73" s="538">
        <v>0</v>
      </c>
      <c r="N73" s="538">
        <f t="shared" si="17"/>
        <v>0</v>
      </c>
      <c r="O73" s="564"/>
      <c r="P73" s="29">
        <v>0</v>
      </c>
      <c r="Q73" s="29">
        <v>272.41532868845394</v>
      </c>
      <c r="R73" s="538">
        <v>0</v>
      </c>
      <c r="S73" s="564"/>
      <c r="T73" s="564">
        <f>N73+P73+Q73+R73</f>
        <v>272.41532868845394</v>
      </c>
      <c r="U73" s="565">
        <f>T73/G73*100</f>
        <v>0.99316000879230337</v>
      </c>
      <c r="V73" s="538">
        <f>T73-J73</f>
        <v>272.41532868845394</v>
      </c>
      <c r="W73" s="599" t="str">
        <f>IFERROR(U73/I73-1,"-")</f>
        <v>-</v>
      </c>
      <c r="X73" s="542"/>
      <c r="Z73" s="738"/>
      <c r="AB73" s="738"/>
      <c r="AD73" s="738"/>
      <c r="AF73" s="740"/>
    </row>
    <row r="74" spans="1:32">
      <c r="A74" s="6"/>
      <c r="B74" s="58"/>
      <c r="C74" s="3"/>
      <c r="D74" s="58"/>
      <c r="E74" s="574"/>
      <c r="F74" s="58"/>
      <c r="G74" s="574"/>
      <c r="H74" s="58"/>
      <c r="I74" s="501"/>
      <c r="J74" s="501"/>
      <c r="K74" s="58"/>
      <c r="L74" s="538"/>
      <c r="M74" s="538"/>
      <c r="N74" s="538"/>
      <c r="O74" s="564"/>
      <c r="P74" s="564"/>
      <c r="Q74" s="538"/>
      <c r="R74" s="538"/>
      <c r="S74" s="564"/>
      <c r="T74" s="564"/>
      <c r="U74" s="564"/>
      <c r="V74" s="538"/>
      <c r="W74" s="538"/>
      <c r="X74" s="563"/>
      <c r="Z74" s="738"/>
      <c r="AB74" s="738"/>
      <c r="AD74" s="738"/>
      <c r="AF74" s="740"/>
    </row>
    <row r="75" spans="1:32">
      <c r="A75" s="6">
        <f>MAX(A$70:A74)+1</f>
        <v>32</v>
      </c>
      <c r="C75" s="2" t="s">
        <v>266</v>
      </c>
      <c r="G75" s="407">
        <f>G73</f>
        <v>27429.148000000001</v>
      </c>
      <c r="I75" s="578">
        <f>J75/G75*100</f>
        <v>6.5854595954343385</v>
      </c>
      <c r="J75" s="552">
        <f>SUM(J71:J74)</f>
        <v>1806.335458911886</v>
      </c>
      <c r="L75" s="555">
        <f>SUM(L71:L74)</f>
        <v>0</v>
      </c>
      <c r="M75" s="555">
        <f t="shared" ref="M75:N75" si="18">SUM(M71:M74)</f>
        <v>0</v>
      </c>
      <c r="N75" s="555">
        <f t="shared" si="18"/>
        <v>1806.335458911886</v>
      </c>
      <c r="O75" s="64"/>
      <c r="P75" s="407">
        <f>SUM(P71:P74)</f>
        <v>49.358634001265379</v>
      </c>
      <c r="Q75" s="407">
        <f t="shared" ref="Q75:R75" si="19">SUM(Q71:Q74)</f>
        <v>272.41532868845394</v>
      </c>
      <c r="R75" s="407">
        <f t="shared" si="19"/>
        <v>0</v>
      </c>
      <c r="S75" s="64"/>
      <c r="T75" s="407">
        <f>SUM(T71:T74)</f>
        <v>2128.1094216016054</v>
      </c>
      <c r="U75" s="579">
        <f>T75/G75*100</f>
        <v>7.7585691746663272</v>
      </c>
      <c r="V75" s="555">
        <f>SUM(V71:V74)</f>
        <v>321.77396268971933</v>
      </c>
      <c r="W75" s="562">
        <f>U75/I75-1</f>
        <v>0.17813632628545761</v>
      </c>
      <c r="X75" s="542"/>
      <c r="Z75" s="738"/>
      <c r="AB75" s="738"/>
      <c r="AD75" s="738"/>
      <c r="AF75" s="740"/>
    </row>
    <row r="76" spans="1:32">
      <c r="A76" s="6"/>
      <c r="I76" s="501"/>
      <c r="J76" s="501"/>
      <c r="L76" s="538"/>
      <c r="M76" s="538"/>
      <c r="N76" s="538"/>
      <c r="O76" s="64"/>
      <c r="P76" s="64"/>
      <c r="Q76" s="538"/>
      <c r="R76" s="538"/>
      <c r="S76" s="64"/>
      <c r="T76" s="64"/>
      <c r="U76" s="64"/>
      <c r="V76" s="538"/>
      <c r="W76" s="538"/>
      <c r="X76" s="563"/>
      <c r="Z76" s="738"/>
      <c r="AB76" s="738"/>
      <c r="AD76" s="738"/>
      <c r="AF76" s="740"/>
    </row>
    <row r="77" spans="1:32">
      <c r="A77" s="6">
        <f>MAX(A$70:A76)+1</f>
        <v>33</v>
      </c>
      <c r="C77" s="12" t="s">
        <v>267</v>
      </c>
      <c r="E77" s="522" t="s">
        <v>262</v>
      </c>
      <c r="G77" s="536">
        <v>27429.148000000001</v>
      </c>
      <c r="I77" s="547">
        <v>0.59184692740476641</v>
      </c>
      <c r="J77" s="536">
        <f>G77*I77/100</f>
        <v>162.33856965130596</v>
      </c>
      <c r="L77" s="538">
        <v>0</v>
      </c>
      <c r="M77" s="538">
        <v>0</v>
      </c>
      <c r="N77" s="538">
        <f>J77-L77-M77</f>
        <v>162.33856965130596</v>
      </c>
      <c r="O77" s="64"/>
      <c r="P77" s="536">
        <v>4.4359479321379922</v>
      </c>
      <c r="Q77" s="538">
        <v>0</v>
      </c>
      <c r="R77" s="538">
        <v>0</v>
      </c>
      <c r="S77" s="64"/>
      <c r="T77" s="64">
        <f>N77+P77+Q77+R77</f>
        <v>166.77451758344395</v>
      </c>
      <c r="U77" s="580">
        <f>T77/G77*100</f>
        <v>0.60801931428363709</v>
      </c>
      <c r="V77" s="538">
        <f>T77-J77</f>
        <v>4.4359479321379922</v>
      </c>
      <c r="W77" s="541">
        <f>U77/I77-1</f>
        <v>2.7325286539521709E-2</v>
      </c>
      <c r="X77" s="542"/>
      <c r="Z77" s="738"/>
      <c r="AB77" s="738"/>
      <c r="AD77" s="738"/>
      <c r="AF77" s="740"/>
    </row>
    <row r="78" spans="1:32">
      <c r="A78" s="6"/>
      <c r="C78" s="12"/>
      <c r="E78" s="522"/>
      <c r="G78" s="536"/>
      <c r="I78" s="547"/>
      <c r="J78" s="536"/>
      <c r="L78" s="538"/>
      <c r="M78" s="538"/>
      <c r="N78" s="538"/>
      <c r="O78" s="64"/>
      <c r="P78" s="536"/>
      <c r="Q78" s="538"/>
      <c r="R78" s="538"/>
      <c r="S78" s="64"/>
      <c r="T78" s="64"/>
      <c r="U78" s="580"/>
      <c r="V78" s="538"/>
      <c r="W78" s="541"/>
      <c r="X78" s="542"/>
      <c r="Z78" s="738"/>
      <c r="AB78" s="738"/>
      <c r="AD78" s="738"/>
      <c r="AF78" s="740"/>
    </row>
    <row r="79" spans="1:32">
      <c r="A79" s="6"/>
      <c r="C79" s="10" t="s">
        <v>268</v>
      </c>
      <c r="E79" s="522"/>
      <c r="G79" s="536"/>
      <c r="I79" s="547"/>
      <c r="J79" s="536"/>
      <c r="L79" s="538"/>
      <c r="M79" s="538"/>
      <c r="N79" s="538"/>
      <c r="O79" s="64"/>
      <c r="P79" s="536"/>
      <c r="Q79" s="538"/>
      <c r="R79" s="538"/>
      <c r="S79" s="64"/>
      <c r="T79" s="64"/>
      <c r="U79" s="580"/>
      <c r="V79" s="538"/>
      <c r="W79" s="541"/>
      <c r="X79" s="542"/>
      <c r="Z79" s="738"/>
      <c r="AB79" s="738"/>
      <c r="AD79" s="738"/>
      <c r="AF79" s="740"/>
    </row>
    <row r="80" spans="1:32">
      <c r="A80" s="6">
        <f>MAX(A$70:A79)+1</f>
        <v>34</v>
      </c>
      <c r="B80" s="581"/>
      <c r="C80" s="12" t="s">
        <v>268</v>
      </c>
      <c r="D80" s="581"/>
      <c r="E80" s="522" t="s">
        <v>262</v>
      </c>
      <c r="F80" s="581"/>
      <c r="G80" s="536">
        <v>14756.638999999999</v>
      </c>
      <c r="H80" s="581"/>
      <c r="I80" s="547">
        <v>7.5293512685939687E-2</v>
      </c>
      <c r="J80" s="536">
        <f>G80*I80/100</f>
        <v>11.110791857483322</v>
      </c>
      <c r="K80" s="581"/>
      <c r="L80" s="538">
        <v>0</v>
      </c>
      <c r="M80" s="538">
        <v>0</v>
      </c>
      <c r="N80" s="538">
        <f t="shared" ref="N80:N81" si="20">J80-L80-M80</f>
        <v>11.110791857483322</v>
      </c>
      <c r="O80" s="582"/>
      <c r="P80" s="536">
        <v>0.30360557118671316</v>
      </c>
      <c r="Q80" s="538">
        <v>0</v>
      </c>
      <c r="R80" s="538">
        <v>0</v>
      </c>
      <c r="S80" s="582"/>
      <c r="T80" s="64">
        <f t="shared" ref="T80:T81" si="21">N80+P80+Q80+R80</f>
        <v>11.414397428670036</v>
      </c>
      <c r="U80" s="580">
        <f>T80/G80*100</f>
        <v>7.735092949465007E-2</v>
      </c>
      <c r="V80" s="538">
        <f>T80-J80</f>
        <v>0.30360557118671316</v>
      </c>
      <c r="W80" s="541"/>
      <c r="X80" s="542"/>
      <c r="Z80" s="738"/>
      <c r="AB80" s="738"/>
      <c r="AD80" s="738"/>
      <c r="AF80" s="740"/>
    </row>
    <row r="81" spans="1:32">
      <c r="A81" s="6">
        <f>MAX(A$70:A80)+1</f>
        <v>35</v>
      </c>
      <c r="B81" s="57"/>
      <c r="C81" s="12" t="s">
        <v>269</v>
      </c>
      <c r="D81" s="57"/>
      <c r="E81" s="522" t="s">
        <v>262</v>
      </c>
      <c r="F81" s="57"/>
      <c r="G81" s="536">
        <v>10804.124</v>
      </c>
      <c r="H81" s="57"/>
      <c r="I81" s="547">
        <v>0.59778431317670411</v>
      </c>
      <c r="J81" s="536">
        <f>G81*I81/100</f>
        <v>64.585358448159454</v>
      </c>
      <c r="K81" s="57"/>
      <c r="L81" s="538">
        <v>0</v>
      </c>
      <c r="M81" s="538">
        <v>0</v>
      </c>
      <c r="N81" s="538">
        <f t="shared" si="20"/>
        <v>64.585358448159454</v>
      </c>
      <c r="O81" s="583"/>
      <c r="P81" s="536">
        <v>1.7648134258536601</v>
      </c>
      <c r="Q81" s="538">
        <v>0</v>
      </c>
      <c r="R81" s="538">
        <v>0</v>
      </c>
      <c r="S81" s="583"/>
      <c r="T81" s="64">
        <f t="shared" si="21"/>
        <v>66.350171874013114</v>
      </c>
      <c r="U81" s="580">
        <f>T81/G81*100</f>
        <v>0.61411894082308871</v>
      </c>
      <c r="V81" s="538">
        <f>T81-J81</f>
        <v>1.7648134258536601</v>
      </c>
      <c r="W81" s="541"/>
      <c r="X81" s="542"/>
      <c r="Z81" s="738"/>
      <c r="AB81" s="738"/>
      <c r="AD81" s="738"/>
      <c r="AF81" s="740"/>
    </row>
    <row r="82" spans="1:32">
      <c r="A82" s="6">
        <f>MAX(A$70:A81)+1</f>
        <v>36</v>
      </c>
      <c r="B82" s="3"/>
      <c r="C82" s="10" t="s">
        <v>268</v>
      </c>
      <c r="D82" s="3"/>
      <c r="E82" s="57"/>
      <c r="F82" s="3"/>
      <c r="G82" s="553">
        <f>SUM(G80:G81)</f>
        <v>25560.762999999999</v>
      </c>
      <c r="H82" s="3"/>
      <c r="I82" s="566">
        <f>J82/G82*100</f>
        <v>0.29614198255992119</v>
      </c>
      <c r="J82" s="553">
        <f>SUM(J80:J81)</f>
        <v>75.696150305642774</v>
      </c>
      <c r="K82" s="536"/>
      <c r="L82" s="411">
        <f t="shared" ref="L82:R82" si="22">SUM(L80:L81)</f>
        <v>0</v>
      </c>
      <c r="M82" s="411">
        <f t="shared" si="22"/>
        <v>0</v>
      </c>
      <c r="N82" s="555">
        <f>SUM(N80:N81)</f>
        <v>75.696150305642774</v>
      </c>
      <c r="O82" s="536"/>
      <c r="P82" s="553">
        <f t="shared" si="22"/>
        <v>2.0684189970403732</v>
      </c>
      <c r="Q82" s="411">
        <f t="shared" si="22"/>
        <v>0</v>
      </c>
      <c r="R82" s="411">
        <f t="shared" si="22"/>
        <v>0</v>
      </c>
      <c r="S82" s="536"/>
      <c r="T82" s="407">
        <f>SUM(T80:T81)</f>
        <v>77.764569302683157</v>
      </c>
      <c r="U82" s="579">
        <f>T82/G82*100</f>
        <v>0.30423414708975299</v>
      </c>
      <c r="V82" s="555">
        <f>SUM(V80:V81)</f>
        <v>2.0684189970403732</v>
      </c>
      <c r="W82" s="562">
        <f>U82/I82-1</f>
        <v>2.7325286539521487E-2</v>
      </c>
      <c r="X82" s="542"/>
      <c r="Z82" s="738"/>
      <c r="AB82" s="738"/>
      <c r="AD82" s="738"/>
      <c r="AF82" s="740"/>
    </row>
    <row r="83" spans="1:32">
      <c r="A83" s="6"/>
      <c r="B83" s="3"/>
      <c r="C83" s="10"/>
      <c r="D83" s="3"/>
      <c r="E83" s="57"/>
      <c r="F83" s="3"/>
      <c r="G83" s="536"/>
      <c r="H83" s="3"/>
      <c r="I83" s="547"/>
      <c r="J83" s="536"/>
      <c r="K83" s="3"/>
      <c r="L83" s="538"/>
      <c r="M83" s="538"/>
      <c r="N83" s="538"/>
      <c r="O83" s="584"/>
      <c r="P83" s="536"/>
      <c r="Q83" s="538"/>
      <c r="R83" s="538"/>
      <c r="S83" s="584"/>
      <c r="T83" s="64"/>
      <c r="U83" s="580"/>
      <c r="V83" s="538"/>
      <c r="W83" s="541"/>
      <c r="X83" s="542"/>
      <c r="Z83" s="738"/>
      <c r="AB83" s="738"/>
      <c r="AD83" s="738"/>
      <c r="AF83" s="740"/>
    </row>
    <row r="84" spans="1:32">
      <c r="A84" s="6">
        <f>MAX(A$70:A83)+1</f>
        <v>37</v>
      </c>
      <c r="B84" s="5"/>
      <c r="C84" s="10" t="s">
        <v>270</v>
      </c>
      <c r="D84" s="5"/>
      <c r="E84" s="522" t="s">
        <v>262</v>
      </c>
      <c r="F84" s="5"/>
      <c r="G84" s="536">
        <v>14756.638999999999</v>
      </c>
      <c r="H84" s="5"/>
      <c r="I84" s="547">
        <v>0.10861891731194913</v>
      </c>
      <c r="J84" s="536">
        <f>G84*I84/100</f>
        <v>16.028501513432836</v>
      </c>
      <c r="K84" s="5"/>
      <c r="L84" s="538">
        <v>0</v>
      </c>
      <c r="M84" s="538">
        <v>0</v>
      </c>
      <c r="N84" s="538">
        <f>J84-L84-M84</f>
        <v>16.028501513432836</v>
      </c>
      <c r="O84" s="585"/>
      <c r="P84" s="536">
        <v>0.43798339665370634</v>
      </c>
      <c r="Q84" s="538">
        <v>0</v>
      </c>
      <c r="R84" s="538">
        <v>0</v>
      </c>
      <c r="S84" s="585"/>
      <c r="T84" s="64">
        <f>N84+P84+Q84+R84</f>
        <v>16.466484910086542</v>
      </c>
      <c r="U84" s="580">
        <f>T84/G84*100</f>
        <v>0.11158696035111074</v>
      </c>
      <c r="V84" s="538">
        <f>T84-J84</f>
        <v>0.43798339665370634</v>
      </c>
      <c r="W84" s="541">
        <f>U84/I84-1</f>
        <v>2.7325286539521487E-2</v>
      </c>
      <c r="X84" s="542"/>
      <c r="Z84" s="738"/>
      <c r="AB84" s="738"/>
      <c r="AD84" s="738"/>
      <c r="AF84" s="740"/>
    </row>
    <row r="85" spans="1:32">
      <c r="A85" s="6"/>
      <c r="B85" s="58"/>
      <c r="C85" s="10"/>
      <c r="D85" s="58"/>
      <c r="E85" s="6"/>
      <c r="F85" s="58"/>
      <c r="G85" s="6"/>
      <c r="H85" s="58"/>
      <c r="I85" s="501"/>
      <c r="J85" s="501"/>
      <c r="K85" s="58"/>
      <c r="L85" s="538"/>
      <c r="M85" s="538"/>
      <c r="N85" s="538"/>
      <c r="O85" s="564"/>
      <c r="P85" s="536"/>
      <c r="Q85" s="538"/>
      <c r="R85" s="538"/>
      <c r="S85" s="564"/>
      <c r="T85" s="564"/>
      <c r="U85" s="564"/>
      <c r="V85" s="538"/>
      <c r="W85" s="538"/>
      <c r="X85" s="563"/>
      <c r="AB85" s="738"/>
      <c r="AD85" s="738"/>
    </row>
    <row r="86" spans="1:32" ht="12.95" thickBot="1">
      <c r="A86" s="6">
        <f>MAX(A$70:A85)+1</f>
        <v>38</v>
      </c>
      <c r="B86" s="58"/>
      <c r="C86" s="10" t="s">
        <v>282</v>
      </c>
      <c r="D86" s="58"/>
      <c r="E86" s="6"/>
      <c r="F86" s="58"/>
      <c r="G86" s="439">
        <f>G73</f>
        <v>27429.148000000001</v>
      </c>
      <c r="H86" s="58"/>
      <c r="I86" s="586">
        <f>J86/G86*100</f>
        <v>7.5117122864416626</v>
      </c>
      <c r="J86" s="571">
        <f>J75+J77+J82+J84</f>
        <v>2060.3986803822677</v>
      </c>
      <c r="K86" s="58"/>
      <c r="L86" s="587">
        <f>L75+L77+L82+L84</f>
        <v>0</v>
      </c>
      <c r="M86" s="587">
        <f t="shared" ref="M86:N86" si="23">M75+M77+M82+M84</f>
        <v>0</v>
      </c>
      <c r="N86" s="587">
        <f t="shared" si="23"/>
        <v>2060.3986803822677</v>
      </c>
      <c r="O86" s="564"/>
      <c r="P86" s="588">
        <f>P75+P77+P82+P84</f>
        <v>56.300984327097453</v>
      </c>
      <c r="Q86" s="588">
        <f t="shared" ref="Q86:R86" si="24">Q75+Q77+Q82+Q84</f>
        <v>272.41532868845394</v>
      </c>
      <c r="R86" s="589">
        <f t="shared" si="24"/>
        <v>0</v>
      </c>
      <c r="S86" s="564"/>
      <c r="T86" s="628">
        <f>T75+T77+T82+T84</f>
        <v>2389.1149933978186</v>
      </c>
      <c r="U86" s="590">
        <f>T86/G86*100</f>
        <v>8.710131985863427</v>
      </c>
      <c r="V86" s="587">
        <f>V75+V77+V82+V84</f>
        <v>328.71631301555141</v>
      </c>
      <c r="W86" s="573">
        <f>U86/I86-1</f>
        <v>0.15954014926594873</v>
      </c>
      <c r="X86" s="542"/>
      <c r="Z86" s="738"/>
      <c r="AB86" s="738"/>
      <c r="AD86" s="738"/>
      <c r="AF86" s="740"/>
    </row>
    <row r="87" spans="1:32" ht="12.95" thickTop="1">
      <c r="A87" s="6"/>
      <c r="B87" s="58"/>
      <c r="C87" s="58"/>
      <c r="D87" s="58"/>
      <c r="E87" s="591"/>
      <c r="F87" s="58"/>
      <c r="G87" s="591"/>
      <c r="H87" s="58"/>
      <c r="I87" s="501"/>
      <c r="J87" s="501"/>
      <c r="K87" s="58"/>
      <c r="L87" s="501"/>
      <c r="M87" s="501"/>
      <c r="N87" s="501"/>
      <c r="O87" s="58"/>
      <c r="P87" s="58"/>
      <c r="Q87" s="501"/>
      <c r="R87" s="501"/>
      <c r="S87" s="58"/>
      <c r="T87" s="58"/>
      <c r="U87" s="58"/>
      <c r="V87" s="538"/>
      <c r="W87" s="501"/>
    </row>
    <row r="88" spans="1:32">
      <c r="A88" s="6"/>
      <c r="B88" s="501"/>
      <c r="C88" s="501"/>
      <c r="D88" s="501"/>
      <c r="E88" s="501"/>
      <c r="F88" s="501"/>
      <c r="G88" s="501"/>
      <c r="H88" s="501"/>
      <c r="I88" s="501"/>
      <c r="J88" s="501"/>
      <c r="K88" s="501"/>
      <c r="L88" s="501"/>
      <c r="M88" s="501"/>
      <c r="N88" s="501"/>
      <c r="O88" s="501"/>
      <c r="P88" s="501"/>
      <c r="Q88" s="501"/>
      <c r="R88" s="501"/>
      <c r="S88" s="501"/>
      <c r="T88" s="501"/>
      <c r="U88" s="501"/>
      <c r="V88" s="501"/>
      <c r="W88" s="501"/>
    </row>
    <row r="89" spans="1:32" ht="12.95">
      <c r="A89" s="6"/>
      <c r="B89" s="58"/>
      <c r="C89" s="9" t="s">
        <v>130</v>
      </c>
      <c r="D89" s="58"/>
      <c r="E89" s="128"/>
      <c r="F89" s="58"/>
      <c r="G89" s="128"/>
      <c r="H89" s="58"/>
      <c r="I89" s="547"/>
      <c r="J89" s="501"/>
      <c r="K89" s="58"/>
      <c r="L89" s="501"/>
      <c r="M89" s="501"/>
      <c r="N89" s="501"/>
      <c r="O89" s="58"/>
      <c r="P89" s="58"/>
      <c r="Q89" s="501"/>
      <c r="R89" s="501"/>
      <c r="S89" s="58"/>
      <c r="T89" s="58"/>
      <c r="U89" s="58"/>
      <c r="V89" s="501"/>
      <c r="W89" s="501"/>
    </row>
    <row r="90" spans="1:32">
      <c r="A90" s="6">
        <f>MAX(A$70:A89)+1</f>
        <v>39</v>
      </c>
      <c r="B90" s="58"/>
      <c r="C90" s="10" t="s">
        <v>258</v>
      </c>
      <c r="D90" s="58"/>
      <c r="E90" s="30" t="s">
        <v>259</v>
      </c>
      <c r="F90" s="58"/>
      <c r="G90" s="536">
        <v>4992</v>
      </c>
      <c r="H90" s="58"/>
      <c r="I90" s="537">
        <v>642.54715571555448</v>
      </c>
      <c r="J90" s="534">
        <f>G90*I90/1000</f>
        <v>3207.5954013320479</v>
      </c>
      <c r="K90" s="58"/>
      <c r="L90" s="538">
        <v>0</v>
      </c>
      <c r="M90" s="538">
        <v>0</v>
      </c>
      <c r="N90" s="538">
        <f>J90-L90-M90</f>
        <v>3207.5954013320479</v>
      </c>
      <c r="O90" s="564"/>
      <c r="P90" s="536">
        <v>87.648463444249501</v>
      </c>
      <c r="Q90" s="538">
        <v>0</v>
      </c>
      <c r="R90" s="538">
        <v>0</v>
      </c>
      <c r="S90" s="564"/>
      <c r="T90" s="564">
        <f>N90+P90+Q90+R90</f>
        <v>3295.2438647762974</v>
      </c>
      <c r="U90" s="577">
        <f>T90/G90*1000</f>
        <v>660.10494086063659</v>
      </c>
      <c r="V90" s="538">
        <f>T90-J90</f>
        <v>87.648463444249501</v>
      </c>
      <c r="W90" s="541">
        <f>U90/I90-1</f>
        <v>2.7325286539521487E-2</v>
      </c>
      <c r="X90" s="542"/>
      <c r="Y90" s="563"/>
      <c r="Z90" s="738"/>
      <c r="AB90" s="738"/>
      <c r="AD90" s="738"/>
      <c r="AF90" s="739"/>
    </row>
    <row r="91" spans="1:32">
      <c r="A91" s="6">
        <f>MAX(A$70:A90)+1</f>
        <v>40</v>
      </c>
      <c r="B91" s="58"/>
      <c r="C91" s="521" t="s">
        <v>280</v>
      </c>
      <c r="D91" s="58"/>
      <c r="E91" s="30" t="s">
        <v>281</v>
      </c>
      <c r="F91" s="58"/>
      <c r="G91" s="536">
        <v>75653.868000000002</v>
      </c>
      <c r="H91" s="58"/>
      <c r="I91" s="547">
        <v>25.39395049703483</v>
      </c>
      <c r="J91" s="534">
        <f>G91*I91/100</f>
        <v>19211.505789012077</v>
      </c>
      <c r="K91" s="58"/>
      <c r="L91" s="538">
        <v>0</v>
      </c>
      <c r="M91" s="538">
        <v>0</v>
      </c>
      <c r="N91" s="538">
        <f>J91-L91-M91</f>
        <v>19211.505789012077</v>
      </c>
      <c r="O91" s="564"/>
      <c r="P91" s="536">
        <v>524.95990054043068</v>
      </c>
      <c r="Q91" s="538">
        <v>0</v>
      </c>
      <c r="R91" s="538">
        <v>0</v>
      </c>
      <c r="S91" s="564"/>
      <c r="T91" s="564">
        <f>N91+P91+Q91+R91</f>
        <v>19736.465689552508</v>
      </c>
      <c r="U91" s="565">
        <f>T91/G91*100</f>
        <v>26.087847470736737</v>
      </c>
      <c r="V91" s="538">
        <f>T91-J91</f>
        <v>524.95990054043068</v>
      </c>
      <c r="W91" s="541">
        <f>U91/I91-1</f>
        <v>2.7325286539521709E-2</v>
      </c>
      <c r="X91" s="542"/>
      <c r="Y91" s="563"/>
      <c r="Z91" s="738"/>
      <c r="AB91" s="738"/>
      <c r="AD91" s="738"/>
      <c r="AF91" s="740"/>
    </row>
    <row r="92" spans="1:32">
      <c r="A92" s="6"/>
      <c r="B92" s="58"/>
      <c r="C92" s="521" t="s">
        <v>260</v>
      </c>
      <c r="D92" s="58"/>
      <c r="E92" s="30"/>
      <c r="F92" s="58"/>
      <c r="G92" s="536"/>
      <c r="H92" s="58"/>
      <c r="I92" s="547"/>
      <c r="J92" s="534"/>
      <c r="K92" s="58"/>
      <c r="L92" s="538"/>
      <c r="M92" s="538"/>
      <c r="N92" s="538"/>
      <c r="O92" s="564"/>
      <c r="P92" s="536"/>
      <c r="Q92" s="538"/>
      <c r="R92" s="538"/>
      <c r="S92" s="564"/>
      <c r="T92" s="564"/>
      <c r="U92" s="565"/>
      <c r="V92" s="538"/>
      <c r="W92" s="541"/>
      <c r="X92" s="542"/>
      <c r="Y92" s="563"/>
      <c r="Z92" s="738"/>
      <c r="AB92" s="738"/>
      <c r="AD92" s="738"/>
      <c r="AF92" s="740"/>
    </row>
    <row r="93" spans="1:32">
      <c r="A93" s="6">
        <f>MAX(A$70:A92)+1</f>
        <v>41</v>
      </c>
      <c r="B93" s="58"/>
      <c r="C93" s="12" t="s">
        <v>283</v>
      </c>
      <c r="D93" s="58"/>
      <c r="E93" s="30" t="s">
        <v>262</v>
      </c>
      <c r="F93" s="58"/>
      <c r="G93" s="536">
        <v>897522.08799999999</v>
      </c>
      <c r="H93" s="58"/>
      <c r="I93" s="547">
        <v>0.69304834130493465</v>
      </c>
      <c r="J93" s="534">
        <f>G93*I93/100</f>
        <v>6220.2619437294161</v>
      </c>
      <c r="K93" s="58"/>
      <c r="L93" s="536">
        <v>2114.1338090707973</v>
      </c>
      <c r="M93" s="538">
        <v>0</v>
      </c>
      <c r="N93" s="538">
        <f>J93-L93-M93</f>
        <v>4106.1281346586184</v>
      </c>
      <c r="O93" s="564"/>
      <c r="P93" s="536">
        <v>112.20112784753746</v>
      </c>
      <c r="Q93" s="536">
        <v>2012.7953581963834</v>
      </c>
      <c r="R93" s="538">
        <v>0</v>
      </c>
      <c r="S93" s="564"/>
      <c r="T93" s="564">
        <f>N93+P93+Q93+R93</f>
        <v>6231.1246207025397</v>
      </c>
      <c r="U93" s="565">
        <f>T93/G93*100</f>
        <v>0.69425863764397289</v>
      </c>
      <c r="V93" s="538">
        <f>T93-J93</f>
        <v>10.862676973123598</v>
      </c>
      <c r="W93" s="541"/>
      <c r="X93" s="542"/>
      <c r="Y93" s="563"/>
      <c r="Z93" s="738"/>
      <c r="AB93" s="738"/>
      <c r="AD93" s="738"/>
      <c r="AF93" s="740"/>
    </row>
    <row r="94" spans="1:32">
      <c r="A94" s="6">
        <f>MAX(A$70:A93)+1</f>
        <v>42</v>
      </c>
      <c r="B94" s="58"/>
      <c r="C94" s="12" t="s">
        <v>284</v>
      </c>
      <c r="D94" s="58"/>
      <c r="E94" s="30" t="s">
        <v>262</v>
      </c>
      <c r="F94" s="58"/>
      <c r="G94" s="536">
        <v>170759.079</v>
      </c>
      <c r="H94" s="58"/>
      <c r="I94" s="547">
        <v>0.52507311963522729</v>
      </c>
      <c r="J94" s="534">
        <f>G94*I94/100</f>
        <v>896.61002316568226</v>
      </c>
      <c r="K94" s="58"/>
      <c r="L94" s="536">
        <v>402.22691669254067</v>
      </c>
      <c r="M94" s="538">
        <v>0</v>
      </c>
      <c r="N94" s="538">
        <f>J94-L94-M94</f>
        <v>494.38310647314159</v>
      </c>
      <c r="O94" s="564"/>
      <c r="P94" s="536">
        <v>13.509160044677344</v>
      </c>
      <c r="Q94" s="536">
        <v>382.94665521489594</v>
      </c>
      <c r="R94" s="538">
        <v>0</v>
      </c>
      <c r="S94" s="564"/>
      <c r="T94" s="564">
        <f>N94+P94+Q94+R94</f>
        <v>890.83892173271488</v>
      </c>
      <c r="U94" s="565">
        <f>T94/G94*100</f>
        <v>0.5216934449106011</v>
      </c>
      <c r="V94" s="538">
        <f>T94-J94</f>
        <v>-5.7711014329673844</v>
      </c>
      <c r="W94" s="559"/>
      <c r="X94" s="542"/>
      <c r="Y94" s="563"/>
      <c r="Z94" s="738"/>
      <c r="AB94" s="738"/>
      <c r="AD94" s="738"/>
      <c r="AF94" s="740"/>
    </row>
    <row r="95" spans="1:32">
      <c r="A95" s="6">
        <f>MAX(A$70:A94)+1</f>
        <v>43</v>
      </c>
      <c r="C95" s="521" t="s">
        <v>260</v>
      </c>
      <c r="E95" s="30"/>
      <c r="G95" s="553">
        <f>SUM(G93:G94)</f>
        <v>1068281.1669999999</v>
      </c>
      <c r="I95" s="578">
        <f>J95/G95*100</f>
        <v>0.66619839296437755</v>
      </c>
      <c r="J95" s="552">
        <f>SUM(J93:J94)</f>
        <v>7116.871966895098</v>
      </c>
      <c r="L95" s="553">
        <f>SUM(L93:L94)</f>
        <v>2516.360725763338</v>
      </c>
      <c r="M95" s="555">
        <f>SUM(M93:M94)</f>
        <v>0</v>
      </c>
      <c r="N95" s="555">
        <f t="shared" ref="N95" si="25">SUM(N93:N94)</f>
        <v>4600.5112411317596</v>
      </c>
      <c r="O95" s="64"/>
      <c r="P95" s="553">
        <f>SUM(P93:P94)</f>
        <v>125.71028789221481</v>
      </c>
      <c r="Q95" s="553">
        <f t="shared" ref="Q95:R95" si="26">SUM(Q93:Q94)</f>
        <v>2395.7420134112795</v>
      </c>
      <c r="R95" s="411">
        <f t="shared" si="26"/>
        <v>0</v>
      </c>
      <c r="S95" s="64"/>
      <c r="T95" s="407">
        <f>SUM(T93:T94)</f>
        <v>7121.9635424352546</v>
      </c>
      <c r="U95" s="579">
        <f>T95/G95*100</f>
        <v>0.66667500677143876</v>
      </c>
      <c r="V95" s="555">
        <f>V93+V94</f>
        <v>5.0915755401562137</v>
      </c>
      <c r="W95" s="562">
        <f>U95/I95-1</f>
        <v>7.1542323141970954E-4</v>
      </c>
      <c r="X95" s="542"/>
      <c r="Y95" s="563"/>
      <c r="Z95" s="738"/>
      <c r="AB95" s="738"/>
      <c r="AD95" s="738"/>
      <c r="AF95" s="740"/>
    </row>
    <row r="96" spans="1:32">
      <c r="A96" s="6"/>
      <c r="B96" s="58"/>
      <c r="C96" s="10"/>
      <c r="D96" s="58"/>
      <c r="E96" s="574"/>
      <c r="F96" s="58"/>
      <c r="G96" s="29"/>
      <c r="H96" s="58"/>
      <c r="I96" s="501"/>
      <c r="J96" s="501"/>
      <c r="K96" s="58"/>
      <c r="L96" s="538"/>
      <c r="M96" s="538"/>
      <c r="N96" s="555"/>
      <c r="O96" s="564"/>
      <c r="P96" s="564"/>
      <c r="Q96" s="538"/>
      <c r="R96" s="538"/>
      <c r="S96" s="564"/>
      <c r="T96" s="64"/>
      <c r="U96" s="565"/>
      <c r="V96" s="538"/>
      <c r="W96" s="541"/>
      <c r="X96" s="542"/>
      <c r="Y96" s="563"/>
      <c r="Z96" s="738"/>
      <c r="AB96" s="738"/>
      <c r="AD96" s="738"/>
      <c r="AF96" s="740"/>
    </row>
    <row r="97" spans="1:32">
      <c r="A97" s="6">
        <f>MAX(A$70:A96)+1</f>
        <v>44</v>
      </c>
      <c r="B97" s="58"/>
      <c r="C97" s="10" t="s">
        <v>266</v>
      </c>
      <c r="D97" s="58"/>
      <c r="E97" s="574"/>
      <c r="F97" s="58"/>
      <c r="G97" s="411">
        <f>G95</f>
        <v>1068281.1669999999</v>
      </c>
      <c r="H97" s="58"/>
      <c r="I97" s="578">
        <f>J97/G97*100</f>
        <v>2.7648126794356589</v>
      </c>
      <c r="J97" s="552">
        <f>J90+J91+J95</f>
        <v>29535.973157239223</v>
      </c>
      <c r="K97" s="534"/>
      <c r="L97" s="552">
        <f>L90+L91+L95</f>
        <v>2516.360725763338</v>
      </c>
      <c r="M97" s="555">
        <f>M90+M91+M95</f>
        <v>0</v>
      </c>
      <c r="N97" s="555">
        <f>N90+N91+N95</f>
        <v>27019.612431475885</v>
      </c>
      <c r="O97" s="534"/>
      <c r="P97" s="552">
        <f>P90+P91+P95</f>
        <v>738.31865187689505</v>
      </c>
      <c r="Q97" s="552">
        <f t="shared" ref="Q97:R97" si="27">Q90+Q91+Q95</f>
        <v>2395.7420134112795</v>
      </c>
      <c r="R97" s="555">
        <f t="shared" si="27"/>
        <v>0</v>
      </c>
      <c r="S97" s="534"/>
      <c r="T97" s="407">
        <f>T90+T91+T95</f>
        <v>30153.673096764061</v>
      </c>
      <c r="U97" s="592">
        <f>T97/G97*100</f>
        <v>2.8226345299564812</v>
      </c>
      <c r="V97" s="555">
        <f>V90+V91+V95</f>
        <v>617.6999395248364</v>
      </c>
      <c r="W97" s="562">
        <f>U97/I97-1</f>
        <v>2.0913478497438298E-2</v>
      </c>
      <c r="X97" s="542"/>
      <c r="Y97" s="563"/>
      <c r="Z97" s="738"/>
      <c r="AB97" s="738"/>
      <c r="AD97" s="738"/>
      <c r="AF97" s="740"/>
    </row>
    <row r="98" spans="1:32">
      <c r="A98" s="6"/>
      <c r="B98" s="58"/>
      <c r="C98" s="12"/>
      <c r="D98" s="58"/>
      <c r="E98" s="574"/>
      <c r="F98" s="58"/>
      <c r="G98" s="29"/>
      <c r="H98" s="58"/>
      <c r="I98" s="501"/>
      <c r="J98" s="501"/>
      <c r="K98" s="58"/>
      <c r="L98" s="538"/>
      <c r="M98" s="538"/>
      <c r="N98" s="538"/>
      <c r="O98" s="564"/>
      <c r="P98" s="564"/>
      <c r="Q98" s="538"/>
      <c r="R98" s="538"/>
      <c r="S98" s="564"/>
      <c r="T98" s="564"/>
      <c r="U98" s="564"/>
      <c r="V98" s="538"/>
      <c r="W98" s="538"/>
      <c r="X98" s="563"/>
      <c r="Y98" s="563"/>
      <c r="Z98" s="738"/>
      <c r="AB98" s="738"/>
      <c r="AD98" s="738"/>
      <c r="AF98" s="740"/>
    </row>
    <row r="99" spans="1:32">
      <c r="A99" s="6">
        <f>MAX(A$70:A98)+1</f>
        <v>45</v>
      </c>
      <c r="B99" s="58"/>
      <c r="C99" s="12" t="s">
        <v>267</v>
      </c>
      <c r="D99" s="58"/>
      <c r="E99" s="522" t="s">
        <v>262</v>
      </c>
      <c r="F99" s="58"/>
      <c r="G99" s="536">
        <v>1068281.1669999999</v>
      </c>
      <c r="H99" s="58"/>
      <c r="I99" s="547">
        <v>0.14286191415012728</v>
      </c>
      <c r="J99" s="534">
        <f>G99*I99/100</f>
        <v>1526.1669236815176</v>
      </c>
      <c r="K99" s="58"/>
      <c r="L99" s="538">
        <v>0</v>
      </c>
      <c r="M99" s="536">
        <v>730.61878451440805</v>
      </c>
      <c r="N99" s="538">
        <f>J99-L99-M99</f>
        <v>795.54813916710953</v>
      </c>
      <c r="O99" s="564"/>
      <c r="P99" s="536">
        <v>21.73858085872439</v>
      </c>
      <c r="Q99" s="538">
        <v>0</v>
      </c>
      <c r="R99" s="536">
        <v>728.08974089566607</v>
      </c>
      <c r="S99" s="564"/>
      <c r="T99" s="564">
        <f>N99+P99+Q99+R99</f>
        <v>1545.3764609215</v>
      </c>
      <c r="U99" s="565">
        <f>T99/G99*100</f>
        <v>0.14466008656328772</v>
      </c>
      <c r="V99" s="538">
        <f>T99-J99</f>
        <v>19.20953723998241</v>
      </c>
      <c r="W99" s="559">
        <f>U99/I99-1</f>
        <v>1.2586786505399905E-2</v>
      </c>
      <c r="X99" s="559"/>
      <c r="Y99" s="563"/>
      <c r="Z99" s="738"/>
      <c r="AB99" s="738"/>
      <c r="AD99" s="738"/>
      <c r="AF99" s="740"/>
    </row>
    <row r="100" spans="1:32">
      <c r="A100" s="6"/>
      <c r="B100" s="58"/>
      <c r="C100" s="12"/>
      <c r="D100" s="58"/>
      <c r="E100" s="522"/>
      <c r="F100" s="58"/>
      <c r="G100" s="536"/>
      <c r="H100" s="58"/>
      <c r="I100" s="547"/>
      <c r="J100" s="534"/>
      <c r="K100" s="58"/>
      <c r="L100" s="538"/>
      <c r="M100" s="536"/>
      <c r="N100" s="538"/>
      <c r="O100" s="564"/>
      <c r="P100" s="536"/>
      <c r="Q100" s="538"/>
      <c r="R100" s="536"/>
      <c r="S100" s="564"/>
      <c r="T100" s="564"/>
      <c r="U100" s="565"/>
      <c r="V100" s="538"/>
      <c r="W100" s="559"/>
      <c r="X100" s="559"/>
      <c r="Y100" s="563"/>
      <c r="Z100" s="738"/>
      <c r="AB100" s="738"/>
      <c r="AD100" s="738"/>
      <c r="AF100" s="740"/>
    </row>
    <row r="101" spans="1:32">
      <c r="A101" s="6"/>
      <c r="B101" s="58"/>
      <c r="C101" s="10" t="s">
        <v>268</v>
      </c>
      <c r="D101" s="58"/>
      <c r="E101" s="522"/>
      <c r="F101" s="58"/>
      <c r="G101" s="536"/>
      <c r="H101" s="58"/>
      <c r="I101" s="547"/>
      <c r="J101" s="534"/>
      <c r="K101" s="58"/>
      <c r="L101" s="538"/>
      <c r="M101" s="536"/>
      <c r="N101" s="538"/>
      <c r="O101" s="564"/>
      <c r="P101" s="536"/>
      <c r="Q101" s="538"/>
      <c r="R101" s="536"/>
      <c r="S101" s="564"/>
      <c r="T101" s="564"/>
      <c r="U101" s="565"/>
      <c r="V101" s="538"/>
      <c r="W101" s="559"/>
      <c r="X101" s="559"/>
      <c r="Y101" s="563"/>
      <c r="Z101" s="738"/>
      <c r="AB101" s="738"/>
      <c r="AD101" s="738"/>
      <c r="AF101" s="740"/>
    </row>
    <row r="102" spans="1:32">
      <c r="A102" s="6">
        <f>MAX(A$70:A101)+1</f>
        <v>46</v>
      </c>
      <c r="B102" s="58"/>
      <c r="C102" s="12" t="s">
        <v>268</v>
      </c>
      <c r="D102" s="58"/>
      <c r="E102" s="522" t="s">
        <v>262</v>
      </c>
      <c r="F102" s="58"/>
      <c r="G102" s="536">
        <v>113376.269</v>
      </c>
      <c r="H102" s="58"/>
      <c r="I102" s="547">
        <v>7.5247899388025202E-2</v>
      </c>
      <c r="J102" s="534">
        <f>G102*I102/100</f>
        <v>85.313260827016805</v>
      </c>
      <c r="K102" s="58"/>
      <c r="L102" s="538">
        <v>0</v>
      </c>
      <c r="M102" s="538">
        <v>0</v>
      </c>
      <c r="N102" s="538">
        <f t="shared" ref="N102:N103" si="28">J102-L102-M102</f>
        <v>85.313260827016805</v>
      </c>
      <c r="O102" s="564"/>
      <c r="P102" s="536">
        <v>2.3312092977191696</v>
      </c>
      <c r="Q102" s="538">
        <v>0</v>
      </c>
      <c r="R102" s="538">
        <v>0</v>
      </c>
      <c r="S102" s="564"/>
      <c r="T102" s="564">
        <f t="shared" ref="T102:T103" si="29">N102+P102+Q102+R102</f>
        <v>87.644470124735975</v>
      </c>
      <c r="U102" s="565">
        <f>T102/G102*100</f>
        <v>7.7304069800300079E-2</v>
      </c>
      <c r="V102" s="538">
        <f>T102-J102</f>
        <v>2.3312092977191696</v>
      </c>
      <c r="W102" s="541"/>
      <c r="X102" s="542"/>
      <c r="Y102" s="563"/>
      <c r="Z102" s="738"/>
      <c r="AB102" s="738"/>
      <c r="AD102" s="738"/>
      <c r="AF102" s="740"/>
    </row>
    <row r="103" spans="1:32">
      <c r="A103" s="6">
        <f>MAX(A$70:A102)+1</f>
        <v>47</v>
      </c>
      <c r="B103" s="58"/>
      <c r="C103" s="12" t="s">
        <v>269</v>
      </c>
      <c r="D103" s="58"/>
      <c r="E103" s="522" t="s">
        <v>262</v>
      </c>
      <c r="F103" s="58"/>
      <c r="G103" s="536">
        <v>927920.70200000005</v>
      </c>
      <c r="H103" s="58"/>
      <c r="I103" s="547">
        <v>0.59779647671694514</v>
      </c>
      <c r="J103" s="534">
        <f>G103*I103/100</f>
        <v>5547.077263283144</v>
      </c>
      <c r="K103" s="58"/>
      <c r="L103" s="538">
        <v>0</v>
      </c>
      <c r="M103" s="538">
        <v>0</v>
      </c>
      <c r="N103" s="538">
        <f t="shared" si="28"/>
        <v>5547.077263283144</v>
      </c>
      <c r="O103" s="564"/>
      <c r="P103" s="536">
        <v>151.57547567607617</v>
      </c>
      <c r="Q103" s="538">
        <v>0</v>
      </c>
      <c r="R103" s="538">
        <v>0</v>
      </c>
      <c r="S103" s="564"/>
      <c r="T103" s="564">
        <f t="shared" si="29"/>
        <v>5698.6527389592202</v>
      </c>
      <c r="U103" s="565">
        <f>T103/G103*100</f>
        <v>0.61413143673555204</v>
      </c>
      <c r="V103" s="538">
        <f>T103-J103</f>
        <v>151.57547567607617</v>
      </c>
      <c r="W103" s="541"/>
      <c r="X103" s="542"/>
      <c r="Y103" s="563"/>
      <c r="Z103" s="738"/>
      <c r="AB103" s="738"/>
      <c r="AD103" s="738"/>
      <c r="AF103" s="740"/>
    </row>
    <row r="104" spans="1:32">
      <c r="A104" s="6">
        <f>MAX(A$70:A103)+1</f>
        <v>48</v>
      </c>
      <c r="B104" s="58"/>
      <c r="C104" s="10" t="s">
        <v>268</v>
      </c>
      <c r="D104" s="58"/>
      <c r="E104" s="522"/>
      <c r="F104" s="58"/>
      <c r="G104" s="553">
        <f>SUM(G102:G103)</f>
        <v>1041296.971</v>
      </c>
      <c r="H104" s="593"/>
      <c r="I104" s="566">
        <f>J104/G104*100</f>
        <v>0.54090146048356846</v>
      </c>
      <c r="J104" s="552">
        <f>SUM(J102:J103)</f>
        <v>5632.3905241101611</v>
      </c>
      <c r="K104" s="534"/>
      <c r="L104" s="555">
        <f t="shared" ref="L104:R104" si="30">SUM(L102:L103)</f>
        <v>0</v>
      </c>
      <c r="M104" s="555">
        <f t="shared" si="30"/>
        <v>0</v>
      </c>
      <c r="N104" s="555">
        <f>SUM(N102:N103)</f>
        <v>5632.3905241101611</v>
      </c>
      <c r="O104" s="552"/>
      <c r="P104" s="552">
        <f t="shared" si="30"/>
        <v>153.90668497379534</v>
      </c>
      <c r="Q104" s="555">
        <f t="shared" si="30"/>
        <v>0</v>
      </c>
      <c r="R104" s="555">
        <f t="shared" si="30"/>
        <v>0</v>
      </c>
      <c r="S104" s="534"/>
      <c r="T104" s="619">
        <f>SUM(T102:T103)</f>
        <v>5786.2972090839557</v>
      </c>
      <c r="U104" s="592">
        <f>T104/G104*100</f>
        <v>0.5556817478809275</v>
      </c>
      <c r="V104" s="555">
        <f>SUM(V102:V103)</f>
        <v>153.90668497379534</v>
      </c>
      <c r="W104" s="562">
        <f>U104/I104-1</f>
        <v>2.7325286539521265E-2</v>
      </c>
      <c r="X104" s="542"/>
      <c r="Y104" s="563"/>
      <c r="Z104" s="738"/>
      <c r="AB104" s="738"/>
      <c r="AD104" s="738"/>
      <c r="AF104" s="740"/>
    </row>
    <row r="105" spans="1:32">
      <c r="A105" s="6"/>
      <c r="C105" s="10"/>
      <c r="E105" s="57"/>
      <c r="G105" s="536"/>
      <c r="I105" s="547"/>
      <c r="J105" s="534"/>
      <c r="L105" s="538"/>
      <c r="M105" s="538"/>
      <c r="N105" s="538"/>
      <c r="O105" s="64"/>
      <c r="P105" s="536"/>
      <c r="Q105" s="538"/>
      <c r="R105" s="538"/>
      <c r="S105" s="64"/>
      <c r="T105" s="564"/>
      <c r="U105" s="565"/>
      <c r="V105" s="538"/>
      <c r="W105" s="541"/>
      <c r="X105" s="542"/>
      <c r="Y105" s="563"/>
      <c r="Z105" s="738"/>
      <c r="AB105" s="738"/>
      <c r="AD105" s="738"/>
      <c r="AF105" s="740"/>
    </row>
    <row r="106" spans="1:32">
      <c r="A106" s="6">
        <f>MAX(A$70:A105)+1</f>
        <v>49</v>
      </c>
      <c r="B106" s="58"/>
      <c r="C106" s="10" t="s">
        <v>270</v>
      </c>
      <c r="D106" s="58"/>
      <c r="E106" s="522" t="s">
        <v>262</v>
      </c>
      <c r="F106" s="58"/>
      <c r="G106" s="536">
        <v>102196.917</v>
      </c>
      <c r="H106" s="58"/>
      <c r="I106" s="547">
        <v>4.6924289518859012E-2</v>
      </c>
      <c r="J106" s="534">
        <f>G106*I106/100</f>
        <v>47.95517721242804</v>
      </c>
      <c r="K106" s="58"/>
      <c r="L106" s="538">
        <v>0</v>
      </c>
      <c r="M106" s="538">
        <v>0</v>
      </c>
      <c r="N106" s="538">
        <f>J106-L106-M106</f>
        <v>47.95517721242804</v>
      </c>
      <c r="O106" s="564"/>
      <c r="P106" s="536">
        <v>1.310388958383129</v>
      </c>
      <c r="Q106" s="538">
        <v>0</v>
      </c>
      <c r="R106" s="538">
        <v>0</v>
      </c>
      <c r="S106" s="564"/>
      <c r="T106" s="564">
        <f>N106+P106+Q106+R106</f>
        <v>49.265566170811169</v>
      </c>
      <c r="U106" s="565">
        <f>T106/G106*100</f>
        <v>4.8206509175625301E-2</v>
      </c>
      <c r="V106" s="538">
        <f>T106-J106</f>
        <v>1.310388958383129</v>
      </c>
      <c r="W106" s="541">
        <f>U106/I106-1</f>
        <v>2.7325286539521487E-2</v>
      </c>
      <c r="X106" s="542"/>
      <c r="Y106" s="563"/>
      <c r="Z106" s="738"/>
      <c r="AB106" s="738"/>
      <c r="AD106" s="738"/>
      <c r="AF106" s="740"/>
    </row>
    <row r="107" spans="1:32">
      <c r="A107" s="6"/>
      <c r="B107" s="58"/>
      <c r="C107" s="10"/>
      <c r="D107" s="58"/>
      <c r="E107" s="30"/>
      <c r="F107" s="58"/>
      <c r="G107" s="29"/>
      <c r="H107" s="58"/>
      <c r="I107" s="547"/>
      <c r="J107" s="501"/>
      <c r="K107" s="58"/>
      <c r="L107" s="538"/>
      <c r="M107" s="538"/>
      <c r="N107" s="538"/>
      <c r="O107" s="564"/>
      <c r="P107" s="564"/>
      <c r="Q107" s="538"/>
      <c r="R107" s="538"/>
      <c r="S107" s="564"/>
      <c r="T107" s="564"/>
      <c r="U107" s="565"/>
      <c r="V107" s="538"/>
      <c r="W107" s="541"/>
      <c r="X107" s="542"/>
      <c r="Y107" s="563"/>
      <c r="AD107" s="738"/>
      <c r="AF107" s="740"/>
    </row>
    <row r="108" spans="1:32" ht="12.95" thickBot="1">
      <c r="A108" s="6">
        <v>50</v>
      </c>
      <c r="B108" s="58"/>
      <c r="C108" s="10" t="s">
        <v>285</v>
      </c>
      <c r="D108" s="58"/>
      <c r="E108" s="30"/>
      <c r="F108" s="58"/>
      <c r="G108" s="594">
        <f>G95</f>
        <v>1068281.1669999999</v>
      </c>
      <c r="I108" s="586">
        <f>J108/G108*100</f>
        <v>3.4394021833620259</v>
      </c>
      <c r="J108" s="571">
        <f>J97+J99+J102+J103+J106</f>
        <v>36742.485782243326</v>
      </c>
      <c r="K108" s="534"/>
      <c r="L108" s="571">
        <f>L97+L99+L102+L103+L106</f>
        <v>2516.360725763338</v>
      </c>
      <c r="M108" s="571">
        <f>M97+M99+M102+M103+M106</f>
        <v>730.61878451440805</v>
      </c>
      <c r="N108" s="571">
        <f>N97+N99+N102+N103+N106</f>
        <v>33495.506271965583</v>
      </c>
      <c r="O108" s="534"/>
      <c r="P108" s="571">
        <f>P97+P99+P102+P103+P106</f>
        <v>915.27430666779787</v>
      </c>
      <c r="Q108" s="571">
        <f>Q97+Q99+Q102+Q103+Q106</f>
        <v>2395.7420134112795</v>
      </c>
      <c r="R108" s="571">
        <f>R97+R99+R102+R103+R106</f>
        <v>728.08974089566607</v>
      </c>
      <c r="S108" s="534"/>
      <c r="T108" s="628">
        <f>T97+T99+T104+T106</f>
        <v>37534.612332940327</v>
      </c>
      <c r="U108" s="590">
        <f>T108/G108*100</f>
        <v>3.5135518150476135</v>
      </c>
      <c r="V108" s="587">
        <f>SUM(V97+V99+V102+V103+V106)</f>
        <v>792.12655069699724</v>
      </c>
      <c r="W108" s="573">
        <f>U108/I108-1</f>
        <v>2.1558872075002844E-2</v>
      </c>
      <c r="X108" s="542"/>
      <c r="Y108" s="563"/>
      <c r="Z108" s="738"/>
      <c r="AB108" s="738"/>
      <c r="AD108" s="738"/>
      <c r="AF108" s="740"/>
    </row>
    <row r="109" spans="1:32" ht="12.95" thickTop="1">
      <c r="L109" s="2"/>
      <c r="M109" s="2"/>
      <c r="N109" s="538"/>
      <c r="Q109" s="501"/>
      <c r="R109" s="501"/>
      <c r="V109" s="534"/>
      <c r="W109" s="501"/>
      <c r="Z109" s="738"/>
      <c r="AB109" s="738"/>
      <c r="AD109" s="738"/>
      <c r="AF109" s="740"/>
    </row>
    <row r="110" spans="1:32">
      <c r="L110" s="2"/>
      <c r="M110" s="2"/>
      <c r="N110" s="501"/>
      <c r="Q110" s="501"/>
      <c r="R110" s="501"/>
      <c r="V110" s="534"/>
      <c r="W110" s="501"/>
      <c r="Z110" s="738"/>
      <c r="AB110" s="738"/>
      <c r="AD110" s="738"/>
      <c r="AF110" s="740"/>
    </row>
    <row r="111" spans="1:32">
      <c r="L111" s="2"/>
      <c r="M111" s="2"/>
      <c r="N111" s="501"/>
      <c r="Q111" s="501"/>
      <c r="R111" s="501"/>
      <c r="V111" s="534"/>
      <c r="W111" s="501"/>
      <c r="Z111" s="738"/>
      <c r="AB111" s="738"/>
      <c r="AD111" s="738"/>
      <c r="AF111" s="740"/>
    </row>
    <row r="112" spans="1:32">
      <c r="L112" s="2"/>
      <c r="M112" s="2"/>
      <c r="N112" s="501"/>
      <c r="Q112" s="501"/>
      <c r="R112" s="501"/>
      <c r="V112" s="501"/>
      <c r="W112" s="501"/>
      <c r="X112" s="531"/>
      <c r="Z112" s="738"/>
      <c r="AB112" s="738"/>
      <c r="AD112" s="738"/>
      <c r="AF112" s="740"/>
    </row>
    <row r="113" spans="1:32">
      <c r="A113" s="1156" t="s">
        <v>279</v>
      </c>
      <c r="B113" s="1156"/>
      <c r="C113" s="1156"/>
      <c r="D113" s="1156"/>
      <c r="E113" s="1156"/>
      <c r="F113" s="1156"/>
      <c r="G113" s="1156"/>
      <c r="H113" s="1156"/>
      <c r="I113" s="1156"/>
      <c r="J113" s="1156"/>
      <c r="K113" s="1156"/>
      <c r="L113" s="1156"/>
      <c r="M113" s="1156"/>
      <c r="N113" s="1156"/>
      <c r="O113" s="1156"/>
      <c r="P113" s="1156"/>
      <c r="Q113" s="1156"/>
      <c r="R113" s="1156"/>
      <c r="S113" s="1156"/>
      <c r="T113" s="1156"/>
      <c r="U113" s="1156"/>
      <c r="V113" s="1156"/>
      <c r="W113" s="1156"/>
      <c r="X113" s="737"/>
      <c r="Y113" s="737"/>
      <c r="Z113" s="738"/>
      <c r="AB113" s="738"/>
      <c r="AD113" s="738"/>
      <c r="AF113" s="740"/>
    </row>
    <row r="114" spans="1:32">
      <c r="A114" s="1156" t="s">
        <v>478</v>
      </c>
      <c r="B114" s="1156"/>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6"/>
      <c r="Z114" s="738"/>
      <c r="AB114" s="738"/>
      <c r="AD114" s="738"/>
      <c r="AF114" s="740"/>
    </row>
    <row r="115" spans="1:32">
      <c r="A115" s="57"/>
      <c r="B115" s="57"/>
      <c r="C115" s="57"/>
      <c r="D115" s="57"/>
      <c r="E115" s="3"/>
      <c r="F115" s="57"/>
      <c r="G115" s="3"/>
      <c r="H115" s="57"/>
      <c r="I115" s="57"/>
      <c r="J115" s="57"/>
      <c r="K115" s="57"/>
      <c r="L115" s="57"/>
      <c r="M115" s="57"/>
      <c r="N115" s="501"/>
      <c r="O115" s="57"/>
      <c r="P115" s="57"/>
      <c r="Q115" s="501"/>
      <c r="R115" s="501"/>
      <c r="S115" s="57"/>
      <c r="T115" s="57"/>
      <c r="U115" s="57"/>
      <c r="V115" s="501"/>
      <c r="W115" s="501"/>
      <c r="X115" s="6"/>
      <c r="Z115" s="738"/>
      <c r="AB115" s="738"/>
      <c r="AD115" s="738"/>
      <c r="AF115" s="740"/>
    </row>
    <row r="116" spans="1:32" ht="26.65" customHeight="1">
      <c r="A116" s="3"/>
      <c r="B116" s="3"/>
      <c r="C116" s="3"/>
      <c r="D116" s="3"/>
      <c r="E116" s="57"/>
      <c r="F116" s="1152" t="s">
        <v>231</v>
      </c>
      <c r="G116" s="1152"/>
      <c r="H116" s="1152"/>
      <c r="I116" s="1152"/>
      <c r="J116" s="1152"/>
      <c r="K116" s="3"/>
      <c r="L116" s="1157" t="s">
        <v>94</v>
      </c>
      <c r="M116" s="1157"/>
      <c r="N116" s="58"/>
      <c r="O116" s="3"/>
      <c r="P116" s="59"/>
      <c r="Q116" s="1157" t="s">
        <v>95</v>
      </c>
      <c r="R116" s="1157"/>
      <c r="S116" s="3"/>
      <c r="T116" s="1152" t="s">
        <v>472</v>
      </c>
      <c r="U116" s="1152"/>
      <c r="V116" s="1152"/>
      <c r="W116" s="1152"/>
      <c r="X116" s="5"/>
      <c r="Z116" s="738"/>
      <c r="AB116" s="738"/>
      <c r="AD116" s="738"/>
      <c r="AF116" s="740"/>
    </row>
    <row r="117" spans="1:32" ht="37.5">
      <c r="A117" s="5" t="s">
        <v>56</v>
      </c>
      <c r="B117" s="5"/>
      <c r="C117" s="5"/>
      <c r="D117" s="5"/>
      <c r="E117" s="6" t="s">
        <v>233</v>
      </c>
      <c r="F117" s="5"/>
      <c r="G117" s="17" t="s">
        <v>234</v>
      </c>
      <c r="H117" s="5"/>
      <c r="I117" s="17" t="s">
        <v>235</v>
      </c>
      <c r="J117" s="17" t="s">
        <v>101</v>
      </c>
      <c r="K117" s="5"/>
      <c r="L117" s="17" t="s">
        <v>106</v>
      </c>
      <c r="M117" s="17" t="s">
        <v>236</v>
      </c>
      <c r="N117" s="5" t="s">
        <v>239</v>
      </c>
      <c r="O117" s="5"/>
      <c r="P117" s="5" t="s">
        <v>240</v>
      </c>
      <c r="Q117" s="17" t="s">
        <v>106</v>
      </c>
      <c r="R117" s="17" t="s">
        <v>236</v>
      </c>
      <c r="S117" s="5"/>
      <c r="T117" s="17" t="s">
        <v>241</v>
      </c>
      <c r="U117" s="17" t="s">
        <v>242</v>
      </c>
      <c r="V117" s="17" t="s">
        <v>243</v>
      </c>
      <c r="W117" s="5" t="s">
        <v>244</v>
      </c>
      <c r="X117" s="6"/>
      <c r="Z117" s="738"/>
      <c r="AB117" s="738"/>
      <c r="AD117" s="738"/>
      <c r="AF117" s="740"/>
    </row>
    <row r="118" spans="1:32" ht="14.45">
      <c r="A118" s="237" t="s">
        <v>57</v>
      </c>
      <c r="B118" s="58"/>
      <c r="C118" s="59" t="s">
        <v>194</v>
      </c>
      <c r="D118" s="58"/>
      <c r="E118" s="237" t="s">
        <v>245</v>
      </c>
      <c r="F118" s="58"/>
      <c r="G118" s="237" t="s">
        <v>246</v>
      </c>
      <c r="H118" s="58"/>
      <c r="I118" s="237" t="s">
        <v>247</v>
      </c>
      <c r="J118" s="237" t="s">
        <v>248</v>
      </c>
      <c r="K118" s="58"/>
      <c r="L118" s="237" t="s">
        <v>248</v>
      </c>
      <c r="M118" s="237" t="s">
        <v>248</v>
      </c>
      <c r="N118" s="237" t="s">
        <v>248</v>
      </c>
      <c r="O118" s="58"/>
      <c r="P118" s="237" t="s">
        <v>248</v>
      </c>
      <c r="Q118" s="237" t="s">
        <v>248</v>
      </c>
      <c r="R118" s="237" t="s">
        <v>248</v>
      </c>
      <c r="S118" s="58"/>
      <c r="T118" s="237" t="s">
        <v>248</v>
      </c>
      <c r="U118" s="237" t="s">
        <v>247</v>
      </c>
      <c r="V118" s="237" t="s">
        <v>248</v>
      </c>
      <c r="W118" s="237" t="s">
        <v>249</v>
      </c>
      <c r="X118" s="6"/>
      <c r="Z118" s="738"/>
      <c r="AB118" s="738"/>
      <c r="AD118" s="738"/>
      <c r="AF118" s="740"/>
    </row>
    <row r="119" spans="1:32">
      <c r="A119" s="6"/>
      <c r="B119" s="58"/>
      <c r="C119" s="58"/>
      <c r="D119" s="58"/>
      <c r="E119" s="6"/>
      <c r="F119" s="58"/>
      <c r="G119" s="6" t="s">
        <v>9</v>
      </c>
      <c r="H119" s="6"/>
      <c r="I119" s="6" t="s">
        <v>10</v>
      </c>
      <c r="J119" s="6" t="s">
        <v>58</v>
      </c>
      <c r="K119" s="6"/>
      <c r="L119" s="123" t="s">
        <v>12</v>
      </c>
      <c r="M119" s="123" t="s">
        <v>13</v>
      </c>
      <c r="N119" s="6" t="s">
        <v>473</v>
      </c>
      <c r="O119" s="6"/>
      <c r="P119" s="6" t="s">
        <v>474</v>
      </c>
      <c r="Q119" s="6" t="s">
        <v>210</v>
      </c>
      <c r="R119" s="6" t="s">
        <v>118</v>
      </c>
      <c r="S119" s="6"/>
      <c r="T119" s="6" t="s">
        <v>475</v>
      </c>
      <c r="U119" s="6" t="s">
        <v>120</v>
      </c>
      <c r="V119" s="6" t="s">
        <v>476</v>
      </c>
      <c r="W119" s="6" t="s">
        <v>477</v>
      </c>
      <c r="X119" s="542"/>
      <c r="Z119" s="738"/>
      <c r="AB119" s="738"/>
      <c r="AD119" s="738"/>
      <c r="AF119" s="740"/>
    </row>
    <row r="120" spans="1:32">
      <c r="I120" s="501"/>
      <c r="J120" s="501"/>
      <c r="L120" s="538"/>
      <c r="M120" s="538"/>
      <c r="N120" s="538"/>
      <c r="O120" s="64"/>
      <c r="P120" s="64"/>
      <c r="Q120" s="538"/>
      <c r="R120" s="538"/>
      <c r="S120" s="64"/>
      <c r="T120" s="64"/>
      <c r="U120" s="64"/>
      <c r="V120" s="538"/>
      <c r="W120" s="538"/>
      <c r="X120" s="563"/>
      <c r="Y120" s="563"/>
      <c r="AD120" s="738"/>
      <c r="AF120" s="740"/>
    </row>
    <row r="121" spans="1:32" ht="12.95">
      <c r="A121" s="6"/>
      <c r="B121" s="58"/>
      <c r="C121" s="9" t="s">
        <v>131</v>
      </c>
      <c r="D121" s="58"/>
      <c r="E121" s="128"/>
      <c r="F121" s="58"/>
      <c r="G121" s="575"/>
      <c r="H121" s="58"/>
      <c r="I121" s="501"/>
      <c r="J121" s="501"/>
      <c r="K121" s="58"/>
      <c r="L121" s="501"/>
      <c r="M121" s="501"/>
      <c r="N121" s="501"/>
      <c r="O121" s="58"/>
      <c r="P121" s="58"/>
      <c r="Q121" s="501"/>
      <c r="R121" s="501"/>
      <c r="S121" s="58"/>
      <c r="T121" s="58"/>
      <c r="U121" s="58"/>
      <c r="V121" s="501"/>
      <c r="W121" s="501"/>
      <c r="AD121" s="738"/>
      <c r="AF121" s="740"/>
    </row>
    <row r="122" spans="1:32">
      <c r="A122" s="6">
        <v>51</v>
      </c>
      <c r="B122" s="58"/>
      <c r="C122" s="10" t="s">
        <v>258</v>
      </c>
      <c r="D122" s="58"/>
      <c r="E122" s="30" t="s">
        <v>259</v>
      </c>
      <c r="F122" s="58"/>
      <c r="G122" s="536">
        <v>264</v>
      </c>
      <c r="H122" s="58"/>
      <c r="I122" s="537">
        <v>681.10851778541416</v>
      </c>
      <c r="J122" s="534">
        <f>G122*I122/1000</f>
        <v>179.81264869534934</v>
      </c>
      <c r="K122" s="58"/>
      <c r="L122" s="538">
        <v>0</v>
      </c>
      <c r="M122" s="538">
        <v>0</v>
      </c>
      <c r="N122" s="538">
        <f>J122-L122-M122</f>
        <v>179.81264869534934</v>
      </c>
      <c r="O122" s="564"/>
      <c r="P122" s="536">
        <v>4.91343214903074</v>
      </c>
      <c r="Q122" s="538">
        <v>0</v>
      </c>
      <c r="R122" s="538">
        <v>0</v>
      </c>
      <c r="S122" s="564"/>
      <c r="T122" s="564">
        <f>N122+P122+Q122+R122</f>
        <v>184.72608084438008</v>
      </c>
      <c r="U122" s="577">
        <f>T122/G122*1000</f>
        <v>699.72000319840947</v>
      </c>
      <c r="V122" s="538">
        <f>T122-J122</f>
        <v>4.91343214903074</v>
      </c>
      <c r="W122" s="541">
        <f>U122/I122-1</f>
        <v>2.7325286539521709E-2</v>
      </c>
      <c r="X122" s="542"/>
      <c r="Z122" s="738"/>
      <c r="AB122" s="738"/>
      <c r="AD122" s="738"/>
      <c r="AF122" s="740"/>
    </row>
    <row r="123" spans="1:32">
      <c r="A123" s="6">
        <f>MAX(A$121:A122)+1</f>
        <v>52</v>
      </c>
      <c r="B123" s="58"/>
      <c r="C123" s="521" t="s">
        <v>280</v>
      </c>
      <c r="D123" s="58"/>
      <c r="E123" s="30" t="s">
        <v>281</v>
      </c>
      <c r="F123" s="58"/>
      <c r="G123" s="536">
        <v>14480.82</v>
      </c>
      <c r="H123" s="58"/>
      <c r="I123" s="547">
        <v>27.124262553809189</v>
      </c>
      <c r="J123" s="534">
        <f>G123*I123/100</f>
        <v>3927.8156367445113</v>
      </c>
      <c r="K123" s="58"/>
      <c r="L123" s="538">
        <v>0</v>
      </c>
      <c r="M123" s="538">
        <v>0</v>
      </c>
      <c r="N123" s="538">
        <f t="shared" ref="N123:N126" si="31">J123-L123-M123</f>
        <v>3927.8156367445113</v>
      </c>
      <c r="O123" s="564"/>
      <c r="P123" s="536">
        <v>107.32868774845701</v>
      </c>
      <c r="Q123" s="538">
        <v>0</v>
      </c>
      <c r="R123" s="538">
        <v>0</v>
      </c>
      <c r="S123" s="564"/>
      <c r="T123" s="564">
        <f t="shared" ref="T123:T126" si="32">N123+P123+Q123+R123</f>
        <v>4035.1443244929683</v>
      </c>
      <c r="U123" s="565">
        <f>T123/G123*100</f>
        <v>27.865440800265233</v>
      </c>
      <c r="V123" s="538">
        <f>T123-J123</f>
        <v>107.32868774845701</v>
      </c>
      <c r="W123" s="541">
        <f>U123/I123-1</f>
        <v>2.7325286539521265E-2</v>
      </c>
      <c r="X123" s="542"/>
      <c r="Z123" s="738"/>
      <c r="AB123" s="738"/>
      <c r="AD123" s="738"/>
      <c r="AF123" s="740"/>
    </row>
    <row r="124" spans="1:32">
      <c r="A124" s="6"/>
      <c r="B124" s="58"/>
      <c r="C124" s="521" t="s">
        <v>260</v>
      </c>
      <c r="D124" s="58"/>
      <c r="E124" s="30"/>
      <c r="F124" s="58"/>
      <c r="G124" s="536"/>
      <c r="H124" s="58"/>
      <c r="I124" s="547"/>
      <c r="J124" s="534"/>
      <c r="K124" s="58"/>
      <c r="L124" s="538"/>
      <c r="M124" s="538"/>
      <c r="N124" s="538">
        <f t="shared" si="31"/>
        <v>0</v>
      </c>
      <c r="O124" s="564"/>
      <c r="P124" s="536"/>
      <c r="Q124" s="538"/>
      <c r="R124" s="538"/>
      <c r="S124" s="564"/>
      <c r="T124" s="564"/>
      <c r="U124" s="565"/>
      <c r="V124" s="538"/>
      <c r="W124" s="541"/>
      <c r="X124" s="542"/>
      <c r="Z124" s="738"/>
      <c r="AB124" s="738"/>
      <c r="AD124" s="738"/>
      <c r="AF124" s="740"/>
    </row>
    <row r="125" spans="1:32">
      <c r="A125" s="6">
        <f>MAX(A$121:A124)+1</f>
        <v>53</v>
      </c>
      <c r="B125" s="58"/>
      <c r="C125" s="12" t="s">
        <v>283</v>
      </c>
      <c r="D125" s="58"/>
      <c r="E125" s="30" t="s">
        <v>262</v>
      </c>
      <c r="F125" s="58"/>
      <c r="G125" s="536">
        <v>144905.005</v>
      </c>
      <c r="H125" s="58"/>
      <c r="I125" s="547">
        <v>0.38296585731431254</v>
      </c>
      <c r="J125" s="534">
        <f>G125*I125/100</f>
        <v>554.93669468959752</v>
      </c>
      <c r="K125" s="58"/>
      <c r="L125" s="536">
        <v>544.43090637781029</v>
      </c>
      <c r="M125" s="538">
        <v>0</v>
      </c>
      <c r="N125" s="538">
        <f t="shared" si="31"/>
        <v>10.505788311787228</v>
      </c>
      <c r="O125" s="564"/>
      <c r="P125" s="536">
        <v>0.28707367594314093</v>
      </c>
      <c r="Q125" s="536">
        <v>397.08018050127538</v>
      </c>
      <c r="R125" s="538">
        <v>0</v>
      </c>
      <c r="S125" s="564"/>
      <c r="T125" s="564">
        <f t="shared" si="32"/>
        <v>407.87304248900574</v>
      </c>
      <c r="U125" s="565">
        <f>T125/G125*100</f>
        <v>0.28147615914923413</v>
      </c>
      <c r="V125" s="538">
        <f>T125-J125</f>
        <v>-147.06365220059178</v>
      </c>
      <c r="W125" s="559"/>
      <c r="X125" s="559"/>
      <c r="Z125" s="738"/>
      <c r="AB125" s="738"/>
      <c r="AD125" s="738"/>
      <c r="AF125" s="740"/>
    </row>
    <row r="126" spans="1:32">
      <c r="A126" s="6">
        <f>MAX(A$121:A125)+1</f>
        <v>54</v>
      </c>
      <c r="B126" s="58"/>
      <c r="C126" s="12" t="s">
        <v>284</v>
      </c>
      <c r="D126" s="58"/>
      <c r="E126" s="30" t="s">
        <v>262</v>
      </c>
      <c r="F126" s="58"/>
      <c r="G126" s="536">
        <v>236967.948</v>
      </c>
      <c r="H126" s="58"/>
      <c r="I126" s="547">
        <v>0.280481905953193</v>
      </c>
      <c r="J126" s="534">
        <f>G126*I126/100</f>
        <v>664.65221704857129</v>
      </c>
      <c r="K126" s="58"/>
      <c r="L126" s="536">
        <v>890.3258704703112</v>
      </c>
      <c r="M126" s="538">
        <v>0</v>
      </c>
      <c r="N126" s="538">
        <f t="shared" si="31"/>
        <v>-225.67365342173991</v>
      </c>
      <c r="O126" s="564"/>
      <c r="P126" s="595">
        <v>-6.1665972441697079</v>
      </c>
      <c r="Q126" s="536">
        <v>649.35835421872991</v>
      </c>
      <c r="R126" s="538">
        <v>0</v>
      </c>
      <c r="S126" s="564"/>
      <c r="T126" s="564">
        <f t="shared" si="32"/>
        <v>417.51810355282032</v>
      </c>
      <c r="U126" s="565">
        <f>T126/G126*100</f>
        <v>0.17619180445146965</v>
      </c>
      <c r="V126" s="538">
        <f>T126-J126</f>
        <v>-247.13411349575097</v>
      </c>
      <c r="W126" s="559"/>
      <c r="X126" s="559"/>
      <c r="Z126" s="738"/>
      <c r="AB126" s="738"/>
      <c r="AD126" s="738"/>
      <c r="AF126" s="740"/>
    </row>
    <row r="127" spans="1:32">
      <c r="A127" s="6">
        <f>MAX(A$121:A126)+1</f>
        <v>55</v>
      </c>
      <c r="B127" s="58"/>
      <c r="C127" s="521" t="s">
        <v>260</v>
      </c>
      <c r="D127" s="58"/>
      <c r="E127" s="30"/>
      <c r="G127" s="553">
        <f>SUM(G125:G126)</f>
        <v>381872.95299999998</v>
      </c>
      <c r="I127" s="578">
        <f>J127/G127*100</f>
        <v>0.31937033040885954</v>
      </c>
      <c r="J127" s="552">
        <f>SUM(J125:J126)</f>
        <v>1219.5889117381689</v>
      </c>
      <c r="L127" s="553">
        <f>SUM(L125:L126)</f>
        <v>1434.7567768481215</v>
      </c>
      <c r="M127" s="555">
        <f>SUM(M125:M126)</f>
        <v>0</v>
      </c>
      <c r="N127" s="555">
        <f t="shared" ref="N127" si="33">SUM(N125:N126)</f>
        <v>-215.16786510995269</v>
      </c>
      <c r="O127" s="64"/>
      <c r="P127" s="596">
        <f>SUM(P125:P126)</f>
        <v>-5.879523568226567</v>
      </c>
      <c r="Q127" s="553">
        <f t="shared" ref="Q127:R127" si="34">SUM(Q125:Q126)</f>
        <v>1046.4385347200052</v>
      </c>
      <c r="R127" s="411">
        <f t="shared" si="34"/>
        <v>0</v>
      </c>
      <c r="S127" s="64"/>
      <c r="T127" s="407">
        <f>SUM(T125:T126)</f>
        <v>825.391146041826</v>
      </c>
      <c r="U127" s="579">
        <f>T127/G127*100</f>
        <v>0.2161428662484578</v>
      </c>
      <c r="V127" s="555">
        <f>SUM(V125:V126)</f>
        <v>-394.19776569634274</v>
      </c>
      <c r="W127" s="558">
        <f>U127/I127-1</f>
        <v>-0.3232218347529322</v>
      </c>
      <c r="X127" s="559"/>
      <c r="Z127" s="738"/>
      <c r="AB127" s="738"/>
      <c r="AD127" s="738"/>
      <c r="AF127" s="740"/>
    </row>
    <row r="128" spans="1:32">
      <c r="A128" s="6"/>
      <c r="B128" s="58"/>
      <c r="C128" s="10"/>
      <c r="D128" s="58"/>
      <c r="E128" s="574"/>
      <c r="F128" s="58"/>
      <c r="G128" s="29"/>
      <c r="H128" s="58"/>
      <c r="I128" s="501"/>
      <c r="J128" s="501"/>
      <c r="K128" s="58"/>
      <c r="L128" s="538"/>
      <c r="M128" s="538"/>
      <c r="N128" s="538"/>
      <c r="O128" s="564"/>
      <c r="P128" s="564"/>
      <c r="Q128" s="538"/>
      <c r="R128" s="538"/>
      <c r="S128" s="564"/>
      <c r="T128" s="564"/>
      <c r="U128" s="565"/>
      <c r="V128" s="538"/>
      <c r="W128" s="541"/>
      <c r="X128" s="542"/>
      <c r="Z128" s="738"/>
      <c r="AB128" s="738"/>
      <c r="AD128" s="738"/>
    </row>
    <row r="129" spans="1:32">
      <c r="A129" s="6">
        <f>MAX(A$121:A128)+1</f>
        <v>56</v>
      </c>
      <c r="B129" s="58"/>
      <c r="C129" s="10" t="s">
        <v>266</v>
      </c>
      <c r="D129" s="58"/>
      <c r="E129" s="574"/>
      <c r="F129" s="58"/>
      <c r="G129" s="411">
        <f>G127</f>
        <v>381872.95299999998</v>
      </c>
      <c r="H129" s="58"/>
      <c r="I129" s="578">
        <f>J129/G129*100</f>
        <v>1.3950234378547439</v>
      </c>
      <c r="J129" s="552">
        <f>J122+J123+J127</f>
        <v>5327.2171971780299</v>
      </c>
      <c r="K129" s="534"/>
      <c r="L129" s="552">
        <f>L122+L123+L127</f>
        <v>1434.7567768481215</v>
      </c>
      <c r="M129" s="555">
        <f>M122+M123+M127</f>
        <v>0</v>
      </c>
      <c r="N129" s="552">
        <f>N122+N123+N127</f>
        <v>3892.4604203299077</v>
      </c>
      <c r="O129" s="534"/>
      <c r="P129" s="552">
        <f>P122+P123+P127</f>
        <v>106.36259632926118</v>
      </c>
      <c r="Q129" s="552">
        <f t="shared" ref="Q129:R129" si="35">Q122+Q123+Q127</f>
        <v>1046.4385347200052</v>
      </c>
      <c r="R129" s="555">
        <f t="shared" si="35"/>
        <v>0</v>
      </c>
      <c r="S129" s="534"/>
      <c r="T129" s="552">
        <f t="shared" ref="T129" si="36">T122+T123+T127</f>
        <v>5045.2615513791743</v>
      </c>
      <c r="U129" s="592">
        <f>T129/G129*100</f>
        <v>1.3211885030724275</v>
      </c>
      <c r="V129" s="555">
        <f>V122+V123+V127</f>
        <v>-281.95564579885502</v>
      </c>
      <c r="W129" s="558">
        <f>U129/I129-1</f>
        <v>-5.2927379410814157E-2</v>
      </c>
      <c r="X129" s="559"/>
      <c r="Z129" s="738"/>
      <c r="AB129" s="738"/>
      <c r="AD129" s="738"/>
    </row>
    <row r="130" spans="1:32">
      <c r="A130" s="6"/>
      <c r="E130" s="574"/>
      <c r="F130" s="58"/>
      <c r="G130" s="29"/>
      <c r="H130" s="58"/>
      <c r="I130" s="501"/>
      <c r="J130" s="501"/>
      <c r="K130" s="58"/>
      <c r="L130" s="538"/>
      <c r="M130" s="538"/>
      <c r="N130" s="538"/>
      <c r="O130" s="564"/>
      <c r="P130" s="564"/>
      <c r="Q130" s="538"/>
      <c r="R130" s="538"/>
      <c r="S130" s="564"/>
      <c r="T130" s="564"/>
      <c r="U130" s="564"/>
      <c r="V130" s="538"/>
      <c r="W130" s="538"/>
      <c r="X130" s="563"/>
      <c r="Z130" s="738"/>
      <c r="AB130" s="738"/>
      <c r="AD130" s="738"/>
    </row>
    <row r="131" spans="1:32">
      <c r="A131" s="6">
        <f>MAX(A$121:A130)+1</f>
        <v>57</v>
      </c>
      <c r="B131" s="58"/>
      <c r="C131" s="12" t="s">
        <v>267</v>
      </c>
      <c r="D131" s="58"/>
      <c r="E131" s="522" t="s">
        <v>262</v>
      </c>
      <c r="F131" s="58"/>
      <c r="G131" s="536">
        <v>381872.95299999998</v>
      </c>
      <c r="H131" s="58"/>
      <c r="I131" s="547">
        <v>4.6909807282995541E-2</v>
      </c>
      <c r="J131" s="534">
        <f>G131*I131/100</f>
        <v>179.13586631818413</v>
      </c>
      <c r="K131" s="58"/>
      <c r="L131" s="538">
        <v>0</v>
      </c>
      <c r="M131" s="536">
        <v>88.058747902106859</v>
      </c>
      <c r="N131" s="538">
        <f>J131-L131-M131</f>
        <v>91.077118416077269</v>
      </c>
      <c r="O131" s="564"/>
      <c r="P131" s="536">
        <v>2.4887083579132394</v>
      </c>
      <c r="Q131" s="538">
        <v>0</v>
      </c>
      <c r="R131" s="536">
        <v>87.753931739182406</v>
      </c>
      <c r="S131" s="564"/>
      <c r="T131" s="132">
        <f>N131+P131+Q131+R131</f>
        <v>181.31975851317293</v>
      </c>
      <c r="U131" s="565">
        <f>T131/G131*100</f>
        <v>4.7481697011721315E-2</v>
      </c>
      <c r="V131" s="576">
        <f>T131-J131</f>
        <v>2.1838921949888004</v>
      </c>
      <c r="W131" s="559">
        <f>U131/I131-1</f>
        <v>1.2191261526096175E-2</v>
      </c>
      <c r="X131" s="559"/>
      <c r="Z131" s="738"/>
      <c r="AB131" s="738"/>
      <c r="AD131" s="738"/>
      <c r="AF131" s="740"/>
    </row>
    <row r="132" spans="1:32">
      <c r="A132" s="6"/>
      <c r="B132" s="58"/>
      <c r="C132" s="12"/>
      <c r="D132" s="58"/>
      <c r="E132" s="522"/>
      <c r="F132" s="58"/>
      <c r="G132" s="536"/>
      <c r="H132" s="58"/>
      <c r="I132" s="547"/>
      <c r="J132" s="534"/>
      <c r="K132" s="58"/>
      <c r="L132" s="538"/>
      <c r="M132" s="536"/>
      <c r="N132" s="538"/>
      <c r="O132" s="564"/>
      <c r="P132" s="536"/>
      <c r="Q132" s="538"/>
      <c r="R132" s="536"/>
      <c r="S132" s="564"/>
      <c r="T132" s="132"/>
      <c r="U132" s="597"/>
      <c r="V132" s="576"/>
      <c r="W132" s="559"/>
      <c r="X132" s="559"/>
      <c r="Z132" s="738"/>
      <c r="AB132" s="738"/>
      <c r="AD132" s="738"/>
      <c r="AF132" s="740"/>
    </row>
    <row r="133" spans="1:32">
      <c r="A133" s="6"/>
      <c r="B133" s="58"/>
      <c r="C133" s="10" t="s">
        <v>268</v>
      </c>
      <c r="D133" s="58"/>
      <c r="E133" s="522"/>
      <c r="F133" s="58"/>
      <c r="G133" s="536"/>
      <c r="H133" s="58"/>
      <c r="I133" s="547"/>
      <c r="J133" s="534"/>
      <c r="K133" s="58"/>
      <c r="L133" s="538"/>
      <c r="M133" s="536"/>
      <c r="N133" s="538"/>
      <c r="O133" s="564"/>
      <c r="P133" s="536"/>
      <c r="Q133" s="538"/>
      <c r="R133" s="536"/>
      <c r="S133" s="564"/>
      <c r="T133" s="132"/>
      <c r="U133" s="597"/>
      <c r="V133" s="576"/>
      <c r="W133" s="559"/>
      <c r="X133" s="559"/>
      <c r="Z133" s="738"/>
      <c r="AB133" s="738"/>
      <c r="AD133" s="738"/>
      <c r="AF133" s="740"/>
    </row>
    <row r="134" spans="1:32">
      <c r="A134" s="6">
        <f>MAX(A$121:A133)+1</f>
        <v>58</v>
      </c>
      <c r="B134" s="58"/>
      <c r="C134" s="12" t="s">
        <v>268</v>
      </c>
      <c r="D134" s="58"/>
      <c r="E134" s="522" t="s">
        <v>262</v>
      </c>
      <c r="F134" s="58"/>
      <c r="G134" s="536">
        <v>1651.1379999999999</v>
      </c>
      <c r="H134" s="58"/>
      <c r="I134" s="547">
        <v>7.5276437371493948E-2</v>
      </c>
      <c r="J134" s="534">
        <f>G134*I134/100</f>
        <v>1.2429178624869377</v>
      </c>
      <c r="K134" s="58"/>
      <c r="L134" s="538">
        <v>0</v>
      </c>
      <c r="M134" s="538">
        <v>0</v>
      </c>
      <c r="N134" s="538">
        <f t="shared" ref="N134:N135" si="37">J134-L134-M134</f>
        <v>1.2429178624869377</v>
      </c>
      <c r="O134" s="564"/>
      <c r="P134" s="536">
        <v>3.3963086737545112E-2</v>
      </c>
      <c r="Q134" s="538">
        <v>0</v>
      </c>
      <c r="R134" s="538">
        <v>0</v>
      </c>
      <c r="S134" s="564"/>
      <c r="T134" s="132">
        <f t="shared" ref="T134:T135" si="38">N134+P134+Q134+R134</f>
        <v>1.2768809492244828</v>
      </c>
      <c r="U134" s="565">
        <f>T134/G134*100</f>
        <v>7.7333387592344371E-2</v>
      </c>
      <c r="V134" s="576">
        <f>T134-J134</f>
        <v>3.3963086737545112E-2</v>
      </c>
      <c r="W134" s="559"/>
      <c r="X134" s="559"/>
      <c r="Z134" s="738"/>
      <c r="AB134" s="738"/>
      <c r="AD134" s="738"/>
      <c r="AF134" s="740"/>
    </row>
    <row r="135" spans="1:32">
      <c r="A135" s="6">
        <f>MAX(A$121:A134)+1</f>
        <v>59</v>
      </c>
      <c r="B135" s="58"/>
      <c r="C135" s="12" t="s">
        <v>269</v>
      </c>
      <c r="D135" s="58"/>
      <c r="E135" s="522" t="s">
        <v>262</v>
      </c>
      <c r="F135" s="58"/>
      <c r="G135" s="536">
        <v>241077.16699999999</v>
      </c>
      <c r="H135" s="58"/>
      <c r="I135" s="547">
        <v>0.59779714040281651</v>
      </c>
      <c r="J135" s="534">
        <f>G135*I135/100</f>
        <v>1441.1524104901223</v>
      </c>
      <c r="K135" s="58"/>
      <c r="L135" s="538">
        <v>0</v>
      </c>
      <c r="M135" s="538">
        <v>0</v>
      </c>
      <c r="N135" s="538">
        <f t="shared" si="37"/>
        <v>1441.1524104901223</v>
      </c>
      <c r="O135" s="564"/>
      <c r="P135" s="536">
        <v>39.379902563764745</v>
      </c>
      <c r="Q135" s="538">
        <v>0</v>
      </c>
      <c r="R135" s="538">
        <v>0</v>
      </c>
      <c r="S135" s="564"/>
      <c r="T135" s="132">
        <f t="shared" si="38"/>
        <v>1480.532313053887</v>
      </c>
      <c r="U135" s="565">
        <f>T135/G135*100</f>
        <v>0.61413211855683003</v>
      </c>
      <c r="V135" s="576">
        <f>T135-J135</f>
        <v>39.379902563764745</v>
      </c>
      <c r="W135" s="559"/>
      <c r="X135" s="559"/>
      <c r="Z135" s="738"/>
      <c r="AB135" s="738"/>
      <c r="AD135" s="738"/>
      <c r="AF135" s="740"/>
    </row>
    <row r="136" spans="1:32">
      <c r="A136" s="6">
        <f>MAX(A$121:A135)+1</f>
        <v>60</v>
      </c>
      <c r="B136" s="58"/>
      <c r="C136" s="10" t="s">
        <v>268</v>
      </c>
      <c r="D136" s="58"/>
      <c r="E136" s="522"/>
      <c r="F136" s="58"/>
      <c r="G136" s="553">
        <f>SUM(G134:G135)</f>
        <v>242728.30499999999</v>
      </c>
      <c r="H136" s="593"/>
      <c r="I136" s="566">
        <f>J136/G136*100</f>
        <v>0.59424273916163561</v>
      </c>
      <c r="J136" s="552">
        <f>SUM(J134:J135)</f>
        <v>1442.3953283526093</v>
      </c>
      <c r="K136" s="534"/>
      <c r="L136" s="555">
        <f t="shared" ref="L136:R136" si="39">SUM(L134:L135)</f>
        <v>0</v>
      </c>
      <c r="M136" s="555">
        <f t="shared" si="39"/>
        <v>0</v>
      </c>
      <c r="N136" s="555">
        <f>SUM(N134:N135)</f>
        <v>1442.3953283526093</v>
      </c>
      <c r="O136" s="534"/>
      <c r="P136" s="552">
        <f t="shared" si="39"/>
        <v>39.413865650502288</v>
      </c>
      <c r="Q136" s="555">
        <f t="shared" si="39"/>
        <v>0</v>
      </c>
      <c r="R136" s="555">
        <f t="shared" si="39"/>
        <v>0</v>
      </c>
      <c r="S136" s="534"/>
      <c r="T136" s="131">
        <f>SUM(T134:T135)</f>
        <v>1481.8091940031115</v>
      </c>
      <c r="U136" s="592">
        <f>T136/G136*100</f>
        <v>0.61048059228325746</v>
      </c>
      <c r="V136" s="598">
        <f>SUM(V134:V135)</f>
        <v>39.413865650502288</v>
      </c>
      <c r="W136" s="558">
        <f>U136/I136-1</f>
        <v>2.7325286539521487E-2</v>
      </c>
      <c r="X136" s="559"/>
      <c r="Z136" s="738"/>
      <c r="AB136" s="738"/>
      <c r="AD136" s="738"/>
      <c r="AF136" s="740"/>
    </row>
    <row r="137" spans="1:32">
      <c r="A137" s="6"/>
      <c r="B137" s="58"/>
      <c r="C137" s="10"/>
      <c r="D137" s="58"/>
      <c r="E137" s="57"/>
      <c r="G137" s="536"/>
      <c r="I137" s="547"/>
      <c r="J137" s="534"/>
      <c r="L137" s="538"/>
      <c r="M137" s="538"/>
      <c r="N137" s="538"/>
      <c r="O137" s="64"/>
      <c r="P137" s="536"/>
      <c r="Q137" s="538"/>
      <c r="R137" s="538"/>
      <c r="S137" s="64"/>
      <c r="T137" s="132"/>
      <c r="U137" s="597"/>
      <c r="V137" s="576"/>
      <c r="W137" s="559"/>
      <c r="X137" s="559"/>
      <c r="Z137" s="738"/>
      <c r="AB137" s="738"/>
      <c r="AD137" s="738"/>
      <c r="AF137" s="740"/>
    </row>
    <row r="138" spans="1:32">
      <c r="A138" s="6">
        <f>MAX(A$121:A137)+1</f>
        <v>61</v>
      </c>
      <c r="B138" s="58"/>
      <c r="C138" s="10" t="s">
        <v>270</v>
      </c>
      <c r="D138" s="58"/>
      <c r="E138" s="522" t="s">
        <v>262</v>
      </c>
      <c r="F138" s="58"/>
      <c r="G138" s="536">
        <v>1651.1379999999999</v>
      </c>
      <c r="H138" s="58"/>
      <c r="I138" s="547">
        <v>4.6924289518859012E-2</v>
      </c>
      <c r="J138" s="534">
        <f>G138*I138/100</f>
        <v>0.7747847754758983</v>
      </c>
      <c r="K138" s="58"/>
      <c r="L138" s="538">
        <v>0</v>
      </c>
      <c r="M138" s="538">
        <v>0</v>
      </c>
      <c r="N138" s="538">
        <f>J138-L138-M138</f>
        <v>0.7747847754758983</v>
      </c>
      <c r="O138" s="564"/>
      <c r="P138" s="536">
        <v>2.1171215996337756E-2</v>
      </c>
      <c r="Q138" s="538">
        <v>0</v>
      </c>
      <c r="R138" s="538">
        <v>0</v>
      </c>
      <c r="S138" s="564"/>
      <c r="T138" s="132">
        <f>N138+P138+Q138+R138</f>
        <v>0.79595599147223606</v>
      </c>
      <c r="U138" s="565">
        <f>T138/G138*100</f>
        <v>4.8206509175625301E-2</v>
      </c>
      <c r="V138" s="576">
        <f>T138-J138</f>
        <v>2.1171215996337756E-2</v>
      </c>
      <c r="W138" s="559">
        <f>U138/I138-1</f>
        <v>2.7325286539521487E-2</v>
      </c>
      <c r="X138" s="559"/>
      <c r="Z138" s="738"/>
      <c r="AB138" s="738"/>
      <c r="AD138" s="738"/>
      <c r="AF138" s="740"/>
    </row>
    <row r="139" spans="1:32">
      <c r="A139" s="6"/>
      <c r="B139" s="58"/>
      <c r="C139" s="10"/>
      <c r="D139" s="58"/>
      <c r="E139" s="30"/>
      <c r="F139" s="58"/>
      <c r="G139" s="29"/>
      <c r="H139" s="58"/>
      <c r="I139" s="547"/>
      <c r="J139" s="501"/>
      <c r="K139" s="58"/>
      <c r="L139" s="538"/>
      <c r="M139" s="538"/>
      <c r="N139" s="538"/>
      <c r="O139" s="564"/>
      <c r="P139" s="564"/>
      <c r="Q139" s="538"/>
      <c r="R139" s="538"/>
      <c r="S139" s="564"/>
      <c r="T139" s="132"/>
      <c r="U139" s="597"/>
      <c r="V139" s="576"/>
      <c r="W139" s="599"/>
      <c r="X139" s="600"/>
    </row>
    <row r="140" spans="1:32" ht="12.95" thickBot="1">
      <c r="A140" s="6">
        <f>MAX(A$121:A139)+1</f>
        <v>62</v>
      </c>
      <c r="C140" s="10" t="s">
        <v>286</v>
      </c>
      <c r="E140" s="30"/>
      <c r="F140" s="58"/>
      <c r="G140" s="594">
        <f>G127</f>
        <v>381872.95299999998</v>
      </c>
      <c r="I140" s="586">
        <f>J140/G140*100</f>
        <v>1.8198521581664098</v>
      </c>
      <c r="J140" s="571">
        <f>J129+J131+J136+J138</f>
        <v>6949.5231766242996</v>
      </c>
      <c r="K140" s="534"/>
      <c r="L140" s="571">
        <f>L129+L131+L136+L138</f>
        <v>1434.7567768481215</v>
      </c>
      <c r="M140" s="571">
        <f t="shared" ref="M140:N140" si="40">M129+M131+M136+M138</f>
        <v>88.058747902106859</v>
      </c>
      <c r="N140" s="571">
        <f t="shared" si="40"/>
        <v>5426.7076518740705</v>
      </c>
      <c r="O140" s="534"/>
      <c r="P140" s="571">
        <f>P129+P131+P136+P138</f>
        <v>148.28634155367303</v>
      </c>
      <c r="Q140" s="571">
        <f t="shared" ref="Q140:R140" si="41">Q129+Q131+Q136+Q138</f>
        <v>1046.4385347200052</v>
      </c>
      <c r="R140" s="571">
        <f t="shared" si="41"/>
        <v>87.753931739182406</v>
      </c>
      <c r="S140" s="534"/>
      <c r="T140" s="743">
        <f>T129+T131+T136+T138</f>
        <v>6709.1864598869315</v>
      </c>
      <c r="U140" s="590">
        <f>T140/G140*100</f>
        <v>1.7569158557000322</v>
      </c>
      <c r="V140" s="601">
        <f>V129+V131+V136+V138</f>
        <v>-240.3367167373676</v>
      </c>
      <c r="W140" s="602">
        <f>U140/I140-1</f>
        <v>-3.4583195224929142E-2</v>
      </c>
      <c r="X140" s="600"/>
      <c r="Z140" s="738"/>
      <c r="AB140" s="738"/>
      <c r="AD140" s="738"/>
      <c r="AF140" s="740"/>
    </row>
    <row r="141" spans="1:32" ht="12.95" thickTop="1">
      <c r="A141" s="6"/>
      <c r="B141" s="58"/>
      <c r="C141" s="10"/>
      <c r="D141" s="58"/>
      <c r="E141" s="30"/>
      <c r="F141" s="58"/>
      <c r="G141" s="29"/>
      <c r="H141" s="58"/>
      <c r="I141" s="501"/>
      <c r="J141" s="501"/>
      <c r="K141" s="58"/>
      <c r="L141" s="501"/>
      <c r="M141" s="501"/>
      <c r="N141" s="501"/>
      <c r="O141" s="58"/>
      <c r="P141" s="58"/>
      <c r="Q141" s="501"/>
      <c r="R141" s="501"/>
      <c r="S141" s="58"/>
      <c r="T141" s="603"/>
      <c r="U141" s="603"/>
      <c r="V141" s="604"/>
      <c r="W141" s="605"/>
      <c r="X141" s="314"/>
    </row>
    <row r="142" spans="1:32">
      <c r="A142" s="6"/>
      <c r="B142" s="58"/>
      <c r="C142" s="9" t="s">
        <v>132</v>
      </c>
      <c r="D142" s="58"/>
      <c r="E142" s="30"/>
      <c r="F142" s="58"/>
      <c r="G142" s="536"/>
      <c r="H142" s="58"/>
      <c r="I142" s="501"/>
      <c r="J142" s="501"/>
      <c r="K142" s="58"/>
      <c r="L142" s="501"/>
      <c r="M142" s="501"/>
      <c r="N142" s="501"/>
      <c r="O142" s="58"/>
      <c r="P142" s="58"/>
      <c r="Q142" s="501"/>
      <c r="R142" s="501"/>
      <c r="S142" s="58"/>
      <c r="T142" s="603"/>
      <c r="U142" s="603"/>
      <c r="V142" s="604"/>
      <c r="W142" s="605"/>
      <c r="X142" s="314"/>
    </row>
    <row r="143" spans="1:32">
      <c r="A143" s="6">
        <f>MAX(A$121:A142)+1</f>
        <v>63</v>
      </c>
      <c r="B143" s="58"/>
      <c r="C143" s="10" t="s">
        <v>258</v>
      </c>
      <c r="D143" s="58"/>
      <c r="E143" s="30" t="s">
        <v>259</v>
      </c>
      <c r="F143" s="58"/>
      <c r="G143" s="536">
        <v>48</v>
      </c>
      <c r="H143" s="58"/>
      <c r="I143" s="537">
        <v>546.96967474977816</v>
      </c>
      <c r="J143" s="534">
        <f>G143*I143/1000</f>
        <v>26.254544387989348</v>
      </c>
      <c r="K143" s="58"/>
      <c r="L143" s="538">
        <v>0</v>
      </c>
      <c r="M143" s="538">
        <v>0</v>
      </c>
      <c r="N143" s="538">
        <f>J143-L143-M143</f>
        <v>26.254544387989348</v>
      </c>
      <c r="O143" s="564"/>
      <c r="P143" s="536">
        <v>0.71741294836639469</v>
      </c>
      <c r="Q143" s="538">
        <v>0</v>
      </c>
      <c r="R143" s="538">
        <v>0</v>
      </c>
      <c r="S143" s="564"/>
      <c r="T143" s="132">
        <f>N143+P143+Q143+R143</f>
        <v>26.971957336355743</v>
      </c>
      <c r="U143" s="606">
        <f>T143/G143*1000</f>
        <v>561.91577784074468</v>
      </c>
      <c r="V143" s="576">
        <f>T143-J143</f>
        <v>0.71741294836639469</v>
      </c>
      <c r="W143" s="599">
        <f>U143/I143-1</f>
        <v>2.7325286539521487E-2</v>
      </c>
      <c r="X143" s="600"/>
      <c r="Z143" s="738"/>
      <c r="AB143" s="738"/>
      <c r="AD143" s="738"/>
      <c r="AF143" s="739"/>
    </row>
    <row r="144" spans="1:32">
      <c r="A144" s="6">
        <f>MAX(A$121:A143)+1</f>
        <v>64</v>
      </c>
      <c r="C144" s="521" t="s">
        <v>280</v>
      </c>
      <c r="E144" s="30" t="s">
        <v>281</v>
      </c>
      <c r="G144" s="536">
        <v>111124.284</v>
      </c>
      <c r="I144" s="547">
        <v>11.212672899678186</v>
      </c>
      <c r="J144" s="534">
        <f>G144*I144/100</f>
        <v>12460.002477029422</v>
      </c>
      <c r="L144" s="536">
        <v>166.42587763804715</v>
      </c>
      <c r="M144" s="538">
        <v>0</v>
      </c>
      <c r="N144" s="538">
        <f>J144-L144-M144</f>
        <v>12293.576599391376</v>
      </c>
      <c r="O144" s="64"/>
      <c r="P144" s="536">
        <v>335.92550317392488</v>
      </c>
      <c r="Q144" s="536">
        <v>174.66061005879783</v>
      </c>
      <c r="R144" s="538">
        <v>0</v>
      </c>
      <c r="S144" s="64"/>
      <c r="T144" s="132">
        <f>N144+P144+Q144+R144</f>
        <v>12804.162712624098</v>
      </c>
      <c r="U144" s="607">
        <f>T144/G144*100</f>
        <v>11.522380394031693</v>
      </c>
      <c r="V144" s="576">
        <f>T144-J144</f>
        <v>344.16023559467612</v>
      </c>
      <c r="W144" s="599">
        <f>U144/I144-1</f>
        <v>2.7621201217989277E-2</v>
      </c>
      <c r="X144" s="600"/>
      <c r="Z144" s="738"/>
      <c r="AB144" s="738"/>
      <c r="AD144" s="738"/>
      <c r="AF144" s="740"/>
    </row>
    <row r="145" spans="1:32">
      <c r="A145" s="6">
        <f>MAX(A$121:A144)+1</f>
        <v>65</v>
      </c>
      <c r="B145" s="58"/>
      <c r="C145" s="10" t="s">
        <v>266</v>
      </c>
      <c r="D145" s="58"/>
      <c r="E145" s="30" t="s">
        <v>262</v>
      </c>
      <c r="F145" s="58"/>
      <c r="G145" s="553">
        <v>824970.7141199999</v>
      </c>
      <c r="H145" s="593"/>
      <c r="I145" s="578">
        <f>J145/G145*100</f>
        <v>1.5135394272433731</v>
      </c>
      <c r="J145" s="552">
        <f>SUM(J143:J144)</f>
        <v>12486.257021417412</v>
      </c>
      <c r="K145" s="58"/>
      <c r="L145" s="553">
        <f>SUM(L143:L144)</f>
        <v>166.42587763804715</v>
      </c>
      <c r="M145" s="555">
        <f t="shared" ref="M145" si="42">SUM(M143:M144)</f>
        <v>0</v>
      </c>
      <c r="N145" s="555">
        <f>SUM(N143:N144)</f>
        <v>12319.831143779365</v>
      </c>
      <c r="O145" s="564"/>
      <c r="P145" s="553">
        <f>SUM(P143:P144)</f>
        <v>336.6429161222913</v>
      </c>
      <c r="Q145" s="553">
        <f t="shared" ref="Q145:R145" si="43">SUM(Q143:Q144)</f>
        <v>174.66061005879783</v>
      </c>
      <c r="R145" s="411">
        <f t="shared" si="43"/>
        <v>0</v>
      </c>
      <c r="S145" s="564"/>
      <c r="T145" s="131">
        <f>SUM(T143:T144)</f>
        <v>12831.134669960455</v>
      </c>
      <c r="U145" s="608">
        <f>T145/G145*100</f>
        <v>1.5553442625714886</v>
      </c>
      <c r="V145" s="598">
        <f>SUM(V143:V144)</f>
        <v>344.87764854304254</v>
      </c>
      <c r="W145" s="609">
        <f>U145/I145-1</f>
        <v>2.7620579005500412E-2</v>
      </c>
      <c r="X145" s="600"/>
    </row>
    <row r="146" spans="1:32">
      <c r="A146" s="6"/>
      <c r="G146" s="567"/>
      <c r="H146" s="567"/>
      <c r="I146" s="534"/>
      <c r="J146" s="534"/>
      <c r="K146" s="567"/>
      <c r="L146" s="538"/>
      <c r="M146" s="538"/>
      <c r="N146" s="538"/>
      <c r="O146" s="64"/>
      <c r="P146" s="64"/>
      <c r="Q146" s="538"/>
      <c r="R146" s="538"/>
      <c r="S146" s="64"/>
      <c r="T146" s="130"/>
      <c r="U146" s="130"/>
      <c r="V146" s="576"/>
      <c r="W146" s="576"/>
      <c r="X146" s="610"/>
    </row>
    <row r="147" spans="1:32">
      <c r="A147" s="6">
        <f>MAX(A$121:A146)+1</f>
        <v>66</v>
      </c>
      <c r="C147" s="10" t="s">
        <v>287</v>
      </c>
      <c r="E147" s="30" t="s">
        <v>262</v>
      </c>
      <c r="G147" s="536">
        <v>2835</v>
      </c>
      <c r="H147" s="567"/>
      <c r="I147" s="29">
        <v>0</v>
      </c>
      <c r="J147" s="538">
        <f>G147*I147/100</f>
        <v>0</v>
      </c>
      <c r="K147" s="567"/>
      <c r="L147" s="538">
        <v>0</v>
      </c>
      <c r="M147" s="538">
        <v>0</v>
      </c>
      <c r="N147" s="538">
        <f>J147-L147-M147</f>
        <v>0</v>
      </c>
      <c r="O147" s="64"/>
      <c r="P147" s="130">
        <v>0</v>
      </c>
      <c r="Q147" s="576">
        <v>0</v>
      </c>
      <c r="R147" s="576">
        <v>0</v>
      </c>
      <c r="S147" s="64"/>
      <c r="T147" s="130">
        <f>N147+P147+Q147+R147</f>
        <v>0</v>
      </c>
      <c r="U147" s="130">
        <f>IFERROR(T147/G147*100,"-")</f>
        <v>0</v>
      </c>
      <c r="V147" s="576">
        <f>T147-J147</f>
        <v>0</v>
      </c>
      <c r="W147" s="599"/>
      <c r="X147" s="600"/>
    </row>
    <row r="148" spans="1:32">
      <c r="A148" s="6"/>
      <c r="B148" s="581"/>
      <c r="C148" s="10"/>
      <c r="D148" s="581"/>
      <c r="E148" s="581"/>
      <c r="F148" s="581"/>
      <c r="G148" s="611"/>
      <c r="H148" s="611"/>
      <c r="I148" s="534"/>
      <c r="J148" s="534"/>
      <c r="K148" s="611"/>
      <c r="L148" s="538"/>
      <c r="M148" s="538"/>
      <c r="N148" s="538"/>
      <c r="O148" s="582"/>
      <c r="P148" s="130"/>
      <c r="Q148" s="576"/>
      <c r="R148" s="576"/>
      <c r="S148" s="582"/>
      <c r="T148" s="612"/>
      <c r="U148" s="613"/>
      <c r="V148" s="576"/>
      <c r="W148" s="599"/>
      <c r="X148" s="600"/>
    </row>
    <row r="149" spans="1:32" ht="12.95" thickBot="1">
      <c r="A149" s="6">
        <f>MAX(A$121:A148)+1</f>
        <v>67</v>
      </c>
      <c r="B149" s="57"/>
      <c r="C149" s="10" t="s">
        <v>288</v>
      </c>
      <c r="D149" s="57"/>
      <c r="E149" s="3"/>
      <c r="F149" s="57"/>
      <c r="G149" s="588">
        <f>G145</f>
        <v>824970.7141199999</v>
      </c>
      <c r="H149" s="614"/>
      <c r="I149" s="570">
        <f>J149/G149*100</f>
        <v>1.5135394272433731</v>
      </c>
      <c r="J149" s="571">
        <f>J145+J147</f>
        <v>12486.257021417412</v>
      </c>
      <c r="K149" s="614"/>
      <c r="L149" s="587">
        <f>L145+L147</f>
        <v>166.42587763804715</v>
      </c>
      <c r="M149" s="587">
        <f t="shared" ref="M149" si="44">M145+M147</f>
        <v>0</v>
      </c>
      <c r="N149" s="587">
        <f>N145+N147</f>
        <v>12319.831143779365</v>
      </c>
      <c r="O149" s="538"/>
      <c r="P149" s="571">
        <f>P145+P147</f>
        <v>336.6429161222913</v>
      </c>
      <c r="Q149" s="571">
        <f>Q145+Q147</f>
        <v>174.66061005879783</v>
      </c>
      <c r="R149" s="587">
        <f t="shared" ref="R149" si="45">R145+R147</f>
        <v>0</v>
      </c>
      <c r="S149" s="583"/>
      <c r="T149" s="439">
        <f>T145+T147</f>
        <v>12831.134669960455</v>
      </c>
      <c r="U149" s="590">
        <f>T149/G149*100</f>
        <v>1.5553442625714886</v>
      </c>
      <c r="V149" s="601">
        <f>V145+V147</f>
        <v>344.87764854304254</v>
      </c>
      <c r="W149" s="615">
        <f>U149/I149-1</f>
        <v>2.7620579005500412E-2</v>
      </c>
      <c r="X149" s="600"/>
      <c r="Z149" s="738"/>
      <c r="AB149" s="738"/>
      <c r="AD149" s="738"/>
      <c r="AF149" s="740"/>
    </row>
    <row r="150" spans="1:32" ht="12.95" thickTop="1">
      <c r="L150" s="2"/>
      <c r="M150" s="2"/>
      <c r="N150" s="501"/>
      <c r="Q150" s="501"/>
      <c r="R150" s="501"/>
      <c r="V150" s="538"/>
      <c r="W150" s="501"/>
      <c r="Z150" s="738"/>
      <c r="AB150" s="738"/>
      <c r="AD150" s="738"/>
      <c r="AF150" s="740"/>
    </row>
    <row r="151" spans="1:32">
      <c r="L151" s="2"/>
      <c r="M151" s="2"/>
      <c r="N151" s="501"/>
      <c r="Q151" s="501"/>
      <c r="R151" s="501"/>
      <c r="V151" s="538"/>
      <c r="W151" s="501"/>
      <c r="Z151" s="738"/>
      <c r="AB151" s="738"/>
      <c r="AD151" s="738"/>
      <c r="AF151" s="740"/>
    </row>
    <row r="152" spans="1:32">
      <c r="L152" s="2"/>
      <c r="M152" s="2"/>
      <c r="N152" s="501"/>
      <c r="Q152" s="501"/>
      <c r="R152" s="501"/>
      <c r="V152" s="501"/>
      <c r="W152" s="501"/>
      <c r="Z152" s="738"/>
      <c r="AB152" s="738"/>
      <c r="AD152" s="738"/>
      <c r="AF152" s="740"/>
    </row>
    <row r="153" spans="1:32">
      <c r="L153" s="2"/>
      <c r="M153" s="2"/>
      <c r="N153" s="501"/>
      <c r="Q153" s="501"/>
      <c r="R153" s="501"/>
      <c r="V153" s="501"/>
      <c r="W153" s="501"/>
      <c r="X153" s="531"/>
      <c r="Z153" s="738"/>
      <c r="AB153" s="738"/>
      <c r="AD153" s="738"/>
      <c r="AF153" s="740"/>
    </row>
    <row r="154" spans="1:32">
      <c r="A154" s="1156" t="s">
        <v>279</v>
      </c>
      <c r="B154" s="1156"/>
      <c r="C154" s="1156"/>
      <c r="D154" s="1156"/>
      <c r="E154" s="1156"/>
      <c r="F154" s="1156"/>
      <c r="G154" s="1156"/>
      <c r="H154" s="1156"/>
      <c r="I154" s="1156"/>
      <c r="J154" s="1156"/>
      <c r="K154" s="1156"/>
      <c r="L154" s="1156"/>
      <c r="M154" s="1156"/>
      <c r="N154" s="1156"/>
      <c r="O154" s="1156"/>
      <c r="P154" s="1156"/>
      <c r="Q154" s="1156"/>
      <c r="R154" s="1156"/>
      <c r="S154" s="1156"/>
      <c r="T154" s="1156"/>
      <c r="U154" s="1156"/>
      <c r="V154" s="1156"/>
      <c r="W154" s="1156"/>
      <c r="X154" s="737"/>
      <c r="Y154" s="737"/>
      <c r="Z154" s="738"/>
      <c r="AB154" s="738"/>
      <c r="AD154" s="738"/>
      <c r="AF154" s="740"/>
    </row>
    <row r="155" spans="1:32">
      <c r="A155" s="1156" t="s">
        <v>478</v>
      </c>
      <c r="B155" s="1156"/>
      <c r="C155" s="1156"/>
      <c r="D155" s="1156"/>
      <c r="E155" s="1156"/>
      <c r="F155" s="1156"/>
      <c r="G155" s="1156"/>
      <c r="H155" s="1156"/>
      <c r="I155" s="1156"/>
      <c r="J155" s="1156"/>
      <c r="K155" s="1156"/>
      <c r="L155" s="1156"/>
      <c r="M155" s="1156"/>
      <c r="N155" s="1156"/>
      <c r="O155" s="1156"/>
      <c r="P155" s="1156"/>
      <c r="Q155" s="1156"/>
      <c r="R155" s="1156"/>
      <c r="S155" s="1156"/>
      <c r="T155" s="1156"/>
      <c r="U155" s="1156"/>
      <c r="V155" s="1156"/>
      <c r="W155" s="1156"/>
      <c r="Z155" s="738"/>
      <c r="AB155" s="738"/>
      <c r="AD155" s="738"/>
      <c r="AF155" s="740"/>
    </row>
    <row r="156" spans="1:32">
      <c r="A156" s="57"/>
      <c r="B156" s="57"/>
      <c r="C156" s="57"/>
      <c r="D156" s="57"/>
      <c r="E156" s="3"/>
      <c r="F156" s="57"/>
      <c r="G156" s="3"/>
      <c r="H156" s="57"/>
      <c r="I156" s="57"/>
      <c r="J156" s="57"/>
      <c r="K156" s="57"/>
      <c r="L156" s="57"/>
      <c r="M156" s="57"/>
      <c r="N156" s="501"/>
      <c r="O156" s="57"/>
      <c r="P156" s="57"/>
      <c r="Q156" s="501"/>
      <c r="R156" s="501"/>
      <c r="S156" s="57"/>
      <c r="T156" s="57"/>
      <c r="U156" s="57"/>
      <c r="V156" s="501"/>
      <c r="W156" s="501"/>
      <c r="X156" s="6"/>
      <c r="Z156" s="738"/>
      <c r="AB156" s="738"/>
      <c r="AD156" s="738"/>
      <c r="AF156" s="740"/>
    </row>
    <row r="157" spans="1:32" ht="26.65" customHeight="1">
      <c r="A157" s="3"/>
      <c r="B157" s="3"/>
      <c r="C157" s="3"/>
      <c r="D157" s="3"/>
      <c r="E157" s="57"/>
      <c r="F157" s="1152" t="s">
        <v>231</v>
      </c>
      <c r="G157" s="1152"/>
      <c r="H157" s="1152"/>
      <c r="I157" s="1152"/>
      <c r="J157" s="1152"/>
      <c r="K157" s="3"/>
      <c r="L157" s="1157" t="s">
        <v>94</v>
      </c>
      <c r="M157" s="1157"/>
      <c r="N157" s="58"/>
      <c r="O157" s="3"/>
      <c r="P157" s="59"/>
      <c r="Q157" s="1157" t="s">
        <v>95</v>
      </c>
      <c r="R157" s="1157"/>
      <c r="S157" s="3"/>
      <c r="T157" s="1152" t="s">
        <v>472</v>
      </c>
      <c r="U157" s="1152"/>
      <c r="V157" s="1152"/>
      <c r="W157" s="1152"/>
      <c r="X157" s="5"/>
      <c r="Z157" s="738"/>
      <c r="AB157" s="738"/>
      <c r="AD157" s="738"/>
      <c r="AF157" s="740"/>
    </row>
    <row r="158" spans="1:32" ht="37.5">
      <c r="A158" s="5" t="s">
        <v>56</v>
      </c>
      <c r="B158" s="5"/>
      <c r="C158" s="5"/>
      <c r="D158" s="5"/>
      <c r="E158" s="6" t="s">
        <v>233</v>
      </c>
      <c r="F158" s="5"/>
      <c r="G158" s="17" t="s">
        <v>234</v>
      </c>
      <c r="H158" s="5"/>
      <c r="I158" s="17" t="s">
        <v>235</v>
      </c>
      <c r="J158" s="17" t="s">
        <v>101</v>
      </c>
      <c r="K158" s="5"/>
      <c r="L158" s="17" t="s">
        <v>106</v>
      </c>
      <c r="M158" s="17" t="s">
        <v>236</v>
      </c>
      <c r="N158" s="5" t="s">
        <v>239</v>
      </c>
      <c r="O158" s="5"/>
      <c r="P158" s="5" t="s">
        <v>240</v>
      </c>
      <c r="Q158" s="17" t="s">
        <v>106</v>
      </c>
      <c r="R158" s="17" t="s">
        <v>236</v>
      </c>
      <c r="S158" s="5"/>
      <c r="T158" s="17" t="s">
        <v>241</v>
      </c>
      <c r="U158" s="17" t="s">
        <v>242</v>
      </c>
      <c r="V158" s="17" t="s">
        <v>243</v>
      </c>
      <c r="W158" s="5" t="s">
        <v>244</v>
      </c>
      <c r="X158" s="6"/>
      <c r="Z158" s="738"/>
      <c r="AB158" s="738"/>
      <c r="AD158" s="738"/>
      <c r="AF158" s="740"/>
    </row>
    <row r="159" spans="1:32" ht="14.45">
      <c r="A159" s="237" t="s">
        <v>57</v>
      </c>
      <c r="B159" s="58"/>
      <c r="C159" s="59" t="s">
        <v>194</v>
      </c>
      <c r="D159" s="58"/>
      <c r="E159" s="237" t="s">
        <v>245</v>
      </c>
      <c r="F159" s="58"/>
      <c r="G159" s="237" t="s">
        <v>246</v>
      </c>
      <c r="H159" s="58"/>
      <c r="I159" s="237" t="s">
        <v>247</v>
      </c>
      <c r="J159" s="237" t="s">
        <v>248</v>
      </c>
      <c r="K159" s="58"/>
      <c r="L159" s="237" t="s">
        <v>248</v>
      </c>
      <c r="M159" s="237" t="s">
        <v>248</v>
      </c>
      <c r="N159" s="237" t="s">
        <v>248</v>
      </c>
      <c r="O159" s="58"/>
      <c r="P159" s="237" t="s">
        <v>248</v>
      </c>
      <c r="Q159" s="237" t="s">
        <v>248</v>
      </c>
      <c r="R159" s="237" t="s">
        <v>248</v>
      </c>
      <c r="S159" s="58"/>
      <c r="T159" s="237" t="s">
        <v>248</v>
      </c>
      <c r="U159" s="237" t="s">
        <v>247</v>
      </c>
      <c r="V159" s="237" t="s">
        <v>248</v>
      </c>
      <c r="W159" s="237" t="s">
        <v>249</v>
      </c>
      <c r="X159" s="6"/>
      <c r="Z159" s="738"/>
      <c r="AB159" s="738"/>
      <c r="AD159" s="738"/>
      <c r="AF159" s="740"/>
    </row>
    <row r="160" spans="1:32">
      <c r="A160" s="6"/>
      <c r="B160" s="58"/>
      <c r="C160" s="58"/>
      <c r="D160" s="58"/>
      <c r="E160" s="6"/>
      <c r="F160" s="58"/>
      <c r="G160" s="6" t="s">
        <v>9</v>
      </c>
      <c r="H160" s="6"/>
      <c r="I160" s="6" t="s">
        <v>10</v>
      </c>
      <c r="J160" s="6" t="s">
        <v>58</v>
      </c>
      <c r="K160" s="6"/>
      <c r="L160" s="123" t="s">
        <v>12</v>
      </c>
      <c r="M160" s="123" t="s">
        <v>13</v>
      </c>
      <c r="N160" s="6" t="s">
        <v>473</v>
      </c>
      <c r="O160" s="6"/>
      <c r="P160" s="6" t="s">
        <v>474</v>
      </c>
      <c r="Q160" s="6" t="s">
        <v>210</v>
      </c>
      <c r="R160" s="6" t="s">
        <v>118</v>
      </c>
      <c r="S160" s="6"/>
      <c r="T160" s="6" t="s">
        <v>475</v>
      </c>
      <c r="U160" s="6" t="s">
        <v>120</v>
      </c>
      <c r="V160" s="6" t="s">
        <v>476</v>
      </c>
      <c r="W160" s="6" t="s">
        <v>477</v>
      </c>
      <c r="X160" s="542"/>
      <c r="Z160" s="738"/>
      <c r="AB160" s="738"/>
      <c r="AD160" s="738"/>
      <c r="AF160" s="740"/>
    </row>
    <row r="161" spans="1:32">
      <c r="A161" s="3"/>
      <c r="B161" s="3"/>
      <c r="C161" s="3"/>
      <c r="D161" s="3"/>
      <c r="E161" s="57"/>
      <c r="F161" s="3"/>
      <c r="G161" s="614"/>
      <c r="H161" s="616"/>
      <c r="I161" s="534"/>
      <c r="J161" s="616"/>
      <c r="K161" s="616"/>
      <c r="L161" s="534"/>
      <c r="M161" s="534"/>
      <c r="N161" s="501"/>
      <c r="O161" s="3"/>
      <c r="P161" s="3"/>
      <c r="Q161" s="501"/>
      <c r="R161" s="501"/>
      <c r="S161" s="3"/>
      <c r="T161" s="3"/>
      <c r="U161" s="617"/>
      <c r="V161" s="501"/>
      <c r="W161" s="501"/>
    </row>
    <row r="162" spans="1:32">
      <c r="A162" s="5"/>
      <c r="B162" s="5"/>
      <c r="C162" s="9" t="s">
        <v>133</v>
      </c>
      <c r="D162" s="5"/>
      <c r="E162" s="6"/>
      <c r="F162" s="5"/>
      <c r="G162" s="17"/>
      <c r="H162" s="5"/>
      <c r="I162" s="501"/>
      <c r="J162" s="5"/>
      <c r="K162" s="5"/>
      <c r="L162" s="538"/>
      <c r="M162" s="538"/>
      <c r="N162" s="538"/>
      <c r="O162" s="5"/>
      <c r="P162" s="5"/>
      <c r="Q162" s="501"/>
      <c r="R162" s="501"/>
      <c r="S162" s="5"/>
      <c r="T162" s="5"/>
      <c r="U162" s="5"/>
      <c r="V162" s="501"/>
      <c r="W162" s="501"/>
    </row>
    <row r="163" spans="1:32">
      <c r="A163" s="6">
        <v>68</v>
      </c>
      <c r="B163" s="58"/>
      <c r="C163" s="10" t="s">
        <v>258</v>
      </c>
      <c r="D163" s="58"/>
      <c r="E163" s="30" t="s">
        <v>259</v>
      </c>
      <c r="F163" s="58"/>
      <c r="G163" s="29">
        <v>492</v>
      </c>
      <c r="H163" s="58"/>
      <c r="I163" s="537">
        <v>125.890540340409</v>
      </c>
      <c r="J163" s="539">
        <f>G163*I163/1000</f>
        <v>61.938145847481231</v>
      </c>
      <c r="K163" s="58"/>
      <c r="L163" s="538">
        <v>0</v>
      </c>
      <c r="M163" s="538">
        <v>0</v>
      </c>
      <c r="N163" s="538">
        <f>J163-L163-M163</f>
        <v>61.938145847481231</v>
      </c>
      <c r="O163" s="58"/>
      <c r="P163" s="29">
        <v>1.6924775830091008</v>
      </c>
      <c r="Q163" s="538">
        <v>0</v>
      </c>
      <c r="R163" s="538">
        <v>0</v>
      </c>
      <c r="S163" s="564"/>
      <c r="T163" s="564">
        <f>N163+P163+Q163+R163</f>
        <v>63.630623430490331</v>
      </c>
      <c r="U163" s="577">
        <f>T163/G163*1000</f>
        <v>129.33053542782588</v>
      </c>
      <c r="V163" s="538">
        <f>T163-J163</f>
        <v>1.6924775830091008</v>
      </c>
      <c r="W163" s="541">
        <f>U163/I163-1</f>
        <v>2.7325286539521487E-2</v>
      </c>
      <c r="X163" s="542"/>
      <c r="Z163" s="738"/>
      <c r="AB163" s="738"/>
      <c r="AD163" s="738"/>
      <c r="AF163" s="739"/>
    </row>
    <row r="164" spans="1:32">
      <c r="A164" s="6"/>
      <c r="B164" s="58"/>
      <c r="C164" s="10" t="s">
        <v>289</v>
      </c>
      <c r="D164" s="58"/>
      <c r="E164" s="6"/>
      <c r="F164" s="58"/>
      <c r="G164" s="6"/>
      <c r="H164" s="58"/>
      <c r="I164" s="501"/>
      <c r="J164" s="539"/>
      <c r="K164" s="58"/>
      <c r="L164" s="538"/>
      <c r="M164" s="538"/>
      <c r="N164" s="538"/>
      <c r="O164" s="58"/>
      <c r="P164" s="564"/>
      <c r="Q164" s="538"/>
      <c r="R164" s="538"/>
      <c r="S164" s="564"/>
      <c r="T164" s="564"/>
      <c r="U164" s="564"/>
      <c r="V164" s="538"/>
      <c r="W164" s="541"/>
      <c r="X164" s="542"/>
    </row>
    <row r="165" spans="1:32">
      <c r="A165" s="6"/>
      <c r="B165" s="58"/>
      <c r="C165" s="521" t="s">
        <v>260</v>
      </c>
      <c r="D165" s="58"/>
      <c r="E165" s="591"/>
      <c r="F165" s="58"/>
      <c r="G165" s="618"/>
      <c r="H165" s="58"/>
      <c r="I165" s="501"/>
      <c r="J165" s="539"/>
      <c r="K165" s="58"/>
      <c r="L165" s="538"/>
      <c r="M165" s="538"/>
      <c r="N165" s="538"/>
      <c r="O165" s="58"/>
      <c r="P165" s="564"/>
      <c r="Q165" s="538"/>
      <c r="R165" s="538"/>
      <c r="S165" s="564"/>
      <c r="T165" s="564"/>
      <c r="U165" s="564"/>
      <c r="V165" s="538"/>
      <c r="W165" s="541"/>
      <c r="X165" s="542"/>
    </row>
    <row r="166" spans="1:32">
      <c r="A166" s="6">
        <f>MAX(A$162:A165)+1</f>
        <v>69</v>
      </c>
      <c r="B166" s="58"/>
      <c r="C166" s="521" t="s">
        <v>290</v>
      </c>
      <c r="D166" s="58"/>
      <c r="E166" s="30" t="s">
        <v>262</v>
      </c>
      <c r="F166" s="58"/>
      <c r="G166" s="29">
        <v>402.14400000000001</v>
      </c>
      <c r="H166" s="58"/>
      <c r="I166" s="547">
        <v>8.4374950661633328</v>
      </c>
      <c r="J166" s="539">
        <f>G166*I166/100</f>
        <v>33.930880158871872</v>
      </c>
      <c r="K166" s="58"/>
      <c r="L166" s="29">
        <v>2.0784882493309644</v>
      </c>
      <c r="M166" s="538">
        <v>0</v>
      </c>
      <c r="N166" s="538">
        <f t="shared" ref="N166:N168" si="46">J166-L166-M166</f>
        <v>31.852391909540909</v>
      </c>
      <c r="O166" s="58"/>
      <c r="P166" s="29">
        <v>0.87037573589734407</v>
      </c>
      <c r="Q166" s="29">
        <v>7.4831892382198761</v>
      </c>
      <c r="R166" s="538">
        <v>0</v>
      </c>
      <c r="S166" s="564"/>
      <c r="T166" s="564">
        <f t="shared" ref="T166:T168" si="47">N166+P166+Q166+R166</f>
        <v>40.205956883658132</v>
      </c>
      <c r="U166" s="565">
        <f>T166/G166*100</f>
        <v>9.9979004743718995</v>
      </c>
      <c r="V166" s="538">
        <f>T166-J166</f>
        <v>6.2750767247862598</v>
      </c>
      <c r="W166" s="541"/>
      <c r="X166" s="542"/>
      <c r="Z166" s="738"/>
      <c r="AB166" s="738"/>
      <c r="AD166" s="738"/>
      <c r="AF166" s="740"/>
    </row>
    <row r="167" spans="1:32">
      <c r="A167" s="6">
        <f>MAX(A$162:A166)+1</f>
        <v>70</v>
      </c>
      <c r="B167" s="58"/>
      <c r="C167" s="521" t="s">
        <v>291</v>
      </c>
      <c r="D167" s="58"/>
      <c r="E167" s="30" t="s">
        <v>262</v>
      </c>
      <c r="F167" s="58"/>
      <c r="G167" s="29">
        <v>846.84799999999996</v>
      </c>
      <c r="H167" s="58"/>
      <c r="I167" s="547">
        <v>6.9608669353756545</v>
      </c>
      <c r="J167" s="539">
        <f t="shared" ref="J167:J168" si="48">G167*I167/100</f>
        <v>58.947962424890022</v>
      </c>
      <c r="K167" s="58"/>
      <c r="L167" s="29">
        <v>4.37694859793862</v>
      </c>
      <c r="M167" s="538">
        <v>0</v>
      </c>
      <c r="N167" s="538">
        <f t="shared" si="46"/>
        <v>54.5710138269514</v>
      </c>
      <c r="O167" s="58"/>
      <c r="P167" s="29">
        <v>1.4911685895736326</v>
      </c>
      <c r="Q167" s="29">
        <v>15.758344871508775</v>
      </c>
      <c r="R167" s="538">
        <v>0</v>
      </c>
      <c r="S167" s="564"/>
      <c r="T167" s="564">
        <f t="shared" si="47"/>
        <v>71.820527288033816</v>
      </c>
      <c r="U167" s="565">
        <f>T167/G167*100</f>
        <v>8.4809230567981295</v>
      </c>
      <c r="V167" s="538">
        <f>T167-J167</f>
        <v>12.872564863143793</v>
      </c>
      <c r="W167" s="541"/>
      <c r="X167" s="542"/>
      <c r="Z167" s="738"/>
      <c r="AB167" s="738"/>
      <c r="AD167" s="738"/>
      <c r="AF167" s="740"/>
    </row>
    <row r="168" spans="1:32">
      <c r="A168" s="6">
        <f>MAX(A$162:A167)+1</f>
        <v>71</v>
      </c>
      <c r="B168" s="58"/>
      <c r="C168" s="521" t="s">
        <v>292</v>
      </c>
      <c r="D168" s="58"/>
      <c r="E168" s="30" t="s">
        <v>262</v>
      </c>
      <c r="F168" s="58"/>
      <c r="G168" s="29">
        <v>2136.3440000000001</v>
      </c>
      <c r="H168" s="58"/>
      <c r="I168" s="547">
        <v>6.375813579143256</v>
      </c>
      <c r="J168" s="539">
        <f t="shared" si="48"/>
        <v>136.20931084921219</v>
      </c>
      <c r="K168" s="58"/>
      <c r="L168" s="29">
        <v>11.041731072771718</v>
      </c>
      <c r="M168" s="538">
        <v>0</v>
      </c>
      <c r="N168" s="538">
        <f t="shared" si="46"/>
        <v>125.16757977644048</v>
      </c>
      <c r="O168" s="58"/>
      <c r="P168" s="29">
        <v>3.4202399828496368</v>
      </c>
      <c r="Q168" s="29">
        <v>39.753586849326616</v>
      </c>
      <c r="R168" s="538">
        <v>0</v>
      </c>
      <c r="S168" s="564"/>
      <c r="T168" s="564">
        <f t="shared" si="47"/>
        <v>168.34140660861672</v>
      </c>
      <c r="U168" s="565">
        <f>T168/G168*100</f>
        <v>7.8798829499657694</v>
      </c>
      <c r="V168" s="538">
        <f>T168-J168</f>
        <v>32.132095759404535</v>
      </c>
      <c r="W168" s="541"/>
      <c r="X168" s="542"/>
      <c r="Z168" s="738"/>
      <c r="AB168" s="738"/>
      <c r="AD168" s="738"/>
      <c r="AF168" s="740"/>
    </row>
    <row r="169" spans="1:32">
      <c r="A169" s="6">
        <f>MAX(A$162:A168)+1</f>
        <v>72</v>
      </c>
      <c r="B169" s="58"/>
      <c r="C169" s="521" t="s">
        <v>260</v>
      </c>
      <c r="D169" s="58"/>
      <c r="E169" s="30"/>
      <c r="F169" s="58"/>
      <c r="G169" s="411">
        <f>SUM(G166:G168)</f>
        <v>3385.3360000000002</v>
      </c>
      <c r="H169" s="58"/>
      <c r="I169" s="578">
        <f>J169/G169*100</f>
        <v>6.7670728528268418</v>
      </c>
      <c r="J169" s="554">
        <f>SUM(J166:J168)</f>
        <v>229.08815343297408</v>
      </c>
      <c r="K169" s="58"/>
      <c r="L169" s="555">
        <f>SUM(L166:L168)</f>
        <v>17.497167920041303</v>
      </c>
      <c r="M169" s="555">
        <f t="shared" ref="M169:N169" si="49">SUM(M166:M168)</f>
        <v>0</v>
      </c>
      <c r="N169" s="555">
        <f t="shared" si="49"/>
        <v>211.59098551293278</v>
      </c>
      <c r="O169" s="58"/>
      <c r="P169" s="619">
        <f>SUM(P166:P168)</f>
        <v>5.7817843083206135</v>
      </c>
      <c r="Q169" s="619">
        <f t="shared" ref="Q169:R169" si="50">SUM(Q166:Q168)</f>
        <v>62.995120959055271</v>
      </c>
      <c r="R169" s="619">
        <f t="shared" si="50"/>
        <v>0</v>
      </c>
      <c r="S169" s="564"/>
      <c r="T169" s="619">
        <f>SUM(T166:T168)</f>
        <v>280.3678907803087</v>
      </c>
      <c r="U169" s="592">
        <f>T169/G169*100</f>
        <v>8.2818334954140056</v>
      </c>
      <c r="V169" s="555">
        <f>SUM(V166:V168)</f>
        <v>51.279737347334589</v>
      </c>
      <c r="W169" s="562">
        <f>U169/I169-1</f>
        <v>0.22384281587191657</v>
      </c>
      <c r="X169" s="542"/>
      <c r="Z169" s="738"/>
      <c r="AB169" s="738"/>
      <c r="AD169" s="738"/>
      <c r="AF169" s="740"/>
    </row>
    <row r="170" spans="1:32">
      <c r="A170" s="6"/>
      <c r="B170" s="58"/>
      <c r="C170" s="10"/>
      <c r="D170" s="58"/>
      <c r="E170" s="30"/>
      <c r="F170" s="58"/>
      <c r="G170" s="29"/>
      <c r="H170" s="58"/>
      <c r="I170" s="501"/>
      <c r="J170" s="58"/>
      <c r="K170" s="58"/>
      <c r="L170" s="538"/>
      <c r="M170" s="538"/>
      <c r="N170" s="538"/>
      <c r="O170" s="58"/>
      <c r="P170" s="564"/>
      <c r="Q170" s="538"/>
      <c r="R170" s="538"/>
      <c r="S170" s="564"/>
      <c r="T170" s="564"/>
      <c r="U170" s="564"/>
      <c r="V170" s="501"/>
      <c r="W170" s="541"/>
      <c r="X170" s="542"/>
      <c r="Z170" s="738"/>
      <c r="AB170" s="738"/>
      <c r="AD170" s="738"/>
      <c r="AF170" s="740"/>
    </row>
    <row r="171" spans="1:32">
      <c r="A171" s="6"/>
      <c r="B171" s="58"/>
      <c r="C171" s="10" t="s">
        <v>293</v>
      </c>
      <c r="D171" s="58"/>
      <c r="E171" s="30"/>
      <c r="F171" s="58"/>
      <c r="G171" s="29"/>
      <c r="H171" s="58"/>
      <c r="I171" s="501"/>
      <c r="J171" s="58"/>
      <c r="K171" s="58"/>
      <c r="L171" s="538"/>
      <c r="M171" s="538"/>
      <c r="N171" s="538"/>
      <c r="O171" s="58"/>
      <c r="P171" s="564"/>
      <c r="Q171" s="538"/>
      <c r="R171" s="538"/>
      <c r="S171" s="564"/>
      <c r="T171" s="564"/>
      <c r="U171" s="564"/>
      <c r="V171" s="501"/>
      <c r="W171" s="541"/>
      <c r="X171" s="542"/>
      <c r="Z171" s="738"/>
      <c r="AB171" s="738"/>
      <c r="AD171" s="738"/>
      <c r="AF171" s="740"/>
    </row>
    <row r="172" spans="1:32">
      <c r="A172" s="6"/>
      <c r="B172" s="58"/>
      <c r="C172" s="521" t="s">
        <v>260</v>
      </c>
      <c r="D172" s="58"/>
      <c r="E172" s="30"/>
      <c r="F172" s="58"/>
      <c r="G172" s="132"/>
      <c r="H172" s="58"/>
      <c r="I172" s="501"/>
      <c r="J172" s="58"/>
      <c r="K172" s="58"/>
      <c r="L172" s="538"/>
      <c r="M172" s="538"/>
      <c r="N172" s="538"/>
      <c r="O172" s="58"/>
      <c r="P172" s="564"/>
      <c r="Q172" s="538"/>
      <c r="R172" s="538"/>
      <c r="S172" s="564"/>
      <c r="T172" s="564"/>
      <c r="U172" s="564"/>
      <c r="V172" s="501"/>
      <c r="W172" s="541"/>
      <c r="X172" s="542"/>
      <c r="Z172" s="738"/>
      <c r="AB172" s="738"/>
      <c r="AD172" s="738"/>
      <c r="AF172" s="740"/>
    </row>
    <row r="173" spans="1:32">
      <c r="A173" s="6">
        <f>MAX(A$162:A172)+1</f>
        <v>73</v>
      </c>
      <c r="B173" s="58"/>
      <c r="C173" s="521" t="s">
        <v>290</v>
      </c>
      <c r="D173" s="58"/>
      <c r="E173" s="30" t="s">
        <v>262</v>
      </c>
      <c r="F173" s="58"/>
      <c r="G173" s="29">
        <v>3705.44</v>
      </c>
      <c r="H173" s="58"/>
      <c r="I173" s="547">
        <v>2.7490166682843205</v>
      </c>
      <c r="J173" s="539">
        <f>G173*I173/100</f>
        <v>101.86316323327452</v>
      </c>
      <c r="K173" s="58"/>
      <c r="L173" s="29">
        <v>19.151631004319171</v>
      </c>
      <c r="M173" s="538">
        <v>0</v>
      </c>
      <c r="N173" s="538">
        <f>J173-L173-M173</f>
        <v>82.711532228955349</v>
      </c>
      <c r="O173" s="58"/>
      <c r="P173" s="29">
        <v>2.2601163182790742</v>
      </c>
      <c r="Q173" s="29">
        <v>68.951690764674993</v>
      </c>
      <c r="R173" s="29">
        <v>0</v>
      </c>
      <c r="S173" s="564"/>
      <c r="T173" s="564">
        <f>N173+P173+Q173+R173</f>
        <v>153.92333931190942</v>
      </c>
      <c r="U173" s="565">
        <f>T173/G173*100</f>
        <v>4.1539827742969635</v>
      </c>
      <c r="V173" s="538">
        <f>T173-J173</f>
        <v>52.060176078634896</v>
      </c>
      <c r="W173" s="541"/>
      <c r="X173" s="542"/>
      <c r="Z173" s="738"/>
      <c r="AB173" s="738"/>
      <c r="AD173" s="738"/>
      <c r="AF173" s="740"/>
    </row>
    <row r="174" spans="1:32">
      <c r="A174" s="6">
        <f>MAX(A$162:A173)+1</f>
        <v>74</v>
      </c>
      <c r="B174" s="58"/>
      <c r="C174" s="521" t="s">
        <v>291</v>
      </c>
      <c r="D174" s="58"/>
      <c r="E174" s="30" t="s">
        <v>262</v>
      </c>
      <c r="F174" s="58"/>
      <c r="G174" s="29">
        <v>7201.058</v>
      </c>
      <c r="H174" s="58"/>
      <c r="I174" s="547">
        <v>1.9137522567244392</v>
      </c>
      <c r="J174" s="539">
        <f t="shared" ref="J174:J175" si="51">G174*I174/100</f>
        <v>137.81040998303578</v>
      </c>
      <c r="K174" s="58"/>
      <c r="L174" s="29">
        <v>37.218793356983412</v>
      </c>
      <c r="M174" s="538">
        <v>0</v>
      </c>
      <c r="N174" s="538">
        <f t="shared" ref="N174:N175" si="52">J174-L174-M174</f>
        <v>100.59161662605237</v>
      </c>
      <c r="O174" s="58"/>
      <c r="P174" s="29">
        <v>2.7486947477805757</v>
      </c>
      <c r="Q174" s="29">
        <v>133.99896487178012</v>
      </c>
      <c r="R174" s="29">
        <v>0</v>
      </c>
      <c r="S174" s="564"/>
      <c r="T174" s="564">
        <f t="shared" ref="T174:T175" si="53">N174+P174+Q174+R174</f>
        <v>237.33927624561306</v>
      </c>
      <c r="U174" s="565">
        <f>T174/G174*100</f>
        <v>3.2958945233549439</v>
      </c>
      <c r="V174" s="538">
        <f>T174-J174</f>
        <v>99.528866262577282</v>
      </c>
      <c r="W174" s="541"/>
      <c r="X174" s="542"/>
      <c r="Z174" s="738"/>
      <c r="AB174" s="738"/>
      <c r="AD174" s="738"/>
      <c r="AF174" s="740"/>
    </row>
    <row r="175" spans="1:32">
      <c r="A175" s="6">
        <f>MAX(A$162:A174)+1</f>
        <v>75</v>
      </c>
      <c r="C175" s="521" t="s">
        <v>292</v>
      </c>
      <c r="E175" s="30" t="s">
        <v>262</v>
      </c>
      <c r="G175" s="29">
        <v>38354.665000000001</v>
      </c>
      <c r="I175" s="547">
        <v>1.6579624394385244</v>
      </c>
      <c r="J175" s="539">
        <f t="shared" si="51"/>
        <v>635.90593947247396</v>
      </c>
      <c r="L175" s="29">
        <v>198.23675228158473</v>
      </c>
      <c r="M175" s="538">
        <v>0</v>
      </c>
      <c r="N175" s="538">
        <f t="shared" si="52"/>
        <v>437.66918719088926</v>
      </c>
      <c r="P175" s="29">
        <v>11.959435949510521</v>
      </c>
      <c r="Q175" s="29">
        <v>713.71254168538769</v>
      </c>
      <c r="R175" s="29">
        <v>0</v>
      </c>
      <c r="S175" s="64"/>
      <c r="T175" s="564">
        <f t="shared" si="53"/>
        <v>1163.3411648257875</v>
      </c>
      <c r="U175" s="565">
        <f>T175/G175*100</f>
        <v>3.0331151760177999</v>
      </c>
      <c r="V175" s="538">
        <f>T175-J175</f>
        <v>527.43522535331351</v>
      </c>
      <c r="W175" s="541"/>
      <c r="X175" s="542"/>
      <c r="Z175" s="738"/>
      <c r="AB175" s="738"/>
      <c r="AD175" s="738"/>
      <c r="AF175" s="740"/>
    </row>
    <row r="176" spans="1:32">
      <c r="A176" s="6">
        <f>MAX(A$162:A175)+1</f>
        <v>76</v>
      </c>
      <c r="B176" s="58"/>
      <c r="C176" s="521" t="s">
        <v>260</v>
      </c>
      <c r="D176" s="58"/>
      <c r="E176" s="574"/>
      <c r="F176" s="58"/>
      <c r="G176" s="411">
        <f>SUM(G173:G175)</f>
        <v>49261.163</v>
      </c>
      <c r="H176" s="58"/>
      <c r="I176" s="578">
        <f>J176/G176*100</f>
        <v>1.7774235510614806</v>
      </c>
      <c r="J176" s="554">
        <f>SUM(J173:J175)</f>
        <v>875.57951268878423</v>
      </c>
      <c r="K176" s="58"/>
      <c r="L176" s="555">
        <f>SUM(L173:L175)</f>
        <v>254.60717664288731</v>
      </c>
      <c r="M176" s="555">
        <f t="shared" ref="M176" si="54">SUM(M173:M175)</f>
        <v>0</v>
      </c>
      <c r="N176" s="555">
        <f>SUM(N173:N175)</f>
        <v>620.97233604589701</v>
      </c>
      <c r="O176" s="58"/>
      <c r="P176" s="619">
        <f>SUM(P173:P175)</f>
        <v>16.968247015570171</v>
      </c>
      <c r="Q176" s="619">
        <f t="shared" ref="Q176:R176" si="55">SUM(Q173:Q175)</f>
        <v>916.66319732184274</v>
      </c>
      <c r="R176" s="619">
        <f t="shared" si="55"/>
        <v>0</v>
      </c>
      <c r="S176" s="564"/>
      <c r="T176" s="619">
        <f>SUM(T173:T175)</f>
        <v>1554.6037803833101</v>
      </c>
      <c r="U176" s="592">
        <f>T176/G176*100</f>
        <v>3.1558405967461831</v>
      </c>
      <c r="V176" s="555">
        <f>SUM(V173:V175)</f>
        <v>679.02426769452563</v>
      </c>
      <c r="W176" s="562">
        <f>U176/I176-1</f>
        <v>0.77551411134476589</v>
      </c>
      <c r="X176" s="542"/>
      <c r="Z176" s="738"/>
      <c r="AB176" s="738"/>
      <c r="AD176" s="738"/>
      <c r="AF176" s="740"/>
    </row>
    <row r="177" spans="1:32">
      <c r="A177" s="6"/>
      <c r="B177" s="58"/>
      <c r="C177" s="10"/>
      <c r="D177" s="58"/>
      <c r="E177" s="574"/>
      <c r="F177" s="58"/>
      <c r="G177" s="29"/>
      <c r="H177" s="58"/>
      <c r="I177" s="501"/>
      <c r="J177" s="58"/>
      <c r="K177" s="58"/>
      <c r="L177" s="538"/>
      <c r="M177" s="538"/>
      <c r="N177" s="538"/>
      <c r="O177" s="58"/>
      <c r="P177" s="564"/>
      <c r="Q177" s="538"/>
      <c r="R177" s="538"/>
      <c r="S177" s="564"/>
      <c r="T177" s="564"/>
      <c r="U177" s="564"/>
      <c r="V177" s="501"/>
      <c r="W177" s="541"/>
      <c r="X177" s="542"/>
      <c r="Z177" s="738"/>
      <c r="AB177" s="738"/>
      <c r="AD177" s="738"/>
      <c r="AF177" s="740"/>
    </row>
    <row r="178" spans="1:32">
      <c r="A178" s="6">
        <f>MAX(A$162:A177)+1</f>
        <v>77</v>
      </c>
      <c r="B178" s="58"/>
      <c r="C178" s="10" t="s">
        <v>294</v>
      </c>
      <c r="D178" s="58"/>
      <c r="E178" s="30" t="s">
        <v>262</v>
      </c>
      <c r="F178" s="58"/>
      <c r="G178" s="29">
        <v>576.94793424657541</v>
      </c>
      <c r="H178" s="58"/>
      <c r="I178" s="538">
        <v>0</v>
      </c>
      <c r="J178" s="564">
        <v>0</v>
      </c>
      <c r="K178" s="58"/>
      <c r="L178" s="538">
        <v>0</v>
      </c>
      <c r="M178" s="538">
        <v>0</v>
      </c>
      <c r="N178" s="538">
        <f>J178-L178-M178</f>
        <v>0</v>
      </c>
      <c r="O178" s="58"/>
      <c r="P178" s="564">
        <v>0</v>
      </c>
      <c r="Q178" s="538">
        <v>0</v>
      </c>
      <c r="R178" s="538">
        <v>0</v>
      </c>
      <c r="S178" s="564"/>
      <c r="T178" s="564">
        <f>N178+P178+Q178+R178</f>
        <v>0</v>
      </c>
      <c r="U178" s="564">
        <v>0</v>
      </c>
      <c r="V178" s="622">
        <v>0</v>
      </c>
      <c r="W178" s="622"/>
      <c r="X178" s="430"/>
      <c r="Z178" s="738"/>
      <c r="AB178" s="738"/>
      <c r="AD178" s="738"/>
      <c r="AF178" s="740"/>
    </row>
    <row r="179" spans="1:32">
      <c r="A179" s="6"/>
      <c r="B179" s="58"/>
      <c r="C179" s="10"/>
      <c r="D179" s="58"/>
      <c r="E179" s="574"/>
      <c r="F179" s="58"/>
      <c r="G179" s="29"/>
      <c r="H179" s="58"/>
      <c r="I179" s="501"/>
      <c r="J179" s="58"/>
      <c r="K179" s="58"/>
      <c r="L179" s="538"/>
      <c r="M179" s="538"/>
      <c r="N179" s="538"/>
      <c r="O179" s="58"/>
      <c r="P179" s="564"/>
      <c r="Q179" s="538"/>
      <c r="R179" s="538"/>
      <c r="S179" s="564"/>
      <c r="T179" s="564"/>
      <c r="U179" s="564"/>
      <c r="V179" s="501"/>
      <c r="W179" s="541"/>
      <c r="X179" s="542"/>
      <c r="Z179" s="738"/>
      <c r="AB179" s="738"/>
      <c r="AD179" s="738"/>
      <c r="AF179" s="740"/>
    </row>
    <row r="180" spans="1:32">
      <c r="A180" s="6">
        <f>MAX(A$162:A179)+1</f>
        <v>78</v>
      </c>
      <c r="B180" s="58"/>
      <c r="C180" s="10" t="s">
        <v>266</v>
      </c>
      <c r="D180" s="58"/>
      <c r="E180" s="574"/>
      <c r="F180" s="58"/>
      <c r="G180" s="411">
        <f>G169+G176</f>
        <v>52646.499000000003</v>
      </c>
      <c r="H180" s="58"/>
      <c r="I180" s="578">
        <f>J180/G180*100</f>
        <v>2.215922870710243</v>
      </c>
      <c r="J180" s="554">
        <f>J163+J169+J176+J178</f>
        <v>1166.6058119692395</v>
      </c>
      <c r="K180" s="539"/>
      <c r="L180" s="619">
        <f t="shared" ref="L180:V180" si="56">L163+L169+L176+L178</f>
        <v>272.10434456292859</v>
      </c>
      <c r="M180" s="619">
        <f t="shared" si="56"/>
        <v>0</v>
      </c>
      <c r="N180" s="619">
        <f t="shared" si="56"/>
        <v>894.50146740631101</v>
      </c>
      <c r="O180" s="539"/>
      <c r="P180" s="554">
        <f t="shared" si="56"/>
        <v>24.442508906899885</v>
      </c>
      <c r="Q180" s="619">
        <f t="shared" si="56"/>
        <v>979.65831828089802</v>
      </c>
      <c r="R180" s="619">
        <f t="shared" si="56"/>
        <v>0</v>
      </c>
      <c r="S180" s="564"/>
      <c r="T180" s="619">
        <f t="shared" si="56"/>
        <v>1898.602294594109</v>
      </c>
      <c r="U180" s="592">
        <f>T180/G180*100</f>
        <v>3.6063220359517332</v>
      </c>
      <c r="V180" s="619">
        <f t="shared" si="56"/>
        <v>731.99648262486937</v>
      </c>
      <c r="W180" s="562">
        <f>U180/I180-1</f>
        <v>0.62745828549341276</v>
      </c>
      <c r="X180" s="542"/>
      <c r="Z180" s="738"/>
      <c r="AB180" s="738"/>
      <c r="AD180" s="738"/>
      <c r="AF180" s="740"/>
    </row>
    <row r="181" spans="1:32">
      <c r="A181" s="6"/>
      <c r="B181" s="58"/>
      <c r="C181" s="10"/>
      <c r="D181" s="58"/>
      <c r="E181" s="30"/>
      <c r="F181" s="58"/>
      <c r="G181" s="132"/>
      <c r="H181" s="58"/>
      <c r="I181" s="501"/>
      <c r="J181" s="58"/>
      <c r="K181" s="58"/>
      <c r="L181" s="538"/>
      <c r="M181" s="538"/>
      <c r="N181" s="538"/>
      <c r="O181" s="58"/>
      <c r="P181" s="564"/>
      <c r="Q181" s="538"/>
      <c r="R181" s="538"/>
      <c r="S181" s="564"/>
      <c r="T181" s="564"/>
      <c r="U181" s="564"/>
      <c r="V181" s="501"/>
      <c r="W181" s="541"/>
      <c r="X181" s="542"/>
      <c r="Z181" s="738"/>
      <c r="AB181" s="738"/>
      <c r="AD181" s="738"/>
      <c r="AF181" s="740"/>
    </row>
    <row r="182" spans="1:32">
      <c r="A182" s="6">
        <f>MAX(A$162:A181)+1</f>
        <v>79</v>
      </c>
      <c r="C182" s="12" t="s">
        <v>267</v>
      </c>
      <c r="E182" s="574" t="s">
        <v>262</v>
      </c>
      <c r="G182" s="29">
        <v>52646.499000000003</v>
      </c>
      <c r="H182" s="567"/>
      <c r="I182" s="29">
        <v>0</v>
      </c>
      <c r="J182" s="64">
        <f>G182*I182/100</f>
        <v>0</v>
      </c>
      <c r="L182" s="538">
        <v>0</v>
      </c>
      <c r="M182" s="538">
        <v>0</v>
      </c>
      <c r="N182" s="538">
        <f>J182-L182-M182</f>
        <v>0</v>
      </c>
      <c r="P182" s="64">
        <v>0</v>
      </c>
      <c r="Q182" s="538">
        <v>0</v>
      </c>
      <c r="R182" s="538">
        <v>0</v>
      </c>
      <c r="S182" s="64"/>
      <c r="T182" s="64">
        <f>N182+P182+Q182+R182</f>
        <v>0</v>
      </c>
      <c r="U182" s="64">
        <f>T182/G182*100</f>
        <v>0</v>
      </c>
      <c r="V182" s="538">
        <f>T182-J182</f>
        <v>0</v>
      </c>
      <c r="W182" s="599"/>
      <c r="X182" s="600"/>
      <c r="Z182" s="738"/>
      <c r="AB182" s="738"/>
      <c r="AD182" s="738"/>
      <c r="AF182" s="740"/>
    </row>
    <row r="183" spans="1:32">
      <c r="A183" s="6"/>
      <c r="C183" s="12"/>
      <c r="E183" s="574"/>
      <c r="G183" s="29"/>
      <c r="H183" s="567"/>
      <c r="I183" s="29"/>
      <c r="J183" s="64"/>
      <c r="L183" s="538"/>
      <c r="M183" s="538"/>
      <c r="N183" s="538"/>
      <c r="P183" s="64"/>
      <c r="Q183" s="538"/>
      <c r="R183" s="538"/>
      <c r="S183" s="64"/>
      <c r="T183" s="64"/>
      <c r="U183" s="64"/>
      <c r="V183" s="538"/>
      <c r="W183" s="599"/>
      <c r="X183" s="600"/>
      <c r="Z183" s="738"/>
      <c r="AB183" s="738"/>
      <c r="AD183" s="738"/>
      <c r="AF183" s="740"/>
    </row>
    <row r="184" spans="1:32">
      <c r="A184" s="6"/>
      <c r="C184" s="10" t="s">
        <v>268</v>
      </c>
      <c r="E184" s="574"/>
      <c r="G184" s="29"/>
      <c r="H184" s="567"/>
      <c r="I184" s="29"/>
      <c r="J184" s="64"/>
      <c r="L184" s="538"/>
      <c r="M184" s="538"/>
      <c r="N184" s="538"/>
      <c r="P184" s="64"/>
      <c r="Q184" s="538"/>
      <c r="R184" s="538"/>
      <c r="S184" s="64"/>
      <c r="T184" s="64"/>
      <c r="U184" s="64"/>
      <c r="V184" s="538"/>
      <c r="W184" s="599"/>
      <c r="X184" s="600"/>
      <c r="Z184" s="738"/>
      <c r="AB184" s="738"/>
      <c r="AD184" s="738"/>
      <c r="AF184" s="740"/>
    </row>
    <row r="185" spans="1:32">
      <c r="A185" s="6">
        <f>MAX(A$162:A184)+1</f>
        <v>80</v>
      </c>
      <c r="B185" s="58"/>
      <c r="C185" s="12" t="s">
        <v>268</v>
      </c>
      <c r="D185" s="58"/>
      <c r="E185" s="574" t="s">
        <v>262</v>
      </c>
      <c r="F185" s="58"/>
      <c r="G185" s="29">
        <v>4391.5119999999997</v>
      </c>
      <c r="H185" s="539"/>
      <c r="I185" s="547">
        <v>7.5257129260973235E-2</v>
      </c>
      <c r="J185" s="567">
        <f t="shared" ref="J185:J189" si="57">G185*I185/100</f>
        <v>3.3049258623511508</v>
      </c>
      <c r="K185" s="58"/>
      <c r="L185" s="538">
        <v>0</v>
      </c>
      <c r="M185" s="538">
        <v>0</v>
      </c>
      <c r="N185" s="538">
        <f t="shared" ref="N185:N186" si="58">J185-L185-M185</f>
        <v>3.3049258623511508</v>
      </c>
      <c r="O185" s="58"/>
      <c r="P185" s="29">
        <v>9.0308046180620494E-2</v>
      </c>
      <c r="Q185" s="538">
        <v>0</v>
      </c>
      <c r="R185" s="538">
        <v>0</v>
      </c>
      <c r="S185" s="564"/>
      <c r="T185" s="64">
        <f>N185+P185+Q185+R185</f>
        <v>3.3952339085317713</v>
      </c>
      <c r="U185" s="580">
        <f>T185/G185*100</f>
        <v>7.7313551882171136E-2</v>
      </c>
      <c r="V185" s="538">
        <f>T185-J185</f>
        <v>9.0308046180620494E-2</v>
      </c>
      <c r="W185" s="541"/>
      <c r="X185" s="542"/>
      <c r="Z185" s="738"/>
      <c r="AB185" s="738"/>
      <c r="AD185" s="738"/>
      <c r="AF185" s="740"/>
    </row>
    <row r="186" spans="1:32">
      <c r="A186" s="6">
        <f>MAX(A$162:A185)+1</f>
        <v>81</v>
      </c>
      <c r="B186" s="58"/>
      <c r="C186" s="12" t="s">
        <v>269</v>
      </c>
      <c r="D186" s="58"/>
      <c r="E186" s="574" t="s">
        <v>262</v>
      </c>
      <c r="F186" s="58"/>
      <c r="G186" s="29">
        <v>48254.987000000001</v>
      </c>
      <c r="H186" s="539"/>
      <c r="I186" s="547">
        <v>0.59780971044071829</v>
      </c>
      <c r="J186" s="567">
        <f t="shared" si="57"/>
        <v>288.47299805790624</v>
      </c>
      <c r="K186" s="58"/>
      <c r="L186" s="538">
        <v>0</v>
      </c>
      <c r="M186" s="538">
        <v>0</v>
      </c>
      <c r="N186" s="538">
        <f t="shared" si="58"/>
        <v>288.47299805790624</v>
      </c>
      <c r="O186" s="58"/>
      <c r="P186" s="29">
        <v>7.8826073308471223</v>
      </c>
      <c r="Q186" s="538">
        <v>0</v>
      </c>
      <c r="R186" s="538">
        <v>0</v>
      </c>
      <c r="S186" s="564"/>
      <c r="T186" s="64">
        <f>N186+P186+Q186+R186</f>
        <v>296.35560538875336</v>
      </c>
      <c r="U186" s="580">
        <f>T186/G186*100</f>
        <v>0.61414503207461923</v>
      </c>
      <c r="V186" s="538">
        <f>T186-J186</f>
        <v>7.8826073308471223</v>
      </c>
      <c r="W186" s="541"/>
      <c r="X186" s="542"/>
      <c r="Z186" s="738"/>
      <c r="AB186" s="738"/>
      <c r="AD186" s="738"/>
      <c r="AF186" s="740"/>
    </row>
    <row r="187" spans="1:32">
      <c r="A187" s="6">
        <f>MAX(A$162:A186)+1</f>
        <v>82</v>
      </c>
      <c r="B187" s="58"/>
      <c r="C187" s="10" t="s">
        <v>268</v>
      </c>
      <c r="D187" s="58"/>
      <c r="E187" s="574"/>
      <c r="F187" s="58"/>
      <c r="G187" s="411">
        <f>SUM(G185:G186)</f>
        <v>52646.499000000003</v>
      </c>
      <c r="H187" s="539"/>
      <c r="I187" s="566">
        <f>J187/G187*100</f>
        <v>0.55422094434096625</v>
      </c>
      <c r="J187" s="623">
        <f>SUM(J185:J186)</f>
        <v>291.77792392025736</v>
      </c>
      <c r="K187" s="567"/>
      <c r="L187" s="407">
        <f t="shared" ref="L187:R187" si="59">SUM(L185:L186)</f>
        <v>0</v>
      </c>
      <c r="M187" s="407">
        <f t="shared" si="59"/>
        <v>0</v>
      </c>
      <c r="N187" s="555">
        <f>SUM(N185:N186)</f>
        <v>291.77792392025736</v>
      </c>
      <c r="O187" s="623"/>
      <c r="P187" s="411">
        <f>SUM(P185:P186)</f>
        <v>7.9729153770277428</v>
      </c>
      <c r="Q187" s="407">
        <f t="shared" si="59"/>
        <v>0</v>
      </c>
      <c r="R187" s="407">
        <f t="shared" si="59"/>
        <v>0</v>
      </c>
      <c r="S187" s="567"/>
      <c r="T187" s="411">
        <f>SUM(T185:T186)</f>
        <v>299.75083929728515</v>
      </c>
      <c r="U187" s="579">
        <f>T187/G187*100</f>
        <v>0.56936519045128742</v>
      </c>
      <c r="V187" s="555">
        <f>SUM(V185:V186)</f>
        <v>7.9729153770277428</v>
      </c>
      <c r="W187" s="562">
        <f>U187/I187-1</f>
        <v>2.7325286539521709E-2</v>
      </c>
      <c r="X187" s="542"/>
      <c r="Z187" s="738"/>
      <c r="AB187" s="738"/>
      <c r="AD187" s="738"/>
      <c r="AF187" s="740"/>
    </row>
    <row r="188" spans="1:32">
      <c r="A188" s="6"/>
      <c r="B188" s="58"/>
      <c r="C188" s="10"/>
      <c r="D188" s="58"/>
      <c r="E188" s="30"/>
      <c r="F188" s="58"/>
      <c r="G188" s="624"/>
      <c r="H188" s="539"/>
      <c r="I188" s="625"/>
      <c r="J188" s="567"/>
      <c r="K188" s="58"/>
      <c r="L188" s="538"/>
      <c r="M188" s="538"/>
      <c r="N188" s="538"/>
      <c r="O188" s="58"/>
      <c r="P188" s="564"/>
      <c r="Q188" s="538"/>
      <c r="R188" s="538"/>
      <c r="S188" s="564"/>
      <c r="T188" s="64"/>
      <c r="U188" s="580"/>
      <c r="V188" s="538"/>
      <c r="W188" s="541"/>
      <c r="X188" s="542"/>
      <c r="Z188" s="738"/>
      <c r="AB188" s="738"/>
      <c r="AD188" s="738"/>
      <c r="AF188" s="740"/>
    </row>
    <row r="189" spans="1:32">
      <c r="A189" s="6">
        <f>MAX(A$162:A188)+1</f>
        <v>83</v>
      </c>
      <c r="C189" s="10" t="s">
        <v>270</v>
      </c>
      <c r="E189" s="574" t="s">
        <v>262</v>
      </c>
      <c r="G189" s="29">
        <v>4391.5119999999997</v>
      </c>
      <c r="H189" s="567"/>
      <c r="I189" s="547">
        <v>5.4631962768658511E-2</v>
      </c>
      <c r="J189" s="567">
        <f t="shared" si="57"/>
        <v>2.3991692008211705</v>
      </c>
      <c r="L189" s="538">
        <v>0</v>
      </c>
      <c r="M189" s="538">
        <v>0</v>
      </c>
      <c r="N189" s="538">
        <f>J189-L189-M189</f>
        <v>2.3991692008211705</v>
      </c>
      <c r="P189" s="29">
        <v>6.5557985869233448E-2</v>
      </c>
      <c r="Q189" s="538">
        <v>0</v>
      </c>
      <c r="R189" s="538">
        <v>0</v>
      </c>
      <c r="S189" s="64"/>
      <c r="T189" s="64">
        <f>N189+P189+Q189+R189</f>
        <v>2.4647271866904039</v>
      </c>
      <c r="U189" s="580">
        <f>T189/G189*100</f>
        <v>5.6124796805528572E-2</v>
      </c>
      <c r="V189" s="538">
        <f>T189-J189</f>
        <v>6.5557985869233448E-2</v>
      </c>
      <c r="W189" s="541">
        <f>U189/I189-1</f>
        <v>2.7325286539521487E-2</v>
      </c>
      <c r="X189" s="542"/>
      <c r="Z189" s="738"/>
      <c r="AB189" s="738"/>
      <c r="AD189" s="738"/>
      <c r="AF189" s="740"/>
    </row>
    <row r="190" spans="1:32" ht="12.95">
      <c r="A190" s="6"/>
      <c r="B190" s="58"/>
      <c r="C190" s="10"/>
      <c r="D190" s="58"/>
      <c r="E190" s="128"/>
      <c r="F190" s="58"/>
      <c r="G190" s="626"/>
      <c r="H190" s="539"/>
      <c r="I190" s="625"/>
      <c r="J190" s="539"/>
      <c r="K190" s="58"/>
      <c r="L190" s="538"/>
      <c r="M190" s="501"/>
      <c r="N190" s="538"/>
      <c r="O190" s="58"/>
      <c r="P190" s="29"/>
      <c r="Q190" s="538"/>
      <c r="R190" s="538"/>
      <c r="S190" s="564"/>
      <c r="T190" s="564"/>
      <c r="U190" s="565"/>
      <c r="V190" s="501"/>
      <c r="W190" s="541"/>
      <c r="X190" s="542"/>
      <c r="Z190" s="738"/>
      <c r="AB190" s="738"/>
      <c r="AD190" s="738"/>
      <c r="AF190" s="740"/>
    </row>
    <row r="191" spans="1:32" ht="12.95" thickBot="1">
      <c r="A191" s="6">
        <f>MAX(A$162:A190)+1</f>
        <v>84</v>
      </c>
      <c r="B191" s="58"/>
      <c r="C191" s="10" t="s">
        <v>295</v>
      </c>
      <c r="D191" s="58"/>
      <c r="E191" s="30"/>
      <c r="F191" s="58"/>
      <c r="G191" s="589">
        <f>G180</f>
        <v>52646.499000000003</v>
      </c>
      <c r="H191" s="58"/>
      <c r="I191" s="586">
        <f>J191/G191*100</f>
        <v>2.774700944673107</v>
      </c>
      <c r="J191" s="627">
        <f>J180+J182+J187+J189</f>
        <v>1460.7829050903181</v>
      </c>
      <c r="K191" s="539"/>
      <c r="L191" s="628">
        <f>L180+L182+L187+L189</f>
        <v>272.10434456292859</v>
      </c>
      <c r="M191" s="628">
        <f t="shared" ref="M191:T191" si="60">M180+M182+M187+M189</f>
        <v>0</v>
      </c>
      <c r="N191" s="628">
        <f>N180+N182+N187+N189</f>
        <v>1188.6785605273897</v>
      </c>
      <c r="O191" s="539"/>
      <c r="P191" s="627">
        <f t="shared" si="60"/>
        <v>32.480982269796861</v>
      </c>
      <c r="Q191" s="628">
        <f>Q180+Q182+Q187+Q189</f>
        <v>979.65831828089802</v>
      </c>
      <c r="R191" s="628">
        <f t="shared" si="60"/>
        <v>0</v>
      </c>
      <c r="S191" s="539"/>
      <c r="T191" s="627">
        <f t="shared" si="60"/>
        <v>2200.8178610780842</v>
      </c>
      <c r="U191" s="590">
        <f>T191/G191*100</f>
        <v>4.1803688808976345</v>
      </c>
      <c r="V191" s="628">
        <f>V180+V182+V187+V189</f>
        <v>740.03495598776635</v>
      </c>
      <c r="W191" s="629">
        <f>U191/I191-1</f>
        <v>0.50660159932663729</v>
      </c>
      <c r="X191" s="630"/>
      <c r="Z191" s="738"/>
      <c r="AB191" s="738"/>
      <c r="AD191" s="738"/>
      <c r="AF191" s="740"/>
    </row>
    <row r="192" spans="1:32" ht="12.95" thickTop="1">
      <c r="A192" s="6"/>
      <c r="B192" s="58"/>
      <c r="C192" s="10"/>
      <c r="D192" s="58"/>
      <c r="E192" s="30"/>
      <c r="F192" s="58"/>
      <c r="G192" s="29"/>
      <c r="H192" s="58"/>
      <c r="I192" s="625"/>
      <c r="J192" s="539"/>
      <c r="K192" s="539"/>
      <c r="L192" s="564"/>
      <c r="M192" s="564"/>
      <c r="N192" s="564"/>
      <c r="O192" s="564"/>
      <c r="P192" s="564"/>
      <c r="Q192" s="564"/>
      <c r="R192" s="564"/>
      <c r="S192" s="564"/>
      <c r="T192" s="564"/>
      <c r="U192" s="565"/>
      <c r="V192" s="564"/>
      <c r="W192" s="630"/>
      <c r="X192" s="630"/>
      <c r="Z192" s="738"/>
      <c r="AB192" s="738"/>
      <c r="AD192" s="738"/>
      <c r="AF192" s="740"/>
    </row>
    <row r="193" spans="1:32">
      <c r="A193" s="6"/>
      <c r="B193" s="58"/>
      <c r="C193" s="9" t="s">
        <v>134</v>
      </c>
      <c r="D193" s="58"/>
      <c r="E193" s="30"/>
      <c r="F193" s="58"/>
      <c r="G193" s="132"/>
      <c r="H193" s="58"/>
      <c r="I193" s="58"/>
      <c r="J193" s="58"/>
      <c r="K193" s="58"/>
      <c r="L193" s="538"/>
      <c r="M193" s="538"/>
      <c r="N193" s="538"/>
      <c r="O193" s="58"/>
      <c r="P193" s="58"/>
      <c r="Q193" s="501"/>
      <c r="R193" s="501"/>
      <c r="S193" s="58"/>
      <c r="T193" s="58"/>
      <c r="U193" s="58"/>
      <c r="V193" s="501"/>
      <c r="W193" s="501"/>
      <c r="Z193" s="738"/>
    </row>
    <row r="194" spans="1:32">
      <c r="A194" s="6">
        <f>MAX(A$162:A193)+1</f>
        <v>85</v>
      </c>
      <c r="C194" s="10" t="s">
        <v>258</v>
      </c>
      <c r="E194" s="30" t="s">
        <v>259</v>
      </c>
      <c r="G194" s="29">
        <v>192</v>
      </c>
      <c r="I194" s="537">
        <v>134.92647936727528</v>
      </c>
      <c r="J194" s="567">
        <f>G194*I194/1000</f>
        <v>25.905884038516852</v>
      </c>
      <c r="L194" s="538">
        <v>0</v>
      </c>
      <c r="M194" s="538">
        <v>0</v>
      </c>
      <c r="N194" s="64">
        <f>J194-L194-M194</f>
        <v>25.905884038516852</v>
      </c>
      <c r="O194" s="64"/>
      <c r="P194" s="29">
        <v>0.70788570441208876</v>
      </c>
      <c r="Q194" s="538">
        <v>0</v>
      </c>
      <c r="R194" s="538">
        <v>0</v>
      </c>
      <c r="S194" s="64"/>
      <c r="T194" s="64">
        <f>N194+P194+Q194+R194</f>
        <v>26.613769742928941</v>
      </c>
      <c r="U194" s="577">
        <f>T194/G194*1000</f>
        <v>138.61338407775489</v>
      </c>
      <c r="V194" s="538">
        <f>T194-J194</f>
        <v>0.70788570441208876</v>
      </c>
      <c r="W194" s="541">
        <f>U194/I194-1</f>
        <v>2.7325286539521265E-2</v>
      </c>
      <c r="X194" s="542"/>
      <c r="Z194" s="738"/>
      <c r="AB194" s="738"/>
      <c r="AD194" s="738"/>
      <c r="AF194" s="739"/>
    </row>
    <row r="195" spans="1:32">
      <c r="A195" s="6">
        <f>MAX(A$162:A194)+1</f>
        <v>86</v>
      </c>
      <c r="B195" s="58"/>
      <c r="C195" s="521" t="s">
        <v>280</v>
      </c>
      <c r="D195" s="58"/>
      <c r="E195" s="30" t="s">
        <v>281</v>
      </c>
      <c r="F195" s="58"/>
      <c r="G195" s="29">
        <v>6138.48</v>
      </c>
      <c r="H195" s="58"/>
      <c r="I195" s="547">
        <v>9.0517208463813486</v>
      </c>
      <c r="J195" s="539">
        <f>G195*I195/100</f>
        <v>555.63807381094978</v>
      </c>
      <c r="K195" s="58"/>
      <c r="L195" s="538">
        <v>0</v>
      </c>
      <c r="M195" s="538">
        <v>0</v>
      </c>
      <c r="N195" s="64">
        <f t="shared" ref="N195" si="61">J195-L195-M195</f>
        <v>555.63807381094978</v>
      </c>
      <c r="O195" s="564"/>
      <c r="P195" s="29">
        <v>15.182969579151973</v>
      </c>
      <c r="Q195" s="538">
        <v>0</v>
      </c>
      <c r="R195" s="538">
        <v>0</v>
      </c>
      <c r="S195" s="564"/>
      <c r="T195" s="64">
        <f t="shared" ref="T195:T199" si="62">N195+P195+Q195+R195</f>
        <v>570.82104339010175</v>
      </c>
      <c r="U195" s="580">
        <f>T195/G195*100</f>
        <v>9.2990617121844785</v>
      </c>
      <c r="V195" s="538">
        <f>T195-J195</f>
        <v>15.182969579151973</v>
      </c>
      <c r="W195" s="541">
        <f>U195/I195-1</f>
        <v>2.7325286539521487E-2</v>
      </c>
      <c r="X195" s="542"/>
      <c r="Z195" s="738"/>
      <c r="AB195" s="738"/>
      <c r="AD195" s="738"/>
      <c r="AF195" s="744"/>
    </row>
    <row r="196" spans="1:32">
      <c r="A196" s="6"/>
      <c r="B196" s="58"/>
      <c r="C196" s="521" t="s">
        <v>260</v>
      </c>
      <c r="D196" s="58"/>
      <c r="E196" s="30"/>
      <c r="F196" s="58"/>
      <c r="G196" s="29"/>
      <c r="H196" s="58"/>
      <c r="I196" s="58"/>
      <c r="J196" s="539"/>
      <c r="K196" s="58"/>
      <c r="L196" s="538"/>
      <c r="M196" s="538"/>
      <c r="N196" s="64"/>
      <c r="O196" s="564"/>
      <c r="P196" s="29"/>
      <c r="Q196" s="538"/>
      <c r="R196" s="538"/>
      <c r="S196" s="564"/>
      <c r="T196" s="64"/>
      <c r="U196" s="548"/>
      <c r="V196" s="538"/>
      <c r="W196" s="541"/>
      <c r="X196" s="542"/>
      <c r="Z196" s="738"/>
      <c r="AB196" s="738"/>
      <c r="AD196" s="738"/>
    </row>
    <row r="197" spans="1:32">
      <c r="A197" s="6">
        <f>MAX(A$162:A196)+1</f>
        <v>87</v>
      </c>
      <c r="B197" s="58"/>
      <c r="C197" s="521" t="s">
        <v>290</v>
      </c>
      <c r="D197" s="58"/>
      <c r="E197" s="30" t="s">
        <v>262</v>
      </c>
      <c r="F197" s="58"/>
      <c r="G197" s="29">
        <v>2496.9</v>
      </c>
      <c r="H197" s="58"/>
      <c r="I197" s="547">
        <v>7.1177262669002292</v>
      </c>
      <c r="J197" s="539">
        <f t="shared" ref="J197:J199" si="63">G197*I197/100</f>
        <v>177.72250715823182</v>
      </c>
      <c r="K197" s="58"/>
      <c r="L197" s="29">
        <v>191.80981250237761</v>
      </c>
      <c r="M197" s="29">
        <v>0</v>
      </c>
      <c r="N197" s="64">
        <v>0</v>
      </c>
      <c r="O197" s="564"/>
      <c r="P197" s="29">
        <v>0</v>
      </c>
      <c r="Q197" s="29">
        <v>50.747074313533822</v>
      </c>
      <c r="R197" s="538">
        <v>0</v>
      </c>
      <c r="S197" s="564"/>
      <c r="T197" s="64">
        <f t="shared" si="62"/>
        <v>50.747074313533822</v>
      </c>
      <c r="U197" s="580">
        <f>T197/G197*100</f>
        <v>2.0324031524503914</v>
      </c>
      <c r="V197" s="538">
        <f>T197-J197</f>
        <v>-126.97543284469799</v>
      </c>
      <c r="W197" s="745"/>
      <c r="X197" s="559"/>
      <c r="Z197" s="738"/>
      <c r="AB197" s="746"/>
      <c r="AD197" s="738"/>
      <c r="AF197" s="744"/>
    </row>
    <row r="198" spans="1:32">
      <c r="A198" s="6">
        <f>MAX(A$162:A197)+1</f>
        <v>88</v>
      </c>
      <c r="B198" s="58"/>
      <c r="C198" s="521" t="s">
        <v>291</v>
      </c>
      <c r="D198" s="58"/>
      <c r="E198" s="30" t="s">
        <v>262</v>
      </c>
      <c r="F198" s="58"/>
      <c r="G198" s="29">
        <v>4159.7690000000002</v>
      </c>
      <c r="H198" s="58"/>
      <c r="I198" s="547">
        <v>5.7435509933484221</v>
      </c>
      <c r="J198" s="539">
        <f t="shared" si="63"/>
        <v>238.91845372049974</v>
      </c>
      <c r="K198" s="58"/>
      <c r="L198" s="29">
        <v>319.55004683535697</v>
      </c>
      <c r="M198" s="29">
        <v>0</v>
      </c>
      <c r="N198" s="64">
        <v>0</v>
      </c>
      <c r="O198" s="564"/>
      <c r="P198" s="29">
        <v>0</v>
      </c>
      <c r="Q198" s="29">
        <v>84.54327629065412</v>
      </c>
      <c r="R198" s="538">
        <v>0</v>
      </c>
      <c r="S198" s="564"/>
      <c r="T198" s="64">
        <f t="shared" si="62"/>
        <v>84.54327629065412</v>
      </c>
      <c r="U198" s="580">
        <f>T198/G198*100</f>
        <v>2.0324031524503914</v>
      </c>
      <c r="V198" s="538">
        <f>T198-J198</f>
        <v>-154.37517742984562</v>
      </c>
      <c r="W198" s="745"/>
      <c r="X198" s="559"/>
      <c r="Z198" s="738"/>
      <c r="AB198" s="746"/>
      <c r="AD198" s="746"/>
      <c r="AF198" s="744"/>
    </row>
    <row r="199" spans="1:32">
      <c r="A199" s="6">
        <f>MAX(A$162:A198)+1</f>
        <v>89</v>
      </c>
      <c r="B199" s="58"/>
      <c r="C199" s="521" t="s">
        <v>292</v>
      </c>
      <c r="D199" s="58"/>
      <c r="E199" s="30" t="s">
        <v>262</v>
      </c>
      <c r="F199" s="58"/>
      <c r="G199" s="29">
        <v>9056.9930000000004</v>
      </c>
      <c r="H199" s="58"/>
      <c r="I199" s="547">
        <v>5.1780445123461263</v>
      </c>
      <c r="J199" s="539">
        <f t="shared" si="63"/>
        <v>468.97512902007276</v>
      </c>
      <c r="K199" s="58"/>
      <c r="L199" s="29">
        <v>695.75078263660794</v>
      </c>
      <c r="M199" s="29">
        <v>0</v>
      </c>
      <c r="N199" s="64">
        <v>0</v>
      </c>
      <c r="O199" s="564"/>
      <c r="P199" s="29">
        <v>0</v>
      </c>
      <c r="Q199" s="29">
        <v>184.07461124921127</v>
      </c>
      <c r="R199" s="538">
        <v>0</v>
      </c>
      <c r="S199" s="564"/>
      <c r="T199" s="64">
        <f t="shared" si="62"/>
        <v>184.07461124921127</v>
      </c>
      <c r="U199" s="580">
        <f>T199/G199*100</f>
        <v>2.0324031524503914</v>
      </c>
      <c r="V199" s="538">
        <f>T199-J199</f>
        <v>-284.90051777086148</v>
      </c>
      <c r="W199" s="745"/>
      <c r="X199" s="559"/>
      <c r="Z199" s="738"/>
      <c r="AB199" s="746"/>
      <c r="AD199" s="746"/>
      <c r="AF199" s="744"/>
    </row>
    <row r="200" spans="1:32">
      <c r="A200" s="6">
        <f>MAX(A$162:A199)+1</f>
        <v>90</v>
      </c>
      <c r="B200" s="58"/>
      <c r="C200" s="521" t="s">
        <v>260</v>
      </c>
      <c r="D200" s="58"/>
      <c r="E200" s="574"/>
      <c r="F200" s="58"/>
      <c r="G200" s="131">
        <f>SUM(G197:G199)</f>
        <v>15713.662</v>
      </c>
      <c r="H200" s="58"/>
      <c r="I200" s="556">
        <f>J200/G200*100</f>
        <v>5.6359624503747403</v>
      </c>
      <c r="J200" s="554">
        <f>SUM(J197:J199)</f>
        <v>885.61608989880438</v>
      </c>
      <c r="K200" s="58"/>
      <c r="L200" s="555">
        <f>SUM(L197:L199)</f>
        <v>1207.1106419743426</v>
      </c>
      <c r="M200" s="555">
        <f t="shared" ref="M200:N200" si="64">SUM(M197:M199)</f>
        <v>0</v>
      </c>
      <c r="N200" s="555">
        <f t="shared" si="64"/>
        <v>0</v>
      </c>
      <c r="O200" s="564"/>
      <c r="P200" s="619">
        <f>SUM(P197:P199)</f>
        <v>0</v>
      </c>
      <c r="Q200" s="619">
        <f t="shared" ref="Q200:R200" si="65">SUM(Q197:Q199)</f>
        <v>319.36496185339922</v>
      </c>
      <c r="R200" s="619">
        <f t="shared" si="65"/>
        <v>0</v>
      </c>
      <c r="S200" s="564"/>
      <c r="T200" s="619">
        <f>SUM(T197:T199)</f>
        <v>319.36496185339922</v>
      </c>
      <c r="U200" s="579">
        <f>T200/G200*100</f>
        <v>2.0324031524503914</v>
      </c>
      <c r="V200" s="555">
        <f>SUM(V197:V199)</f>
        <v>-566.25112804540504</v>
      </c>
      <c r="W200" s="558">
        <f>U200/I200-1</f>
        <v>-0.63938667612747224</v>
      </c>
      <c r="X200" s="559"/>
      <c r="Z200" s="738"/>
      <c r="AB200" s="746"/>
      <c r="AD200" s="746"/>
      <c r="AF200" s="744"/>
    </row>
    <row r="201" spans="1:32">
      <c r="A201" s="6"/>
      <c r="C201" s="10"/>
      <c r="L201" s="538"/>
      <c r="M201" s="538"/>
      <c r="N201" s="538"/>
      <c r="O201" s="64"/>
      <c r="P201" s="64"/>
      <c r="Q201" s="538"/>
      <c r="R201" s="538"/>
      <c r="S201" s="64"/>
      <c r="T201" s="64"/>
      <c r="U201" s="632"/>
      <c r="V201" s="538"/>
      <c r="W201" s="538"/>
      <c r="X201" s="542"/>
    </row>
    <row r="202" spans="1:32">
      <c r="A202" s="6">
        <f>MAX(A$162:A201)+1</f>
        <v>91</v>
      </c>
      <c r="B202" s="581"/>
      <c r="C202" s="10" t="s">
        <v>296</v>
      </c>
      <c r="D202" s="581"/>
      <c r="E202" s="581"/>
      <c r="F202" s="581"/>
      <c r="G202" s="29">
        <v>172.20451506849315</v>
      </c>
      <c r="H202" s="4"/>
      <c r="I202" s="29">
        <v>0</v>
      </c>
      <c r="J202" s="130">
        <v>0</v>
      </c>
      <c r="K202" s="581"/>
      <c r="L202" s="538">
        <v>0</v>
      </c>
      <c r="M202" s="538">
        <v>0</v>
      </c>
      <c r="N202" s="538">
        <f>J202-L202-M202</f>
        <v>0</v>
      </c>
      <c r="O202" s="582"/>
      <c r="P202" s="130">
        <v>0</v>
      </c>
      <c r="Q202" s="576">
        <v>0</v>
      </c>
      <c r="R202" s="576">
        <v>0</v>
      </c>
      <c r="S202" s="612"/>
      <c r="T202" s="130">
        <f>N202+P202+Q202+R202</f>
        <v>0</v>
      </c>
      <c r="U202" s="576">
        <v>0</v>
      </c>
      <c r="V202" s="576">
        <v>0</v>
      </c>
      <c r="W202" s="599"/>
      <c r="X202" s="610"/>
    </row>
    <row r="203" spans="1:32">
      <c r="A203" s="6">
        <f>MAX(A$162:A202)+1</f>
        <v>92</v>
      </c>
      <c r="B203" s="581"/>
      <c r="C203" s="10" t="s">
        <v>297</v>
      </c>
      <c r="D203" s="581"/>
      <c r="E203" s="581"/>
      <c r="F203" s="581"/>
      <c r="G203" s="538">
        <v>0</v>
      </c>
      <c r="I203" s="538">
        <v>0</v>
      </c>
      <c r="J203" s="576">
        <v>0</v>
      </c>
      <c r="K203" s="581"/>
      <c r="L203" s="538">
        <v>0</v>
      </c>
      <c r="M203" s="538">
        <v>0</v>
      </c>
      <c r="N203" s="538">
        <f>J203-L203-M203</f>
        <v>0</v>
      </c>
      <c r="O203" s="582"/>
      <c r="P203" s="130">
        <v>0</v>
      </c>
      <c r="Q203" s="576">
        <v>0</v>
      </c>
      <c r="R203" s="576">
        <v>0</v>
      </c>
      <c r="S203" s="612"/>
      <c r="T203" s="130">
        <f>N203+P203+Q203+R203</f>
        <v>0</v>
      </c>
      <c r="U203" s="576">
        <v>0</v>
      </c>
      <c r="V203" s="576">
        <v>0</v>
      </c>
      <c r="W203" s="599"/>
      <c r="X203" s="610"/>
    </row>
    <row r="204" spans="1:32">
      <c r="A204" s="6"/>
      <c r="B204" s="57"/>
      <c r="C204" s="10"/>
      <c r="D204" s="57"/>
      <c r="E204" s="3"/>
      <c r="F204" s="57"/>
      <c r="G204" s="3"/>
      <c r="H204" s="57"/>
      <c r="I204" s="57"/>
      <c r="J204" s="603"/>
      <c r="K204" s="57"/>
      <c r="L204" s="538"/>
      <c r="M204" s="538"/>
      <c r="N204" s="538"/>
      <c r="O204" s="583"/>
      <c r="P204" s="583"/>
      <c r="Q204" s="538"/>
      <c r="R204" s="538"/>
      <c r="S204" s="583"/>
      <c r="T204" s="583"/>
      <c r="U204" s="634"/>
      <c r="V204" s="538"/>
      <c r="W204" s="541"/>
      <c r="X204" s="542"/>
    </row>
    <row r="205" spans="1:32">
      <c r="A205" s="6">
        <f>MAX(A$162:A204)+1</f>
        <v>93</v>
      </c>
      <c r="B205" s="3"/>
      <c r="C205" s="10" t="s">
        <v>266</v>
      </c>
      <c r="D205" s="3"/>
      <c r="E205" s="57"/>
      <c r="F205" s="3"/>
      <c r="G205" s="131">
        <f>G200</f>
        <v>15713.662</v>
      </c>
      <c r="H205" s="3"/>
      <c r="I205" s="635">
        <f>J205/G205*100</f>
        <v>9.3368436189366371</v>
      </c>
      <c r="J205" s="550">
        <f>J194+J195+J200+J202+J203</f>
        <v>1467.1600477482712</v>
      </c>
      <c r="K205" s="624"/>
      <c r="L205" s="131">
        <f>L194+L195+L200+L202+L203</f>
        <v>1207.1106419743426</v>
      </c>
      <c r="M205" s="131">
        <f t="shared" ref="M205:R205" si="66">M194+M195+M200+M202+M203</f>
        <v>0</v>
      </c>
      <c r="N205" s="131">
        <f t="shared" si="66"/>
        <v>581.54395784946666</v>
      </c>
      <c r="O205" s="624"/>
      <c r="P205" s="131">
        <f t="shared" si="66"/>
        <v>15.890855283564061</v>
      </c>
      <c r="Q205" s="131">
        <f t="shared" si="66"/>
        <v>319.36496185339922</v>
      </c>
      <c r="R205" s="131">
        <f t="shared" si="66"/>
        <v>0</v>
      </c>
      <c r="S205" s="132"/>
      <c r="T205" s="131">
        <f>T194+T195+T200+T202+T203</f>
        <v>916.79977498642995</v>
      </c>
      <c r="U205" s="579">
        <f>T205/G205*100</f>
        <v>5.8344119593919608</v>
      </c>
      <c r="V205" s="131">
        <f>V194+V195+V200+V202+V203</f>
        <v>-550.36027276184097</v>
      </c>
      <c r="W205" s="558">
        <f>U205/I205-1</f>
        <v>-0.37511945176431738</v>
      </c>
      <c r="X205" s="559"/>
    </row>
    <row r="206" spans="1:32">
      <c r="A206" s="6"/>
      <c r="B206" s="5"/>
      <c r="C206" s="5"/>
      <c r="D206" s="5"/>
      <c r="E206" s="6"/>
      <c r="F206" s="5"/>
      <c r="G206" s="17"/>
      <c r="H206" s="5"/>
      <c r="I206" s="5"/>
      <c r="J206" s="5"/>
      <c r="K206" s="5"/>
      <c r="L206" s="538"/>
      <c r="M206" s="538"/>
      <c r="N206" s="538"/>
      <c r="O206" s="585"/>
      <c r="P206" s="585"/>
      <c r="Q206" s="538"/>
      <c r="R206" s="538"/>
      <c r="S206" s="585"/>
      <c r="T206" s="585"/>
      <c r="U206" s="637"/>
      <c r="V206" s="538"/>
      <c r="W206" s="538"/>
      <c r="X206" s="542"/>
    </row>
    <row r="207" spans="1:32">
      <c r="A207" s="6">
        <f>MAX(A$162:A206)+1</f>
        <v>94</v>
      </c>
      <c r="B207" s="58"/>
      <c r="C207" s="12" t="s">
        <v>479</v>
      </c>
      <c r="D207" s="58"/>
      <c r="E207" s="574" t="s">
        <v>262</v>
      </c>
      <c r="F207" s="58"/>
      <c r="G207" s="29">
        <v>15713.662</v>
      </c>
      <c r="H207" s="58"/>
      <c r="I207" s="547">
        <v>0.313225964354921</v>
      </c>
      <c r="J207" s="539">
        <f>G207*I207/100</f>
        <v>49.219269334972772</v>
      </c>
      <c r="K207" s="58"/>
      <c r="L207" s="538">
        <v>0</v>
      </c>
      <c r="M207" s="29">
        <v>23.910450696564268</v>
      </c>
      <c r="N207" s="538">
        <f>J207-L207-M207</f>
        <v>25.308818638408503</v>
      </c>
      <c r="O207" s="564"/>
      <c r="P207" s="29">
        <v>0.69157072127129382</v>
      </c>
      <c r="Q207" s="538">
        <v>0</v>
      </c>
      <c r="R207" s="29">
        <v>23.82768445233804</v>
      </c>
      <c r="S207" s="564"/>
      <c r="T207" s="564">
        <f>N207+P207+Q207+R207</f>
        <v>49.828073812017834</v>
      </c>
      <c r="U207" s="580">
        <f>T207/G207*100</f>
        <v>0.3171003284404223</v>
      </c>
      <c r="V207" s="538">
        <f>T207-J207</f>
        <v>0.60880447704506224</v>
      </c>
      <c r="W207" s="745">
        <f>U207/I207-1</f>
        <v>1.2369230288684419E-2</v>
      </c>
      <c r="X207" s="559"/>
      <c r="Z207" s="738"/>
      <c r="AB207" s="738"/>
      <c r="AD207" s="738"/>
      <c r="AF207" s="744"/>
    </row>
    <row r="208" spans="1:32">
      <c r="A208" s="6"/>
      <c r="B208" s="58"/>
      <c r="C208" s="12"/>
      <c r="D208" s="58"/>
      <c r="E208" s="574"/>
      <c r="F208" s="58"/>
      <c r="G208" s="29"/>
      <c r="H208" s="58"/>
      <c r="I208" s="547"/>
      <c r="J208" s="539"/>
      <c r="K208" s="58"/>
      <c r="L208" s="538"/>
      <c r="M208" s="29"/>
      <c r="N208" s="538"/>
      <c r="O208" s="564"/>
      <c r="P208" s="29"/>
      <c r="Q208" s="538"/>
      <c r="R208" s="29"/>
      <c r="S208" s="564"/>
      <c r="T208" s="564"/>
      <c r="U208" s="548"/>
      <c r="V208" s="538"/>
      <c r="W208" s="745"/>
      <c r="X208" s="559"/>
      <c r="Z208" s="738"/>
      <c r="AB208" s="738"/>
      <c r="AD208" s="738"/>
      <c r="AF208" s="744"/>
    </row>
    <row r="209" spans="1:32">
      <c r="A209" s="6"/>
      <c r="B209" s="58"/>
      <c r="C209" s="10" t="s">
        <v>268</v>
      </c>
      <c r="D209" s="58"/>
      <c r="E209" s="574"/>
      <c r="F209" s="58"/>
      <c r="G209" s="29"/>
      <c r="H209" s="58"/>
      <c r="I209" s="547"/>
      <c r="J209" s="539"/>
      <c r="K209" s="58"/>
      <c r="L209" s="538"/>
      <c r="M209" s="29"/>
      <c r="N209" s="538"/>
      <c r="O209" s="564"/>
      <c r="P209" s="29"/>
      <c r="Q209" s="538"/>
      <c r="R209" s="29"/>
      <c r="S209" s="564"/>
      <c r="T209" s="564"/>
      <c r="U209" s="548"/>
      <c r="V209" s="538"/>
      <c r="W209" s="745"/>
      <c r="X209" s="559"/>
      <c r="Z209" s="738"/>
      <c r="AB209" s="738"/>
      <c r="AD209" s="738"/>
      <c r="AF209" s="744"/>
    </row>
    <row r="210" spans="1:32">
      <c r="A210" s="6">
        <f>MAX(A$162:A209)+1</f>
        <v>95</v>
      </c>
      <c r="B210" s="58"/>
      <c r="C210" s="12" t="s">
        <v>268</v>
      </c>
      <c r="D210" s="58"/>
      <c r="E210" s="574" t="s">
        <v>262</v>
      </c>
      <c r="F210" s="58"/>
      <c r="G210" s="29">
        <v>573.62400000000002</v>
      </c>
      <c r="H210" s="58"/>
      <c r="I210" s="547">
        <v>7.5289808966364308E-2</v>
      </c>
      <c r="J210" s="567">
        <f>G210*I210/100</f>
        <v>0.43188041378521758</v>
      </c>
      <c r="K210" s="58"/>
      <c r="L210" s="538">
        <v>0</v>
      </c>
      <c r="M210" s="538">
        <v>0</v>
      </c>
      <c r="N210" s="538">
        <f t="shared" ref="N210:N211" si="67">J210-L210-M210</f>
        <v>0.43188041378521758</v>
      </c>
      <c r="O210" s="564"/>
      <c r="P210" s="29">
        <v>1.1801256057488163E-2</v>
      </c>
      <c r="Q210" s="538">
        <v>0</v>
      </c>
      <c r="R210" s="538">
        <v>0</v>
      </c>
      <c r="S210" s="564"/>
      <c r="T210" s="564">
        <f t="shared" ref="T210:T211" si="68">N210+P210+Q210+R210</f>
        <v>0.44368166984270574</v>
      </c>
      <c r="U210" s="580">
        <f>T210/G210*100</f>
        <v>7.7347124569876038E-2</v>
      </c>
      <c r="V210" s="538">
        <f>T210-J210</f>
        <v>1.1801256057488163E-2</v>
      </c>
      <c r="W210" s="541"/>
      <c r="X210" s="542"/>
      <c r="Z210" s="738"/>
      <c r="AB210" s="738"/>
      <c r="AD210" s="738"/>
      <c r="AF210" s="744"/>
    </row>
    <row r="211" spans="1:32">
      <c r="A211" s="6">
        <f>MAX(A$162:A210)+1</f>
        <v>96</v>
      </c>
      <c r="B211" s="58"/>
      <c r="C211" s="12" t="s">
        <v>269</v>
      </c>
      <c r="D211" s="58"/>
      <c r="E211" s="574" t="s">
        <v>262</v>
      </c>
      <c r="F211" s="58"/>
      <c r="G211" s="29">
        <v>15140.038</v>
      </c>
      <c r="H211" s="58"/>
      <c r="I211" s="547">
        <v>0.59779013912243695</v>
      </c>
      <c r="J211" s="567">
        <f>G211*I211/100</f>
        <v>90.505654223389826</v>
      </c>
      <c r="K211" s="58"/>
      <c r="L211" s="538">
        <v>0</v>
      </c>
      <c r="M211" s="538">
        <v>0</v>
      </c>
      <c r="N211" s="538">
        <f t="shared" si="67"/>
        <v>90.505654223389826</v>
      </c>
      <c r="O211" s="564"/>
      <c r="P211" s="29">
        <v>2.4730929351009792</v>
      </c>
      <c r="Q211" s="538">
        <v>0</v>
      </c>
      <c r="R211" s="538">
        <v>0</v>
      </c>
      <c r="S211" s="564"/>
      <c r="T211" s="564">
        <f t="shared" si="68"/>
        <v>92.978747158490805</v>
      </c>
      <c r="U211" s="580">
        <f>T211/G211*100</f>
        <v>0.614124925964458</v>
      </c>
      <c r="V211" s="538">
        <f>T211-J211</f>
        <v>2.4730929351009792</v>
      </c>
      <c r="W211" s="541"/>
      <c r="X211" s="542"/>
      <c r="Z211" s="738"/>
      <c r="AB211" s="738"/>
      <c r="AD211" s="738"/>
      <c r="AF211" s="744"/>
    </row>
    <row r="212" spans="1:32">
      <c r="A212" s="6">
        <f>MAX(A$162:A211)+1</f>
        <v>97</v>
      </c>
      <c r="B212" s="58"/>
      <c r="C212" s="10" t="s">
        <v>268</v>
      </c>
      <c r="D212" s="58"/>
      <c r="E212" s="574"/>
      <c r="F212" s="58"/>
      <c r="G212" s="411">
        <f>SUM(G210:G211)</f>
        <v>15713.662</v>
      </c>
      <c r="H212" s="58"/>
      <c r="I212" s="566">
        <f>J212/G212*100</f>
        <v>0.57871637201547954</v>
      </c>
      <c r="J212" s="554">
        <f>SUM(J210:J211)</f>
        <v>90.937534637175048</v>
      </c>
      <c r="K212" s="58"/>
      <c r="L212" s="555">
        <f>SUM(L210:L211)</f>
        <v>0</v>
      </c>
      <c r="M212" s="555">
        <f t="shared" ref="M212:W212" si="69">SUM(M210:M211)</f>
        <v>0</v>
      </c>
      <c r="N212" s="555">
        <f t="shared" si="69"/>
        <v>90.937534637175048</v>
      </c>
      <c r="O212" s="538"/>
      <c r="P212" s="555">
        <f t="shared" si="69"/>
        <v>2.4848941911584674</v>
      </c>
      <c r="Q212" s="555">
        <f t="shared" si="69"/>
        <v>0</v>
      </c>
      <c r="R212" s="555">
        <f t="shared" si="69"/>
        <v>0</v>
      </c>
      <c r="S212" s="538"/>
      <c r="T212" s="555">
        <f t="shared" si="69"/>
        <v>93.422428828333508</v>
      </c>
      <c r="U212" s="579">
        <f>T212/G212*100</f>
        <v>0.59452996270591474</v>
      </c>
      <c r="V212" s="555">
        <f t="shared" si="69"/>
        <v>2.4848941911584674</v>
      </c>
      <c r="W212" s="562">
        <f t="shared" si="69"/>
        <v>0</v>
      </c>
      <c r="X212" s="542"/>
      <c r="Z212" s="738"/>
      <c r="AB212" s="738"/>
      <c r="AD212" s="738"/>
      <c r="AF212" s="744"/>
    </row>
    <row r="213" spans="1:32" ht="12.95">
      <c r="A213" s="6"/>
      <c r="B213" s="58"/>
      <c r="C213" s="10"/>
      <c r="D213" s="58"/>
      <c r="E213" s="30"/>
      <c r="F213" s="58"/>
      <c r="G213" s="575"/>
      <c r="H213" s="58"/>
      <c r="I213" s="547"/>
      <c r="J213" s="539"/>
      <c r="K213" s="58"/>
      <c r="L213" s="538"/>
      <c r="M213" s="538"/>
      <c r="N213" s="538"/>
      <c r="O213" s="564"/>
      <c r="P213" s="29"/>
      <c r="Q213" s="538"/>
      <c r="R213" s="538">
        <v>0</v>
      </c>
      <c r="S213" s="564"/>
      <c r="T213" s="564"/>
      <c r="U213" s="548"/>
      <c r="V213" s="538"/>
      <c r="W213" s="541"/>
      <c r="X213" s="542"/>
      <c r="Z213" s="738"/>
      <c r="AB213" s="738"/>
      <c r="AD213" s="738"/>
      <c r="AF213" s="744"/>
    </row>
    <row r="214" spans="1:32">
      <c r="A214" s="6">
        <f>MAX(A$162:A213)+1</f>
        <v>98</v>
      </c>
      <c r="B214" s="58"/>
      <c r="C214" s="10" t="s">
        <v>270</v>
      </c>
      <c r="D214" s="58"/>
      <c r="E214" s="574" t="s">
        <v>262</v>
      </c>
      <c r="F214" s="58"/>
      <c r="G214" s="29">
        <v>573.62400000000002</v>
      </c>
      <c r="H214" s="58"/>
      <c r="I214" s="547">
        <v>5.0893907369881836E-2</v>
      </c>
      <c r="J214" s="567">
        <f>G214*I214/100</f>
        <v>0.29193966721141096</v>
      </c>
      <c r="K214" s="58"/>
      <c r="L214" s="538">
        <v>0</v>
      </c>
      <c r="M214" s="538">
        <v>0</v>
      </c>
      <c r="N214" s="538">
        <f>J214-L214-M214</f>
        <v>0.29193966721141096</v>
      </c>
      <c r="O214" s="564"/>
      <c r="P214" s="29">
        <v>7.9773350588043246E-3</v>
      </c>
      <c r="Q214" s="538">
        <v>0</v>
      </c>
      <c r="R214" s="538">
        <v>0</v>
      </c>
      <c r="S214" s="564"/>
      <c r="T214" s="564">
        <f>N214+P214+Q214+R214</f>
        <v>0.29991700227021528</v>
      </c>
      <c r="U214" s="580">
        <f>T214/G214*100</f>
        <v>5.2284597971879704E-2</v>
      </c>
      <c r="V214" s="538">
        <f>T214-J214</f>
        <v>7.9773350588043246E-3</v>
      </c>
      <c r="W214" s="541">
        <f>U214/I214-1</f>
        <v>2.7325286539521043E-2</v>
      </c>
      <c r="X214" s="542"/>
      <c r="Z214" s="738"/>
      <c r="AB214" s="738"/>
      <c r="AD214" s="738"/>
      <c r="AF214" s="744"/>
    </row>
    <row r="215" spans="1:32">
      <c r="A215" s="6"/>
      <c r="B215" s="58"/>
      <c r="C215" s="10"/>
      <c r="D215" s="58"/>
      <c r="E215" s="30"/>
      <c r="F215" s="58"/>
      <c r="G215" s="29"/>
      <c r="H215" s="58"/>
      <c r="I215" s="548"/>
      <c r="J215" s="58"/>
      <c r="K215" s="58"/>
      <c r="L215" s="538"/>
      <c r="M215" s="538"/>
      <c r="N215" s="538"/>
      <c r="O215" s="564"/>
      <c r="P215" s="564"/>
      <c r="Q215" s="538"/>
      <c r="R215" s="538"/>
      <c r="S215" s="564"/>
      <c r="T215" s="564"/>
      <c r="U215" s="548"/>
      <c r="V215" s="538"/>
      <c r="W215" s="541"/>
      <c r="X215" s="542"/>
      <c r="Z215" s="738"/>
    </row>
    <row r="216" spans="1:32" ht="12.95" thickBot="1">
      <c r="A216" s="6">
        <f>MAX(A$162:A215)+1</f>
        <v>99</v>
      </c>
      <c r="B216" s="58"/>
      <c r="C216" s="10" t="s">
        <v>298</v>
      </c>
      <c r="D216" s="58"/>
      <c r="E216" s="30"/>
      <c r="F216" s="58"/>
      <c r="G216" s="589">
        <f>G205</f>
        <v>15713.662</v>
      </c>
      <c r="H216" s="58"/>
      <c r="I216" s="572">
        <f>J216/G216*100</f>
        <v>10.230643826929905</v>
      </c>
      <c r="J216" s="627">
        <f>J205+J207+J212+J214</f>
        <v>1607.6087913876304</v>
      </c>
      <c r="K216" s="539"/>
      <c r="L216" s="628">
        <f>L205+L207+L212+L214</f>
        <v>1207.1106419743426</v>
      </c>
      <c r="M216" s="628">
        <f t="shared" ref="M216" si="70">M205+M207+M212+M214</f>
        <v>23.910450696564268</v>
      </c>
      <c r="N216" s="628">
        <f>N205+N207+N212+N214</f>
        <v>698.08225079226168</v>
      </c>
      <c r="O216" s="539"/>
      <c r="P216" s="628">
        <f>P205+P207+P212+P214</f>
        <v>19.075297531052627</v>
      </c>
      <c r="Q216" s="628">
        <f t="shared" ref="Q216:R216" si="71">Q205+Q207+Q212+Q214</f>
        <v>319.36496185339922</v>
      </c>
      <c r="R216" s="628">
        <f t="shared" si="71"/>
        <v>23.82768445233804</v>
      </c>
      <c r="S216" s="564"/>
      <c r="T216" s="628">
        <f>T205+T207+T212+T214</f>
        <v>1060.3501946290514</v>
      </c>
      <c r="U216" s="590">
        <f>T216/G216*100</f>
        <v>6.7479508890356144</v>
      </c>
      <c r="V216" s="628">
        <f>V205+V207+V212+V214</f>
        <v>-547.25859675857862</v>
      </c>
      <c r="W216" s="602">
        <f>U216/I216-1</f>
        <v>-0.34041776811024071</v>
      </c>
      <c r="X216" s="559"/>
      <c r="Z216" s="738"/>
      <c r="AB216" s="738"/>
      <c r="AD216" s="738"/>
      <c r="AF216" s="744"/>
    </row>
    <row r="217" spans="1:32" ht="12.95" thickTop="1">
      <c r="L217" s="2"/>
      <c r="M217" s="2"/>
      <c r="N217" s="501"/>
      <c r="Q217" s="501"/>
      <c r="R217" s="501"/>
      <c r="U217" s="632"/>
      <c r="V217" s="534"/>
      <c r="W217" s="501"/>
      <c r="Z217" s="738"/>
      <c r="AB217" s="738"/>
      <c r="AD217" s="738"/>
      <c r="AF217" s="744"/>
    </row>
    <row r="218" spans="1:32">
      <c r="L218" s="2"/>
      <c r="M218" s="2"/>
      <c r="N218" s="501"/>
      <c r="Q218" s="501"/>
      <c r="R218" s="501"/>
      <c r="V218" s="534"/>
      <c r="W218" s="501"/>
      <c r="Z218" s="738"/>
      <c r="AB218" s="738"/>
      <c r="AD218" s="738"/>
      <c r="AF218" s="744"/>
    </row>
    <row r="219" spans="1:32">
      <c r="L219" s="2"/>
      <c r="M219" s="2"/>
      <c r="N219" s="501"/>
      <c r="Q219" s="501"/>
      <c r="R219" s="501"/>
      <c r="V219" s="501"/>
      <c r="W219" s="501"/>
      <c r="Z219" s="738"/>
      <c r="AB219" s="738"/>
      <c r="AD219" s="738"/>
      <c r="AF219" s="744"/>
    </row>
    <row r="220" spans="1:32">
      <c r="L220" s="2"/>
      <c r="M220" s="2"/>
      <c r="N220" s="501"/>
      <c r="Q220" s="501"/>
      <c r="R220" s="501"/>
      <c r="V220" s="501"/>
      <c r="W220" s="501"/>
      <c r="X220" s="531"/>
      <c r="Z220" s="738"/>
      <c r="AB220" s="738"/>
      <c r="AD220" s="738"/>
      <c r="AF220" s="744"/>
    </row>
    <row r="221" spans="1:32">
      <c r="A221" s="1156" t="s">
        <v>279</v>
      </c>
      <c r="B221" s="1156"/>
      <c r="C221" s="1156"/>
      <c r="D221" s="1156"/>
      <c r="E221" s="1156"/>
      <c r="F221" s="1156"/>
      <c r="G221" s="1156"/>
      <c r="H221" s="1156"/>
      <c r="I221" s="1156"/>
      <c r="J221" s="1156"/>
      <c r="K221" s="1156"/>
      <c r="L221" s="1156"/>
      <c r="M221" s="1156"/>
      <c r="N221" s="1156"/>
      <c r="O221" s="1156"/>
      <c r="P221" s="1156"/>
      <c r="Q221" s="1156"/>
      <c r="R221" s="1156"/>
      <c r="S221" s="1156"/>
      <c r="T221" s="1156"/>
      <c r="U221" s="1156"/>
      <c r="V221" s="1156"/>
      <c r="W221" s="1156"/>
      <c r="X221" s="737"/>
      <c r="Y221" s="737"/>
      <c r="Z221" s="738"/>
      <c r="AB221" s="738"/>
      <c r="AD221" s="738"/>
      <c r="AF221" s="744"/>
    </row>
    <row r="222" spans="1:32">
      <c r="A222" s="1156" t="s">
        <v>478</v>
      </c>
      <c r="B222" s="1156"/>
      <c r="C222" s="1156"/>
      <c r="D222" s="1156"/>
      <c r="E222" s="1156"/>
      <c r="F222" s="1156"/>
      <c r="G222" s="1156"/>
      <c r="H222" s="1156"/>
      <c r="I222" s="1156"/>
      <c r="J222" s="1156"/>
      <c r="K222" s="1156"/>
      <c r="L222" s="1156"/>
      <c r="M222" s="1156"/>
      <c r="N222" s="1156"/>
      <c r="O222" s="1156"/>
      <c r="P222" s="1156"/>
      <c r="Q222" s="1156"/>
      <c r="R222" s="1156"/>
      <c r="S222" s="1156"/>
      <c r="T222" s="1156"/>
      <c r="U222" s="1156"/>
      <c r="V222" s="1156"/>
      <c r="W222" s="1156"/>
      <c r="Z222" s="738"/>
      <c r="AB222" s="738"/>
      <c r="AD222" s="738"/>
      <c r="AF222" s="744"/>
    </row>
    <row r="223" spans="1:32">
      <c r="A223" s="57"/>
      <c r="B223" s="57"/>
      <c r="C223" s="57"/>
      <c r="D223" s="57"/>
      <c r="E223" s="3"/>
      <c r="F223" s="57"/>
      <c r="G223" s="3"/>
      <c r="H223" s="57"/>
      <c r="I223" s="57"/>
      <c r="J223" s="57"/>
      <c r="K223" s="57"/>
      <c r="L223" s="57"/>
      <c r="M223" s="57"/>
      <c r="N223" s="501"/>
      <c r="O223" s="57"/>
      <c r="P223" s="57"/>
      <c r="Q223" s="501"/>
      <c r="R223" s="501"/>
      <c r="S223" s="57"/>
      <c r="T223" s="57"/>
      <c r="U223" s="57"/>
      <c r="V223" s="501"/>
      <c r="W223" s="501"/>
      <c r="X223" s="6"/>
      <c r="Z223" s="738"/>
      <c r="AB223" s="738"/>
      <c r="AD223" s="738"/>
      <c r="AF223" s="744"/>
    </row>
    <row r="224" spans="1:32" ht="26.65" customHeight="1">
      <c r="A224" s="3"/>
      <c r="B224" s="3"/>
      <c r="C224" s="3"/>
      <c r="D224" s="3"/>
      <c r="E224" s="57"/>
      <c r="F224" s="1152" t="s">
        <v>231</v>
      </c>
      <c r="G224" s="1152"/>
      <c r="H224" s="1152"/>
      <c r="I224" s="1152"/>
      <c r="J224" s="1152"/>
      <c r="K224" s="3"/>
      <c r="L224" s="1157" t="s">
        <v>94</v>
      </c>
      <c r="M224" s="1157"/>
      <c r="N224" s="58"/>
      <c r="O224" s="3"/>
      <c r="P224" s="59"/>
      <c r="Q224" s="1157" t="s">
        <v>95</v>
      </c>
      <c r="R224" s="1157"/>
      <c r="S224" s="3"/>
      <c r="T224" s="1152" t="s">
        <v>472</v>
      </c>
      <c r="U224" s="1152"/>
      <c r="V224" s="1152"/>
      <c r="W224" s="1152"/>
      <c r="X224" s="5"/>
      <c r="Z224" s="738"/>
      <c r="AB224" s="738"/>
      <c r="AD224" s="738"/>
      <c r="AF224" s="744"/>
    </row>
    <row r="225" spans="1:32" ht="37.5">
      <c r="A225" s="5" t="s">
        <v>56</v>
      </c>
      <c r="B225" s="5"/>
      <c r="C225" s="5"/>
      <c r="D225" s="5"/>
      <c r="E225" s="6" t="s">
        <v>233</v>
      </c>
      <c r="F225" s="5"/>
      <c r="G225" s="17" t="s">
        <v>234</v>
      </c>
      <c r="H225" s="5"/>
      <c r="I225" s="17" t="s">
        <v>235</v>
      </c>
      <c r="J225" s="17" t="s">
        <v>101</v>
      </c>
      <c r="K225" s="5"/>
      <c r="L225" s="17" t="s">
        <v>106</v>
      </c>
      <c r="M225" s="17" t="s">
        <v>236</v>
      </c>
      <c r="N225" s="5" t="s">
        <v>239</v>
      </c>
      <c r="O225" s="5"/>
      <c r="P225" s="5" t="s">
        <v>240</v>
      </c>
      <c r="Q225" s="17" t="s">
        <v>106</v>
      </c>
      <c r="R225" s="17" t="s">
        <v>236</v>
      </c>
      <c r="S225" s="5"/>
      <c r="T225" s="17" t="s">
        <v>241</v>
      </c>
      <c r="U225" s="17" t="s">
        <v>242</v>
      </c>
      <c r="V225" s="17" t="s">
        <v>243</v>
      </c>
      <c r="W225" s="5" t="s">
        <v>244</v>
      </c>
      <c r="X225" s="6"/>
      <c r="Z225" s="738"/>
      <c r="AB225" s="738"/>
      <c r="AD225" s="738"/>
      <c r="AF225" s="744"/>
    </row>
    <row r="226" spans="1:32" ht="14.45">
      <c r="A226" s="237" t="s">
        <v>57</v>
      </c>
      <c r="B226" s="58"/>
      <c r="C226" s="59" t="s">
        <v>194</v>
      </c>
      <c r="D226" s="58"/>
      <c r="E226" s="237" t="s">
        <v>245</v>
      </c>
      <c r="F226" s="58"/>
      <c r="G226" s="237" t="s">
        <v>246</v>
      </c>
      <c r="H226" s="58"/>
      <c r="I226" s="237" t="s">
        <v>247</v>
      </c>
      <c r="J226" s="237" t="s">
        <v>248</v>
      </c>
      <c r="K226" s="58"/>
      <c r="L226" s="237" t="s">
        <v>248</v>
      </c>
      <c r="M226" s="237" t="s">
        <v>248</v>
      </c>
      <c r="N226" s="237" t="s">
        <v>248</v>
      </c>
      <c r="O226" s="58"/>
      <c r="P226" s="237" t="s">
        <v>248</v>
      </c>
      <c r="Q226" s="237" t="s">
        <v>248</v>
      </c>
      <c r="R226" s="237" t="s">
        <v>248</v>
      </c>
      <c r="S226" s="58"/>
      <c r="T226" s="237" t="s">
        <v>248</v>
      </c>
      <c r="U226" s="237" t="s">
        <v>247</v>
      </c>
      <c r="V226" s="237" t="s">
        <v>248</v>
      </c>
      <c r="W226" s="237" t="s">
        <v>249</v>
      </c>
      <c r="X226" s="6"/>
      <c r="Z226" s="738"/>
      <c r="AB226" s="738"/>
      <c r="AD226" s="738"/>
      <c r="AF226" s="744"/>
    </row>
    <row r="227" spans="1:32">
      <c r="A227" s="6"/>
      <c r="B227" s="58"/>
      <c r="C227" s="58"/>
      <c r="D227" s="58"/>
      <c r="E227" s="6"/>
      <c r="F227" s="58"/>
      <c r="G227" s="6" t="s">
        <v>9</v>
      </c>
      <c r="H227" s="6"/>
      <c r="I227" s="6" t="s">
        <v>10</v>
      </c>
      <c r="J227" s="6" t="s">
        <v>58</v>
      </c>
      <c r="K227" s="6"/>
      <c r="L227" s="123" t="s">
        <v>12</v>
      </c>
      <c r="M227" s="123" t="s">
        <v>13</v>
      </c>
      <c r="N227" s="6" t="s">
        <v>473</v>
      </c>
      <c r="O227" s="6"/>
      <c r="P227" s="6" t="s">
        <v>474</v>
      </c>
      <c r="Q227" s="6" t="s">
        <v>210</v>
      </c>
      <c r="R227" s="6" t="s">
        <v>118</v>
      </c>
      <c r="S227" s="6"/>
      <c r="T227" s="6" t="s">
        <v>475</v>
      </c>
      <c r="U227" s="6" t="s">
        <v>120</v>
      </c>
      <c r="V227" s="6" t="s">
        <v>476</v>
      </c>
      <c r="W227" s="6" t="s">
        <v>477</v>
      </c>
      <c r="X227" s="542"/>
      <c r="Z227" s="738"/>
      <c r="AB227" s="738"/>
      <c r="AD227" s="738"/>
      <c r="AF227" s="744"/>
    </row>
    <row r="228" spans="1:32">
      <c r="A228" s="6"/>
      <c r="B228" s="58"/>
      <c r="C228" s="521"/>
      <c r="D228" s="58"/>
      <c r="E228" s="30"/>
      <c r="F228" s="58"/>
      <c r="G228" s="29"/>
      <c r="H228" s="58"/>
      <c r="I228" s="58"/>
      <c r="J228" s="58"/>
      <c r="K228" s="58"/>
      <c r="L228" s="501"/>
      <c r="M228" s="501"/>
      <c r="N228" s="501"/>
      <c r="O228" s="58"/>
      <c r="P228" s="58"/>
      <c r="Q228" s="501"/>
      <c r="R228" s="501"/>
      <c r="S228" s="58"/>
      <c r="T228" s="58"/>
      <c r="U228" s="58"/>
      <c r="V228" s="501"/>
      <c r="W228" s="501"/>
      <c r="Z228" s="738"/>
    </row>
    <row r="229" spans="1:32">
      <c r="A229" s="6"/>
      <c r="B229" s="58"/>
      <c r="C229" s="9" t="s">
        <v>135</v>
      </c>
      <c r="D229" s="58"/>
      <c r="E229" s="30"/>
      <c r="F229" s="58"/>
      <c r="G229" s="29"/>
      <c r="H229" s="58"/>
      <c r="I229" s="58"/>
      <c r="J229" s="58"/>
      <c r="K229" s="58"/>
      <c r="L229" s="501"/>
      <c r="M229" s="501"/>
      <c r="N229" s="501"/>
      <c r="O229" s="58"/>
      <c r="P229" s="58"/>
      <c r="Q229" s="501"/>
      <c r="R229" s="501"/>
      <c r="S229" s="58"/>
      <c r="T229" s="58"/>
      <c r="U229" s="58"/>
      <c r="V229" s="501"/>
      <c r="W229" s="501"/>
    </row>
    <row r="230" spans="1:32">
      <c r="A230" s="6">
        <v>100</v>
      </c>
      <c r="B230" s="58"/>
      <c r="C230" s="10" t="s">
        <v>258</v>
      </c>
      <c r="D230" s="58"/>
      <c r="E230" s="30" t="s">
        <v>259</v>
      </c>
      <c r="F230" s="58"/>
      <c r="G230" s="29">
        <v>264</v>
      </c>
      <c r="I230" s="537">
        <v>305.5481997087212</v>
      </c>
      <c r="J230" s="567">
        <f>G230*I230/1000</f>
        <v>80.664724723102395</v>
      </c>
      <c r="L230" s="538">
        <v>0</v>
      </c>
      <c r="M230" s="538">
        <v>0</v>
      </c>
      <c r="N230" s="64">
        <f>J230-L230-M230</f>
        <v>80.664724723102395</v>
      </c>
      <c r="O230" s="64"/>
      <c r="P230" s="29">
        <v>2.2041867166904012</v>
      </c>
      <c r="Q230" s="538">
        <v>0</v>
      </c>
      <c r="R230" s="538">
        <v>0</v>
      </c>
      <c r="S230" s="64"/>
      <c r="T230" s="64">
        <f>N230+P230+Q230+R230</f>
        <v>82.868911439792797</v>
      </c>
      <c r="U230" s="631">
        <f>T230/G230*1000</f>
        <v>313.89739181739697</v>
      </c>
      <c r="V230" s="538">
        <f>T230-J230</f>
        <v>2.2041867166904012</v>
      </c>
      <c r="W230" s="541">
        <f>U230/I230-1</f>
        <v>2.7325286539521487E-2</v>
      </c>
      <c r="X230" s="542"/>
      <c r="Z230" s="738"/>
      <c r="AB230" s="738"/>
      <c r="AD230" s="738"/>
      <c r="AF230" s="739"/>
    </row>
    <row r="231" spans="1:32">
      <c r="A231" s="6">
        <f>MAX(A$229:A230)+1</f>
        <v>101</v>
      </c>
      <c r="B231" s="58"/>
      <c r="C231" s="521" t="s">
        <v>280</v>
      </c>
      <c r="D231" s="58"/>
      <c r="E231" s="30" t="s">
        <v>281</v>
      </c>
      <c r="F231" s="58"/>
      <c r="G231" s="29">
        <v>30927.768</v>
      </c>
      <c r="H231" s="58"/>
      <c r="I231" s="547">
        <v>4.4945119394531865</v>
      </c>
      <c r="J231" s="539">
        <f>G231*I231/100</f>
        <v>1390.0522253663821</v>
      </c>
      <c r="K231" s="58"/>
      <c r="L231" s="538">
        <v>0</v>
      </c>
      <c r="M231" s="538">
        <v>0</v>
      </c>
      <c r="N231" s="64">
        <f t="shared" ref="N231" si="72">J231-L231-M231</f>
        <v>1390.0522253663821</v>
      </c>
      <c r="O231" s="564"/>
      <c r="P231" s="29">
        <v>37.983575363035925</v>
      </c>
      <c r="Q231" s="538">
        <v>0</v>
      </c>
      <c r="R231" s="538">
        <v>0</v>
      </c>
      <c r="S231" s="564"/>
      <c r="T231" s="64">
        <f t="shared" ref="T231:T234" si="73">N231+P231+Q231+R231</f>
        <v>1428.035800729418</v>
      </c>
      <c r="U231" s="565">
        <f>T231/G231*100</f>
        <v>4.6173257660540461</v>
      </c>
      <c r="V231" s="538">
        <f>T231-J231</f>
        <v>37.983575363035925</v>
      </c>
      <c r="W231" s="541">
        <f>U231/I231-1</f>
        <v>2.7325286539521709E-2</v>
      </c>
      <c r="X231" s="542"/>
      <c r="Z231" s="738"/>
      <c r="AB231" s="738"/>
      <c r="AD231" s="738"/>
      <c r="AF231" s="744"/>
    </row>
    <row r="232" spans="1:32">
      <c r="A232" s="6"/>
      <c r="B232" s="58"/>
      <c r="C232" s="521" t="s">
        <v>260</v>
      </c>
      <c r="D232" s="58"/>
      <c r="E232" s="30"/>
      <c r="F232" s="58"/>
      <c r="G232" s="29"/>
      <c r="H232" s="58"/>
      <c r="I232" s="58"/>
      <c r="J232" s="539"/>
      <c r="K232" s="58"/>
      <c r="L232" s="501"/>
      <c r="M232" s="501"/>
      <c r="N232" s="64"/>
      <c r="O232" s="58"/>
      <c r="P232" s="58"/>
      <c r="Q232" s="501"/>
      <c r="R232" s="501"/>
      <c r="S232" s="58"/>
      <c r="T232" s="64"/>
      <c r="U232" s="565"/>
      <c r="V232" s="538"/>
      <c r="W232" s="541"/>
      <c r="X232" s="542"/>
      <c r="Z232" s="738"/>
      <c r="AB232" s="738"/>
      <c r="AD232" s="738"/>
    </row>
    <row r="233" spans="1:32">
      <c r="A233" s="6">
        <f>MAX(A$229:A232)+1</f>
        <v>102</v>
      </c>
      <c r="B233" s="58"/>
      <c r="C233" s="12" t="s">
        <v>283</v>
      </c>
      <c r="D233" s="58"/>
      <c r="E233" s="30" t="s">
        <v>262</v>
      </c>
      <c r="F233" s="58"/>
      <c r="G233" s="29">
        <v>183923.41800000001</v>
      </c>
      <c r="H233" s="58"/>
      <c r="I233" s="547">
        <v>0.28811366369756686</v>
      </c>
      <c r="J233" s="539">
        <f t="shared" ref="J233:J234" si="74">G233*I233/100</f>
        <v>529.90849799759019</v>
      </c>
      <c r="K233" s="58"/>
      <c r="L233" s="29">
        <v>1347.3118645257566</v>
      </c>
      <c r="M233" s="29">
        <v>0</v>
      </c>
      <c r="N233" s="64">
        <v>0</v>
      </c>
      <c r="O233" s="564"/>
      <c r="P233" s="29">
        <v>0</v>
      </c>
      <c r="Q233" s="29">
        <v>208.96896806109086</v>
      </c>
      <c r="R233" s="538">
        <v>0</v>
      </c>
      <c r="S233" s="564"/>
      <c r="T233" s="64">
        <f t="shared" si="73"/>
        <v>208.96896806109086</v>
      </c>
      <c r="U233" s="565">
        <f>T233/G233*100</f>
        <v>0.11361737963193511</v>
      </c>
      <c r="V233" s="538">
        <f>T233-J233</f>
        <v>-320.9395299364993</v>
      </c>
      <c r="W233" s="559"/>
      <c r="X233" s="559"/>
      <c r="Z233" s="738"/>
      <c r="AB233" s="747"/>
      <c r="AD233" s="747"/>
      <c r="AF233" s="744"/>
    </row>
    <row r="234" spans="1:32">
      <c r="A234" s="6">
        <f>MAX(A$229:A233)+1</f>
        <v>103</v>
      </c>
      <c r="B234" s="58"/>
      <c r="C234" s="12" t="s">
        <v>284</v>
      </c>
      <c r="D234" s="58"/>
      <c r="E234" s="30" t="s">
        <v>262</v>
      </c>
      <c r="F234" s="58"/>
      <c r="G234" s="29">
        <v>139330.31</v>
      </c>
      <c r="H234" s="58"/>
      <c r="I234" s="547">
        <v>8.4081147892736907E-2</v>
      </c>
      <c r="J234" s="539">
        <f t="shared" si="74"/>
        <v>117.1505240105088</v>
      </c>
      <c r="K234" s="58"/>
      <c r="L234" s="29">
        <v>1020.6496910091769</v>
      </c>
      <c r="M234" s="29">
        <v>0</v>
      </c>
      <c r="N234" s="64">
        <v>0</v>
      </c>
      <c r="O234" s="564"/>
      <c r="P234" s="29">
        <v>0</v>
      </c>
      <c r="Q234" s="29">
        <v>158.30344725505202</v>
      </c>
      <c r="R234" s="538">
        <v>0</v>
      </c>
      <c r="S234" s="564"/>
      <c r="T234" s="64">
        <f t="shared" si="73"/>
        <v>158.30344725505202</v>
      </c>
      <c r="U234" s="565">
        <f>T234/G234*100</f>
        <v>0.11361737963193508</v>
      </c>
      <c r="V234" s="538">
        <f>T234-J234</f>
        <v>41.152923244543217</v>
      </c>
      <c r="W234" s="559"/>
      <c r="X234" s="559"/>
      <c r="Z234" s="738"/>
      <c r="AB234" s="747"/>
      <c r="AD234" s="747"/>
      <c r="AF234" s="744"/>
    </row>
    <row r="235" spans="1:32">
      <c r="A235" s="6">
        <f>MAX(A$229:A234)+1</f>
        <v>104</v>
      </c>
      <c r="B235" s="58"/>
      <c r="C235" s="521" t="s">
        <v>260</v>
      </c>
      <c r="D235" s="58"/>
      <c r="E235" s="30" t="s">
        <v>262</v>
      </c>
      <c r="F235" s="58"/>
      <c r="G235" s="131">
        <f>SUM(G233:G234)</f>
        <v>323253.728</v>
      </c>
      <c r="H235" s="58"/>
      <c r="I235" s="556">
        <f>J235/G235*100</f>
        <v>0.20017062943450381</v>
      </c>
      <c r="J235" s="554">
        <f>SUM(J233:J234)</f>
        <v>647.05902200809896</v>
      </c>
      <c r="K235" s="58"/>
      <c r="L235" s="555">
        <f>SUM(L233:L234)</f>
        <v>2367.9615555349337</v>
      </c>
      <c r="M235" s="555">
        <f t="shared" ref="M235:N235" si="75">SUM(M233:M234)</f>
        <v>0</v>
      </c>
      <c r="N235" s="555">
        <f t="shared" si="75"/>
        <v>0</v>
      </c>
      <c r="O235" s="538"/>
      <c r="P235" s="555">
        <f t="shared" ref="P235:R235" si="76">SUM(P233:P234)</f>
        <v>0</v>
      </c>
      <c r="Q235" s="555">
        <f t="shared" si="76"/>
        <v>367.27241531614288</v>
      </c>
      <c r="R235" s="555">
        <f t="shared" si="76"/>
        <v>0</v>
      </c>
      <c r="S235" s="564"/>
      <c r="T235" s="619">
        <f>SUM(T233:T234)</f>
        <v>367.27241531614288</v>
      </c>
      <c r="U235" s="639">
        <f>T235/G235*100</f>
        <v>0.11361737963193511</v>
      </c>
      <c r="V235" s="555">
        <f>SUM(V233:V234)</f>
        <v>-279.78660669195608</v>
      </c>
      <c r="W235" s="558">
        <f>U235/I235-1</f>
        <v>-0.43239735043591443</v>
      </c>
      <c r="X235" s="559"/>
      <c r="Z235" s="738"/>
      <c r="AB235" s="747"/>
      <c r="AD235" s="747"/>
      <c r="AF235" s="744"/>
    </row>
    <row r="236" spans="1:32">
      <c r="A236" s="6"/>
      <c r="B236" s="58"/>
      <c r="C236" s="10"/>
      <c r="D236" s="58"/>
      <c r="E236" s="30"/>
      <c r="F236" s="58"/>
      <c r="G236" s="29"/>
      <c r="H236" s="58"/>
      <c r="I236" s="58"/>
      <c r="J236" s="58"/>
      <c r="K236" s="58"/>
      <c r="L236" s="501"/>
      <c r="M236" s="501"/>
      <c r="N236" s="501"/>
      <c r="O236" s="58"/>
      <c r="P236" s="58"/>
      <c r="Q236" s="501"/>
      <c r="R236" s="501"/>
      <c r="S236" s="58"/>
      <c r="T236" s="58"/>
      <c r="U236" s="58"/>
      <c r="V236" s="501"/>
      <c r="W236" s="501"/>
      <c r="Z236" s="738"/>
      <c r="AB236" s="738"/>
      <c r="AD236" s="738"/>
      <c r="AF236" s="744"/>
    </row>
    <row r="237" spans="1:32">
      <c r="A237" s="6">
        <f>MAX(A$229:A236)+1</f>
        <v>105</v>
      </c>
      <c r="B237" s="58"/>
      <c r="C237" s="10" t="s">
        <v>294</v>
      </c>
      <c r="D237" s="58"/>
      <c r="E237" s="30"/>
      <c r="F237" s="58"/>
      <c r="G237" s="29">
        <v>3542.5066082191779</v>
      </c>
      <c r="H237" s="58"/>
      <c r="I237" s="29">
        <v>0</v>
      </c>
      <c r="J237" s="564">
        <v>0</v>
      </c>
      <c r="K237" s="58"/>
      <c r="L237" s="538">
        <v>0</v>
      </c>
      <c r="M237" s="538">
        <v>0</v>
      </c>
      <c r="N237" s="538">
        <f>J237-L237-M237</f>
        <v>0</v>
      </c>
      <c r="O237" s="564"/>
      <c r="P237" s="564">
        <v>0</v>
      </c>
      <c r="Q237" s="538">
        <v>0</v>
      </c>
      <c r="R237" s="538">
        <v>0</v>
      </c>
      <c r="S237" s="564"/>
      <c r="T237" s="564">
        <f>N237+P237+Q237+R237</f>
        <v>0</v>
      </c>
      <c r="U237" s="538">
        <v>0</v>
      </c>
      <c r="V237" s="538">
        <v>0</v>
      </c>
      <c r="W237" s="538"/>
      <c r="X237" s="563"/>
      <c r="Z237" s="738"/>
      <c r="AB237" s="738"/>
      <c r="AD237" s="738"/>
      <c r="AF237" s="744"/>
    </row>
    <row r="238" spans="1:32">
      <c r="A238" s="6"/>
      <c r="B238" s="58"/>
      <c r="C238" s="10"/>
      <c r="D238" s="58"/>
      <c r="E238" s="30"/>
      <c r="F238" s="58"/>
      <c r="G238" s="132"/>
      <c r="H238" s="58"/>
      <c r="I238" s="58"/>
      <c r="J238" s="58"/>
      <c r="K238" s="58"/>
      <c r="L238" s="622"/>
      <c r="M238" s="622"/>
      <c r="N238" s="622"/>
      <c r="O238" s="58"/>
      <c r="P238" s="640"/>
      <c r="Q238" s="622"/>
      <c r="R238" s="622"/>
      <c r="S238" s="58"/>
      <c r="T238" s="58"/>
      <c r="U238" s="58"/>
      <c r="V238" s="501"/>
      <c r="W238" s="501"/>
      <c r="Z238" s="738"/>
      <c r="AB238" s="738"/>
      <c r="AD238" s="738"/>
      <c r="AF238" s="744"/>
    </row>
    <row r="239" spans="1:32">
      <c r="A239" s="6">
        <f>MAX(A$229:A238)+1</f>
        <v>106</v>
      </c>
      <c r="B239" s="58"/>
      <c r="C239" s="10" t="s">
        <v>266</v>
      </c>
      <c r="D239" s="58"/>
      <c r="E239" s="30"/>
      <c r="F239" s="58"/>
      <c r="G239" s="131">
        <f>G235</f>
        <v>323253.728</v>
      </c>
      <c r="H239" s="3"/>
      <c r="I239" s="641">
        <f>J239/G239*100</f>
        <v>0.65514355710619476</v>
      </c>
      <c r="J239" s="636">
        <f>J230+J231+J235+J237</f>
        <v>2117.7759720975837</v>
      </c>
      <c r="K239" s="642"/>
      <c r="L239" s="636">
        <f t="shared" ref="L239" si="77">L230+L231+L235+L237</f>
        <v>2367.9615555349337</v>
      </c>
      <c r="M239" s="131">
        <f>M230+M231+M235+M237</f>
        <v>0</v>
      </c>
      <c r="N239" s="131">
        <f>N230+N231+N235+N237</f>
        <v>1470.7169500894845</v>
      </c>
      <c r="O239" s="642"/>
      <c r="P239" s="636">
        <f t="shared" ref="P239:T239" si="78">P230+P231+P235+P237</f>
        <v>40.187762079726326</v>
      </c>
      <c r="Q239" s="636">
        <f t="shared" si="78"/>
        <v>367.27241531614288</v>
      </c>
      <c r="R239" s="131">
        <f t="shared" si="78"/>
        <v>0</v>
      </c>
      <c r="S239" s="642"/>
      <c r="T239" s="636">
        <f t="shared" si="78"/>
        <v>1878.1771274853536</v>
      </c>
      <c r="U239" s="641">
        <f>T239/G239*100</f>
        <v>0.58102257291997994</v>
      </c>
      <c r="V239" s="636">
        <f>V230+V231+V235</f>
        <v>-239.59884461222975</v>
      </c>
      <c r="W239" s="558">
        <f>U239/I239-1</f>
        <v>-0.11313701154844791</v>
      </c>
      <c r="X239" s="559"/>
      <c r="Z239" s="738"/>
      <c r="AB239" s="738"/>
      <c r="AD239" s="738"/>
      <c r="AF239" s="744"/>
    </row>
    <row r="240" spans="1:32">
      <c r="A240" s="6"/>
      <c r="B240" s="58"/>
      <c r="C240" s="10"/>
      <c r="D240" s="58"/>
      <c r="E240" s="30"/>
      <c r="F240" s="58"/>
      <c r="G240" s="29"/>
      <c r="H240" s="58"/>
      <c r="I240" s="58"/>
      <c r="J240" s="58"/>
      <c r="K240" s="58"/>
      <c r="L240" s="501"/>
      <c r="M240" s="538"/>
      <c r="N240" s="501"/>
      <c r="O240" s="58"/>
      <c r="P240" s="640"/>
      <c r="Q240" s="622"/>
      <c r="R240" s="622"/>
      <c r="S240" s="58"/>
      <c r="T240" s="58"/>
      <c r="U240" s="58"/>
      <c r="V240" s="501"/>
      <c r="W240" s="501"/>
      <c r="Z240" s="738"/>
      <c r="AB240" s="738"/>
      <c r="AD240" s="738"/>
      <c r="AF240" s="744"/>
    </row>
    <row r="241" spans="1:32">
      <c r="A241" s="6">
        <f>MAX(A$229:A240)+1</f>
        <v>107</v>
      </c>
      <c r="B241" s="58"/>
      <c r="C241" s="12" t="s">
        <v>267</v>
      </c>
      <c r="D241" s="58"/>
      <c r="E241" s="574" t="s">
        <v>262</v>
      </c>
      <c r="F241" s="58"/>
      <c r="G241" s="29">
        <v>323253.728</v>
      </c>
      <c r="H241" s="58"/>
      <c r="I241" s="547">
        <v>0.13843755465273466</v>
      </c>
      <c r="J241" s="539">
        <f>G241*I241/100</f>
        <v>447.50455636700224</v>
      </c>
      <c r="K241" s="58"/>
      <c r="L241" s="538">
        <v>0</v>
      </c>
      <c r="M241" s="643">
        <v>215.84879949943192</v>
      </c>
      <c r="N241" s="622">
        <f>J241-L241-M241</f>
        <v>231.65575686757032</v>
      </c>
      <c r="O241" s="640"/>
      <c r="P241" s="29">
        <v>6.330059934936088</v>
      </c>
      <c r="Q241" s="538">
        <v>0</v>
      </c>
      <c r="R241" s="29">
        <v>215.10163690170319</v>
      </c>
      <c r="S241" s="58"/>
      <c r="T241" s="640">
        <f>N241+P241+Q241+R241</f>
        <v>453.08745370420957</v>
      </c>
      <c r="U241" s="565">
        <f>T241/G241*100</f>
        <v>0.1401646491465087</v>
      </c>
      <c r="V241" s="549">
        <f>T241-J241</f>
        <v>5.5828973372073278</v>
      </c>
      <c r="W241" s="559">
        <f>U241/I241-1</f>
        <v>1.2475621214968591E-2</v>
      </c>
      <c r="X241" s="559"/>
      <c r="Z241" s="738"/>
      <c r="AB241" s="738"/>
      <c r="AD241" s="738"/>
      <c r="AF241" s="744"/>
    </row>
    <row r="242" spans="1:32">
      <c r="A242" s="6"/>
      <c r="B242" s="58"/>
      <c r="C242" s="12"/>
      <c r="D242" s="58"/>
      <c r="E242" s="574"/>
      <c r="F242" s="58"/>
      <c r="G242" s="29"/>
      <c r="H242" s="58"/>
      <c r="I242" s="547"/>
      <c r="J242" s="539"/>
      <c r="K242" s="58"/>
      <c r="L242" s="538"/>
      <c r="M242" s="643"/>
      <c r="N242" s="622"/>
      <c r="O242" s="640"/>
      <c r="P242" s="29"/>
      <c r="Q242" s="538"/>
      <c r="R242" s="29"/>
      <c r="S242" s="58"/>
      <c r="T242" s="640"/>
      <c r="U242" s="548"/>
      <c r="V242" s="549"/>
      <c r="W242" s="559"/>
      <c r="X242" s="559"/>
      <c r="Z242" s="738"/>
      <c r="AB242" s="738"/>
      <c r="AD242" s="738"/>
      <c r="AF242" s="744"/>
    </row>
    <row r="243" spans="1:32">
      <c r="A243" s="6"/>
      <c r="B243" s="58"/>
      <c r="C243" s="10" t="s">
        <v>268</v>
      </c>
      <c r="D243" s="58"/>
      <c r="E243" s="574"/>
      <c r="F243" s="58"/>
      <c r="G243" s="29"/>
      <c r="H243" s="58"/>
      <c r="I243" s="547"/>
      <c r="J243" s="539"/>
      <c r="K243" s="58"/>
      <c r="L243" s="538"/>
      <c r="M243" s="643"/>
      <c r="N243" s="622"/>
      <c r="O243" s="640"/>
      <c r="P243" s="29"/>
      <c r="Q243" s="538"/>
      <c r="R243" s="29"/>
      <c r="S243" s="58"/>
      <c r="T243" s="640"/>
      <c r="U243" s="548"/>
      <c r="V243" s="549"/>
      <c r="W243" s="559"/>
      <c r="X243" s="559"/>
      <c r="Z243" s="738"/>
      <c r="AB243" s="738"/>
      <c r="AD243" s="738"/>
      <c r="AF243" s="744"/>
    </row>
    <row r="244" spans="1:32">
      <c r="A244" s="6">
        <f>MAX(A$229:A243)+1</f>
        <v>108</v>
      </c>
      <c r="B244" s="58"/>
      <c r="C244" s="12" t="s">
        <v>268</v>
      </c>
      <c r="D244" s="58"/>
      <c r="E244" s="574" t="s">
        <v>262</v>
      </c>
      <c r="F244" s="58"/>
      <c r="G244" s="29">
        <v>5360.2020000000002</v>
      </c>
      <c r="H244" s="58"/>
      <c r="I244" s="547">
        <v>7.5253923919478383E-2</v>
      </c>
      <c r="J244" s="539">
        <f t="shared" ref="J244:J248" si="79">G244*I244/100</f>
        <v>4.0337623350103584</v>
      </c>
      <c r="K244" s="58"/>
      <c r="L244" s="538">
        <v>0</v>
      </c>
      <c r="M244" s="538">
        <v>0</v>
      </c>
      <c r="N244" s="622">
        <f t="shared" ref="N244:N245" si="80">J244-L244-M244</f>
        <v>4.0337623350103584</v>
      </c>
      <c r="O244" s="640"/>
      <c r="P244" s="29">
        <v>0.11022371163648703</v>
      </c>
      <c r="Q244" s="538">
        <v>0</v>
      </c>
      <c r="R244" s="538">
        <v>0</v>
      </c>
      <c r="S244" s="58"/>
      <c r="T244" s="640">
        <f t="shared" ref="T244:T245" si="81">N244+P244+Q244+R244</f>
        <v>4.1439860466468454</v>
      </c>
      <c r="U244" s="565">
        <f>T244/G244*100</f>
        <v>7.7310258953801461E-2</v>
      </c>
      <c r="V244" s="549">
        <f>T244-J244</f>
        <v>0.11022371163648703</v>
      </c>
      <c r="W244" s="541"/>
      <c r="X244" s="542"/>
      <c r="Z244" s="738"/>
      <c r="AB244" s="738"/>
      <c r="AD244" s="738"/>
      <c r="AF244" s="744"/>
    </row>
    <row r="245" spans="1:32">
      <c r="A245" s="6">
        <f>MAX(A$229:A244)+1</f>
        <v>109</v>
      </c>
      <c r="C245" s="12" t="s">
        <v>269</v>
      </c>
      <c r="E245" s="574" t="s">
        <v>262</v>
      </c>
      <c r="G245" s="29">
        <v>108433.382</v>
      </c>
      <c r="I245" s="547">
        <v>0.59779686360914319</v>
      </c>
      <c r="J245" s="539">
        <f t="shared" si="79"/>
        <v>648.21135670132117</v>
      </c>
      <c r="L245" s="538">
        <v>0</v>
      </c>
      <c r="M245" s="538">
        <v>0</v>
      </c>
      <c r="N245" s="622">
        <f t="shared" si="80"/>
        <v>648.21135670132117</v>
      </c>
      <c r="O245" s="644"/>
      <c r="P245" s="29">
        <v>17.712561060035569</v>
      </c>
      <c r="Q245" s="538">
        <v>0</v>
      </c>
      <c r="R245" s="538">
        <v>0</v>
      </c>
      <c r="T245" s="640">
        <f t="shared" si="81"/>
        <v>665.92391776135673</v>
      </c>
      <c r="U245" s="565">
        <f>T245/G245*100</f>
        <v>0.6141318341996902</v>
      </c>
      <c r="V245" s="549">
        <f>T245-J245</f>
        <v>17.712561060035569</v>
      </c>
      <c r="W245" s="541"/>
      <c r="X245" s="542"/>
      <c r="Z245" s="738"/>
      <c r="AB245" s="738"/>
      <c r="AD245" s="738"/>
      <c r="AF245" s="744"/>
    </row>
    <row r="246" spans="1:32">
      <c r="A246" s="6">
        <f>MAX(A$229:A245)+1</f>
        <v>110</v>
      </c>
      <c r="C246" s="10" t="s">
        <v>268</v>
      </c>
      <c r="E246" s="574"/>
      <c r="G246" s="411">
        <f>SUM(G244:G245)</f>
        <v>113793.584</v>
      </c>
      <c r="I246" s="566">
        <f>J246/G246*100</f>
        <v>0.57318268403984141</v>
      </c>
      <c r="J246" s="554">
        <f>SUM(J244:J245)</f>
        <v>652.24511903633152</v>
      </c>
      <c r="K246" s="539"/>
      <c r="L246" s="619">
        <f t="shared" ref="L246:W246" si="82">SUM(L244:L245)</f>
        <v>0</v>
      </c>
      <c r="M246" s="619">
        <f t="shared" si="82"/>
        <v>0</v>
      </c>
      <c r="N246" s="650">
        <f>SUM(N244:N245)</f>
        <v>652.24511903633152</v>
      </c>
      <c r="O246" s="539"/>
      <c r="P246" s="411">
        <f>SUM(P244:P245)</f>
        <v>17.822784771672055</v>
      </c>
      <c r="Q246" s="619">
        <f t="shared" si="82"/>
        <v>0</v>
      </c>
      <c r="R246" s="619">
        <f t="shared" si="82"/>
        <v>0</v>
      </c>
      <c r="S246" s="539"/>
      <c r="T246" s="645">
        <f>SUM(T244:T245)</f>
        <v>670.06790380800362</v>
      </c>
      <c r="U246" s="592">
        <f>T246/G246*100</f>
        <v>0.5888450651207221</v>
      </c>
      <c r="V246" s="645">
        <f>SUM(V244:V245)</f>
        <v>17.822784771672055</v>
      </c>
      <c r="W246" s="562">
        <f t="shared" si="82"/>
        <v>0</v>
      </c>
      <c r="X246" s="542"/>
      <c r="Z246" s="738"/>
      <c r="AB246" s="738"/>
      <c r="AD246" s="738"/>
      <c r="AF246" s="744"/>
    </row>
    <row r="247" spans="1:32">
      <c r="A247" s="6"/>
      <c r="B247" s="58"/>
      <c r="C247" s="10"/>
      <c r="D247" s="58"/>
      <c r="E247" s="30"/>
      <c r="F247" s="58"/>
      <c r="G247" s="29"/>
      <c r="H247" s="58"/>
      <c r="I247" s="547"/>
      <c r="J247" s="539"/>
      <c r="K247" s="58"/>
      <c r="L247" s="622"/>
      <c r="M247" s="622"/>
      <c r="N247" s="622"/>
      <c r="O247" s="640"/>
      <c r="P247" s="29"/>
      <c r="Q247" s="622"/>
      <c r="R247" s="622"/>
      <c r="S247" s="58"/>
      <c r="T247" s="640"/>
      <c r="U247" s="548"/>
      <c r="V247" s="534"/>
      <c r="W247" s="541"/>
      <c r="X247" s="542"/>
      <c r="Z247" s="738"/>
      <c r="AB247" s="738"/>
      <c r="AD247" s="738"/>
      <c r="AF247" s="744"/>
    </row>
    <row r="248" spans="1:32">
      <c r="A248" s="6">
        <f>MAX(A$229:A247)+1</f>
        <v>111</v>
      </c>
      <c r="B248" s="58"/>
      <c r="C248" s="10" t="s">
        <v>270</v>
      </c>
      <c r="D248" s="58"/>
      <c r="E248" s="574" t="s">
        <v>262</v>
      </c>
      <c r="F248" s="58"/>
      <c r="G248" s="29">
        <v>5360.2020000000002</v>
      </c>
      <c r="H248" s="58"/>
      <c r="I248" s="547">
        <v>4.6921377342116537E-2</v>
      </c>
      <c r="J248" s="539">
        <f t="shared" si="79"/>
        <v>2.5150806067196778</v>
      </c>
      <c r="K248" s="58"/>
      <c r="L248" s="538">
        <v>0</v>
      </c>
      <c r="M248" s="538">
        <v>0</v>
      </c>
      <c r="N248" s="622">
        <f>J248-L248-M248</f>
        <v>2.5150806067196778</v>
      </c>
      <c r="O248" s="640"/>
      <c r="P248" s="29">
        <v>6.8725298248608624E-2</v>
      </c>
      <c r="Q248" s="538">
        <v>0</v>
      </c>
      <c r="R248" s="538">
        <v>0</v>
      </c>
      <c r="S248" s="58"/>
      <c r="T248" s="640">
        <f>N248+P248+Q248+R248</f>
        <v>2.5838059049682864</v>
      </c>
      <c r="U248" s="565">
        <f>T248/G248*100</f>
        <v>4.8203517422818885E-2</v>
      </c>
      <c r="V248" s="549">
        <f>T248-J248</f>
        <v>6.8725298248608624E-2</v>
      </c>
      <c r="W248" s="541">
        <f>U248/I248-1</f>
        <v>2.7325286539521487E-2</v>
      </c>
      <c r="X248" s="542"/>
      <c r="Z248" s="738"/>
      <c r="AB248" s="738"/>
      <c r="AD248" s="738"/>
      <c r="AF248" s="744"/>
    </row>
    <row r="249" spans="1:32">
      <c r="A249" s="6"/>
      <c r="B249" s="58"/>
      <c r="C249" s="10"/>
      <c r="D249" s="58"/>
      <c r="E249" s="574"/>
      <c r="F249" s="58"/>
      <c r="G249" s="29"/>
      <c r="H249" s="58"/>
      <c r="I249" s="58"/>
      <c r="J249" s="539"/>
      <c r="K249" s="58"/>
      <c r="L249" s="622"/>
      <c r="M249" s="622"/>
      <c r="N249" s="622"/>
      <c r="O249" s="640"/>
      <c r="P249" s="640"/>
      <c r="Q249" s="622"/>
      <c r="R249" s="622"/>
      <c r="S249" s="58"/>
      <c r="T249" s="58"/>
      <c r="U249" s="548"/>
      <c r="V249" s="538"/>
      <c r="W249" s="541"/>
      <c r="X249" s="542"/>
      <c r="Z249" s="738"/>
      <c r="AB249" s="738"/>
      <c r="AD249" s="738"/>
    </row>
    <row r="250" spans="1:32" ht="12.95" thickBot="1">
      <c r="A250" s="6">
        <f>MAX(A$229:A249)+1</f>
        <v>112</v>
      </c>
      <c r="B250" s="58"/>
      <c r="C250" s="10" t="s">
        <v>299</v>
      </c>
      <c r="D250" s="58"/>
      <c r="E250" s="574"/>
      <c r="F250" s="58"/>
      <c r="G250" s="589">
        <f>G239</f>
        <v>323253.728</v>
      </c>
      <c r="H250" s="58"/>
      <c r="I250" s="572">
        <f>J250/G250*100</f>
        <v>0.99613413525972905</v>
      </c>
      <c r="J250" s="627">
        <f>J239+J241+J246+J248</f>
        <v>3220.0407281076368</v>
      </c>
      <c r="K250" s="539"/>
      <c r="L250" s="638">
        <f>L239+L241+L244+L245+L248</f>
        <v>2367.9615555349337</v>
      </c>
      <c r="M250" s="638">
        <f>M239+M241+M244+M245+M248</f>
        <v>215.84879949943192</v>
      </c>
      <c r="N250" s="638">
        <f>N239+N241+N244+N245+N248</f>
        <v>2357.1329066001058</v>
      </c>
      <c r="O250" s="621"/>
      <c r="P250" s="638">
        <f>P239+P241+P244+P245+P248</f>
        <v>64.40933208458307</v>
      </c>
      <c r="Q250" s="638">
        <f t="shared" ref="Q250:R250" si="83">Q239+Q241+Q244+Q245+Q248</f>
        <v>367.27241531614288</v>
      </c>
      <c r="R250" s="638">
        <f t="shared" si="83"/>
        <v>215.10163690170319</v>
      </c>
      <c r="S250" s="621"/>
      <c r="T250" s="638">
        <f>T239+T241+T246+T248</f>
        <v>3003.9162909025354</v>
      </c>
      <c r="U250" s="590">
        <f>T250/G250*100</f>
        <v>0.92927506497389423</v>
      </c>
      <c r="V250" s="638">
        <f>V239+V241+V246+V248</f>
        <v>-216.12443720510177</v>
      </c>
      <c r="W250" s="602">
        <f>U250/I250-1</f>
        <v>-6.7118541488794814E-2</v>
      </c>
      <c r="X250" s="559"/>
      <c r="Z250" s="738"/>
      <c r="AB250" s="738"/>
      <c r="AD250" s="738"/>
      <c r="AF250" s="744"/>
    </row>
    <row r="251" spans="1:32" ht="12.95" thickTop="1">
      <c r="A251" s="6"/>
      <c r="B251" s="58"/>
      <c r="C251" s="12"/>
      <c r="D251" s="58"/>
      <c r="E251" s="574"/>
      <c r="F251" s="58"/>
      <c r="G251" s="29"/>
      <c r="H251" s="58"/>
      <c r="I251" s="58"/>
      <c r="J251" s="58"/>
      <c r="K251" s="58"/>
      <c r="L251" s="501"/>
      <c r="M251" s="501"/>
      <c r="N251" s="501"/>
      <c r="O251" s="58"/>
      <c r="P251" s="58"/>
      <c r="Q251" s="501"/>
      <c r="R251" s="501"/>
      <c r="S251" s="58"/>
      <c r="T251" s="58"/>
      <c r="U251" s="58"/>
      <c r="V251" s="549"/>
      <c r="W251" s="501"/>
    </row>
    <row r="252" spans="1:32">
      <c r="A252" s="6"/>
      <c r="B252" s="58"/>
      <c r="C252" s="9" t="s">
        <v>136</v>
      </c>
      <c r="D252" s="58"/>
      <c r="E252" s="30"/>
      <c r="F252" s="58"/>
      <c r="G252" s="132"/>
      <c r="H252" s="58"/>
      <c r="I252" s="58"/>
      <c r="J252" s="58"/>
      <c r="K252" s="58"/>
      <c r="L252" s="501"/>
      <c r="M252" s="501"/>
      <c r="N252" s="501"/>
      <c r="O252" s="58"/>
      <c r="P252" s="58"/>
      <c r="Q252" s="501"/>
      <c r="R252" s="501"/>
      <c r="S252" s="58"/>
      <c r="T252" s="58"/>
      <c r="U252" s="58"/>
      <c r="V252" s="549"/>
      <c r="W252" s="501"/>
    </row>
    <row r="253" spans="1:32">
      <c r="A253" s="6">
        <f>MAX(A$229:A252)+1</f>
        <v>113</v>
      </c>
      <c r="C253" s="10" t="s">
        <v>258</v>
      </c>
      <c r="E253" s="30" t="s">
        <v>259</v>
      </c>
      <c r="G253" s="29">
        <v>12</v>
      </c>
      <c r="I253" s="646">
        <v>0</v>
      </c>
      <c r="J253" s="64">
        <f>G253*I253/1000</f>
        <v>0</v>
      </c>
      <c r="L253" s="576">
        <v>0</v>
      </c>
      <c r="M253" s="576">
        <v>0</v>
      </c>
      <c r="N253" s="130">
        <f>J253-L253-M253</f>
        <v>0</v>
      </c>
      <c r="O253" s="64"/>
      <c r="P253" s="29">
        <v>0</v>
      </c>
      <c r="Q253" s="538">
        <v>0</v>
      </c>
      <c r="R253" s="538">
        <v>0</v>
      </c>
      <c r="S253" s="64"/>
      <c r="T253" s="64">
        <f>N253+P253+Q253+R253</f>
        <v>0</v>
      </c>
      <c r="U253" s="64">
        <f>T253/G253*1000</f>
        <v>0</v>
      </c>
      <c r="V253" s="538">
        <f>T253-J253</f>
        <v>0</v>
      </c>
      <c r="W253" s="576"/>
      <c r="X253" s="600"/>
      <c r="Z253" s="746"/>
      <c r="AB253" s="746"/>
      <c r="AD253" s="746"/>
      <c r="AF253" s="746"/>
    </row>
    <row r="254" spans="1:32">
      <c r="A254" s="6">
        <f>MAX(A$229:A253)+1</f>
        <v>114</v>
      </c>
      <c r="B254" s="58"/>
      <c r="C254" s="521" t="s">
        <v>280</v>
      </c>
      <c r="D254" s="58"/>
      <c r="E254" s="30" t="s">
        <v>281</v>
      </c>
      <c r="F254" s="58"/>
      <c r="G254" s="29">
        <v>15025.2</v>
      </c>
      <c r="H254" s="58"/>
      <c r="I254" s="547">
        <v>16.259208437643476</v>
      </c>
      <c r="J254" s="539">
        <f>G254*I254/100</f>
        <v>2442.9785861728078</v>
      </c>
      <c r="K254" s="58"/>
      <c r="L254" s="576">
        <v>0</v>
      </c>
      <c r="M254" s="576">
        <v>0</v>
      </c>
      <c r="N254" s="130">
        <f t="shared" ref="N254:N257" si="84">J254-L254-M254</f>
        <v>2442.9785861728078</v>
      </c>
      <c r="O254" s="564"/>
      <c r="P254" s="29">
        <v>66.755089877086903</v>
      </c>
      <c r="Q254" s="538">
        <v>0</v>
      </c>
      <c r="R254" s="538">
        <v>0</v>
      </c>
      <c r="S254" s="564"/>
      <c r="T254" s="64">
        <f t="shared" ref="T254:T257" si="85">N254+P254+Q254+R254</f>
        <v>2509.7336760498947</v>
      </c>
      <c r="U254" s="648">
        <f>T254/G254*100</f>
        <v>16.703495967107891</v>
      </c>
      <c r="V254" s="538">
        <f>T254-J254</f>
        <v>66.755089877086903</v>
      </c>
      <c r="W254" s="541">
        <f>U254/I254-1</f>
        <v>2.7325286539521487E-2</v>
      </c>
      <c r="X254" s="542"/>
      <c r="Z254" s="738"/>
      <c r="AB254" s="738"/>
      <c r="AD254" s="738"/>
      <c r="AF254" s="744"/>
    </row>
    <row r="255" spans="1:32">
      <c r="A255" s="6">
        <f>MAX(A$229:A254)+1</f>
        <v>115</v>
      </c>
      <c r="B255" s="58"/>
      <c r="C255" s="521" t="s">
        <v>260</v>
      </c>
      <c r="D255" s="58"/>
      <c r="E255" s="30" t="s">
        <v>262</v>
      </c>
      <c r="F255" s="58"/>
      <c r="G255" s="29">
        <v>188852.1</v>
      </c>
      <c r="H255" s="58"/>
      <c r="I255" s="547">
        <v>0.58836800688430824</v>
      </c>
      <c r="J255" s="539">
        <f t="shared" ref="J255" si="86">G255*I255/100</f>
        <v>1111.1453367291608</v>
      </c>
      <c r="K255" s="58"/>
      <c r="L255" s="29">
        <v>40.750410090988815</v>
      </c>
      <c r="M255" s="29">
        <v>0</v>
      </c>
      <c r="N255" s="130">
        <f t="shared" si="84"/>
        <v>1070.3949266381719</v>
      </c>
      <c r="O255" s="564"/>
      <c r="P255" s="29">
        <v>29.248848080838115</v>
      </c>
      <c r="Q255" s="29">
        <v>42.257140600837147</v>
      </c>
      <c r="R255" s="538">
        <v>0</v>
      </c>
      <c r="S255" s="564"/>
      <c r="T255" s="64">
        <f t="shared" si="85"/>
        <v>1141.9009153198472</v>
      </c>
      <c r="U255" s="648">
        <f>T255/G255*100</f>
        <v>0.60465354386837489</v>
      </c>
      <c r="V255" s="538">
        <f>T255-J255</f>
        <v>30.755578590686355</v>
      </c>
      <c r="W255" s="559">
        <f>U255/I255-1</f>
        <v>2.7679168128645237E-2</v>
      </c>
      <c r="X255" s="559"/>
      <c r="Z255" s="738"/>
      <c r="AB255" s="738"/>
      <c r="AD255" s="738"/>
      <c r="AF255" s="744"/>
    </row>
    <row r="256" spans="1:32">
      <c r="A256" s="6"/>
      <c r="B256" s="58"/>
      <c r="C256" s="10"/>
      <c r="D256" s="58"/>
      <c r="E256" s="30"/>
      <c r="F256" s="58"/>
      <c r="G256" s="29"/>
      <c r="H256" s="58"/>
      <c r="I256" s="547"/>
      <c r="J256" s="539"/>
      <c r="K256" s="58"/>
      <c r="L256" s="29"/>
      <c r="M256" s="29"/>
      <c r="N256" s="130"/>
      <c r="O256" s="564"/>
      <c r="P256" s="29"/>
      <c r="Q256" s="29"/>
      <c r="R256" s="538"/>
      <c r="S256" s="564"/>
      <c r="T256" s="64"/>
      <c r="U256" s="648"/>
      <c r="V256" s="538"/>
      <c r="W256" s="559"/>
      <c r="X256" s="559"/>
      <c r="Z256" s="738"/>
      <c r="AB256" s="738"/>
      <c r="AD256" s="738"/>
      <c r="AF256" s="744"/>
    </row>
    <row r="257" spans="1:32">
      <c r="A257" s="6">
        <f>MAX(A$229:A256)+1</f>
        <v>116</v>
      </c>
      <c r="B257" s="58"/>
      <c r="C257" s="10" t="s">
        <v>294</v>
      </c>
      <c r="D257" s="58"/>
      <c r="E257" s="30"/>
      <c r="F257" s="58"/>
      <c r="G257" s="29">
        <v>236.82964000000001</v>
      </c>
      <c r="H257" s="58"/>
      <c r="I257" s="29">
        <v>0</v>
      </c>
      <c r="J257" s="564">
        <v>0</v>
      </c>
      <c r="K257" s="58"/>
      <c r="L257" s="576">
        <v>0</v>
      </c>
      <c r="M257" s="576">
        <v>0</v>
      </c>
      <c r="N257" s="130">
        <f t="shared" si="84"/>
        <v>0</v>
      </c>
      <c r="O257" s="58"/>
      <c r="P257" s="29">
        <v>0</v>
      </c>
      <c r="Q257" s="538">
        <v>0</v>
      </c>
      <c r="R257" s="538">
        <v>0</v>
      </c>
      <c r="S257" s="58"/>
      <c r="T257" s="64">
        <f t="shared" si="85"/>
        <v>0</v>
      </c>
      <c r="U257" s="748">
        <v>0</v>
      </c>
      <c r="V257" s="538">
        <v>0</v>
      </c>
      <c r="W257" s="749"/>
      <c r="X257" s="559"/>
      <c r="Z257" s="738"/>
      <c r="AB257" s="738"/>
      <c r="AD257" s="738"/>
      <c r="AF257" s="744"/>
    </row>
    <row r="258" spans="1:32">
      <c r="A258" s="6"/>
      <c r="B258" s="58"/>
      <c r="C258" s="10"/>
      <c r="D258" s="58"/>
      <c r="E258" s="30"/>
      <c r="F258" s="58"/>
      <c r="G258" s="29"/>
      <c r="H258" s="58"/>
      <c r="I258" s="29"/>
      <c r="J258" s="564"/>
      <c r="K258" s="58"/>
      <c r="L258" s="576">
        <v>0</v>
      </c>
      <c r="M258" s="576"/>
      <c r="N258" s="130"/>
      <c r="O258" s="58"/>
      <c r="P258" s="29"/>
      <c r="Q258" s="538"/>
      <c r="R258" s="538"/>
      <c r="S258" s="58"/>
      <c r="T258" s="64"/>
      <c r="U258" s="648"/>
      <c r="V258" s="538"/>
      <c r="W258" s="559"/>
      <c r="X258" s="559"/>
      <c r="Z258" s="738"/>
      <c r="AB258" s="738"/>
      <c r="AD258" s="738"/>
      <c r="AF258" s="744"/>
    </row>
    <row r="259" spans="1:32" ht="12.95">
      <c r="A259" s="6">
        <f>MAX(A$229:A258)+1</f>
        <v>117</v>
      </c>
      <c r="B259" s="58"/>
      <c r="C259" s="10" t="s">
        <v>266</v>
      </c>
      <c r="D259" s="58"/>
      <c r="E259" s="128"/>
      <c r="F259" s="58"/>
      <c r="G259" s="131">
        <f>G255</f>
        <v>188852.1</v>
      </c>
      <c r="H259" s="3"/>
      <c r="I259" s="641">
        <f>J259/G259*100</f>
        <v>1.881961557696191</v>
      </c>
      <c r="J259" s="636">
        <f>SUM(J253:J257)</f>
        <v>3554.1239229019684</v>
      </c>
      <c r="K259" s="642"/>
      <c r="L259" s="598">
        <f>SUM(L253:L258)</f>
        <v>40.750410090988815</v>
      </c>
      <c r="M259" s="131">
        <f>SUM(M253:M257)</f>
        <v>0</v>
      </c>
      <c r="N259" s="636">
        <f>SUM(N253:N257)</f>
        <v>3513.3735128109797</v>
      </c>
      <c r="O259" s="642"/>
      <c r="P259" s="636">
        <f>SUM(P253:P257)</f>
        <v>96.003937957925018</v>
      </c>
      <c r="Q259" s="636">
        <f>SUM(Q253:Q257)</f>
        <v>42.257140600837147</v>
      </c>
      <c r="R259" s="131">
        <f>SUM(R253:R257)</f>
        <v>0</v>
      </c>
      <c r="S259" s="642"/>
      <c r="T259" s="636">
        <f>SUM(T253:T257)</f>
        <v>3651.6345913697419</v>
      </c>
      <c r="U259" s="635">
        <f>T259/G259*100</f>
        <v>1.9335949091218694</v>
      </c>
      <c r="V259" s="636">
        <f>SUM(V253:V257)</f>
        <v>97.510668467773257</v>
      </c>
      <c r="W259" s="558">
        <f>U259/I259-1</f>
        <v>2.7435922489769338E-2</v>
      </c>
      <c r="X259" s="559"/>
      <c r="Z259" s="738"/>
      <c r="AB259" s="738"/>
      <c r="AD259" s="738"/>
      <c r="AF259" s="744"/>
    </row>
    <row r="260" spans="1:32" ht="12.95">
      <c r="A260" s="6"/>
      <c r="B260" s="58"/>
      <c r="C260" s="10"/>
      <c r="D260" s="58"/>
      <c r="E260" s="128"/>
      <c r="F260" s="58"/>
      <c r="G260" s="29"/>
      <c r="H260" s="58"/>
      <c r="I260" s="58"/>
      <c r="J260" s="58"/>
      <c r="K260" s="58"/>
      <c r="L260" s="501"/>
      <c r="M260" s="501"/>
      <c r="N260" s="501"/>
      <c r="O260" s="58"/>
      <c r="P260" s="640"/>
      <c r="Q260" s="622"/>
      <c r="R260" s="622"/>
      <c r="S260" s="58"/>
      <c r="T260" s="58"/>
      <c r="U260" s="58"/>
      <c r="V260" s="501"/>
      <c r="W260" s="501"/>
      <c r="Z260" s="738"/>
      <c r="AB260" s="738"/>
      <c r="AD260" s="738"/>
      <c r="AF260" s="744"/>
    </row>
    <row r="261" spans="1:32">
      <c r="A261" s="6">
        <f>MAX(A$229:A260)+1</f>
        <v>118</v>
      </c>
      <c r="B261" s="58"/>
      <c r="C261" s="12" t="s">
        <v>267</v>
      </c>
      <c r="D261" s="58"/>
      <c r="E261" s="574" t="s">
        <v>262</v>
      </c>
      <c r="F261" s="58"/>
      <c r="G261" s="29">
        <v>188852.1</v>
      </c>
      <c r="H261" s="58"/>
      <c r="I261" s="547">
        <v>0.62019548589279372</v>
      </c>
      <c r="J261" s="539">
        <f>G261*I261/100</f>
        <v>1171.2521992137447</v>
      </c>
      <c r="K261" s="58"/>
      <c r="L261" s="538">
        <v>0</v>
      </c>
      <c r="M261" s="643">
        <v>550.32869750354416</v>
      </c>
      <c r="N261" s="622">
        <f>J261-L261-M261</f>
        <v>620.92350171020053</v>
      </c>
      <c r="O261" s="640"/>
      <c r="P261" s="29">
        <v>16.966912603354331</v>
      </c>
      <c r="Q261" s="538">
        <v>0</v>
      </c>
      <c r="R261" s="29">
        <v>548.42372967335484</v>
      </c>
      <c r="S261" s="58"/>
      <c r="T261" s="640">
        <f>N261+P261+Q261+R261</f>
        <v>1186.3141439869096</v>
      </c>
      <c r="U261" s="548">
        <f>T261/G261*100</f>
        <v>0.62817101000566555</v>
      </c>
      <c r="V261" s="549">
        <f>T261-J261</f>
        <v>15.061944773164896</v>
      </c>
      <c r="W261" s="559">
        <f>U261/I261-1</f>
        <v>1.2859693909881953E-2</v>
      </c>
      <c r="X261" s="559"/>
      <c r="Z261" s="738"/>
      <c r="AB261" s="738"/>
      <c r="AD261" s="738"/>
      <c r="AF261" s="744"/>
    </row>
    <row r="262" spans="1:32">
      <c r="A262" s="6"/>
      <c r="B262" s="58"/>
      <c r="C262" s="12"/>
      <c r="D262" s="58"/>
      <c r="E262" s="574"/>
      <c r="F262" s="58"/>
      <c r="G262" s="29"/>
      <c r="H262" s="58"/>
      <c r="I262" s="547"/>
      <c r="J262" s="539"/>
      <c r="K262" s="58"/>
      <c r="L262" s="538"/>
      <c r="M262" s="643"/>
      <c r="N262" s="622">
        <f t="shared" ref="N262:N265" si="87">J262-L262-M262</f>
        <v>0</v>
      </c>
      <c r="O262" s="640"/>
      <c r="P262" s="29"/>
      <c r="Q262" s="538"/>
      <c r="R262" s="29"/>
      <c r="S262" s="58"/>
      <c r="T262" s="640"/>
      <c r="U262" s="548"/>
      <c r="V262" s="549"/>
      <c r="W262" s="559"/>
      <c r="X262" s="559"/>
      <c r="Z262" s="738"/>
      <c r="AB262" s="738"/>
      <c r="AD262" s="738"/>
      <c r="AF262" s="744"/>
    </row>
    <row r="263" spans="1:32">
      <c r="A263" s="6"/>
      <c r="B263" s="58"/>
      <c r="C263" s="10" t="s">
        <v>268</v>
      </c>
      <c r="D263" s="58"/>
      <c r="E263" s="574"/>
      <c r="F263" s="58"/>
      <c r="G263" s="29"/>
      <c r="H263" s="58"/>
      <c r="I263" s="547"/>
      <c r="J263" s="539"/>
      <c r="K263" s="58"/>
      <c r="L263" s="538"/>
      <c r="M263" s="643"/>
      <c r="N263" s="622"/>
      <c r="O263" s="640"/>
      <c r="P263" s="29"/>
      <c r="Q263" s="538"/>
      <c r="R263" s="29"/>
      <c r="S263" s="58"/>
      <c r="T263" s="640"/>
      <c r="U263" s="548"/>
      <c r="V263" s="549"/>
      <c r="W263" s="559"/>
      <c r="X263" s="559"/>
      <c r="Z263" s="738"/>
      <c r="AB263" s="738"/>
      <c r="AD263" s="738"/>
      <c r="AF263" s="744"/>
    </row>
    <row r="264" spans="1:32">
      <c r="A264" s="6">
        <f>MAX(A$229:A263)+1</f>
        <v>119</v>
      </c>
      <c r="B264" s="58"/>
      <c r="C264" s="12" t="s">
        <v>268</v>
      </c>
      <c r="D264" s="58"/>
      <c r="E264" s="574" t="s">
        <v>262</v>
      </c>
      <c r="F264" s="58"/>
      <c r="G264" s="29">
        <v>140307.6</v>
      </c>
      <c r="H264" s="58"/>
      <c r="I264" s="547">
        <v>7.5247861202312999E-2</v>
      </c>
      <c r="J264" s="539">
        <f t="shared" ref="J264:J268" si="88">G264*I264/100</f>
        <v>105.57846810429652</v>
      </c>
      <c r="K264" s="58"/>
      <c r="L264" s="538">
        <v>0</v>
      </c>
      <c r="M264" s="538">
        <v>0</v>
      </c>
      <c r="N264" s="622">
        <f t="shared" si="87"/>
        <v>105.57846810429652</v>
      </c>
      <c r="O264" s="640"/>
      <c r="P264" s="29">
        <v>2.8849618933536334</v>
      </c>
      <c r="Q264" s="538">
        <v>0</v>
      </c>
      <c r="R264" s="538">
        <v>0</v>
      </c>
      <c r="S264" s="58"/>
      <c r="T264" s="640">
        <f t="shared" ref="T264:T265" si="89">N264+P264+Q264+R264</f>
        <v>108.46342999765015</v>
      </c>
      <c r="U264" s="548">
        <f>T264/G264*100</f>
        <v>7.7304030571152343E-2</v>
      </c>
      <c r="V264" s="549">
        <f>T264-J264</f>
        <v>2.8849618933536334</v>
      </c>
      <c r="W264" s="559"/>
      <c r="X264" s="559"/>
      <c r="Z264" s="738"/>
      <c r="AB264" s="738"/>
      <c r="AD264" s="738"/>
      <c r="AF264" s="744"/>
    </row>
    <row r="265" spans="1:32">
      <c r="A265" s="6">
        <f>MAX(A$229:A264)+1</f>
        <v>120</v>
      </c>
      <c r="B265" s="58"/>
      <c r="C265" s="12" t="s">
        <v>269</v>
      </c>
      <c r="D265" s="58"/>
      <c r="E265" s="574" t="s">
        <v>262</v>
      </c>
      <c r="F265" s="58"/>
      <c r="G265" s="29">
        <v>48544.5</v>
      </c>
      <c r="I265" s="547">
        <v>0.59779664221407636</v>
      </c>
      <c r="J265" s="539">
        <f t="shared" si="88"/>
        <v>290.19739097961229</v>
      </c>
      <c r="L265" s="538">
        <v>0</v>
      </c>
      <c r="M265" s="538">
        <v>0</v>
      </c>
      <c r="N265" s="622">
        <f t="shared" si="87"/>
        <v>290.19739097961229</v>
      </c>
      <c r="O265" s="644"/>
      <c r="P265" s="29">
        <v>7.9297268615394501</v>
      </c>
      <c r="Q265" s="538">
        <v>0</v>
      </c>
      <c r="R265" s="538">
        <v>0</v>
      </c>
      <c r="T265" s="640">
        <f t="shared" si="89"/>
        <v>298.12711784115174</v>
      </c>
      <c r="U265" s="548">
        <f>T265/G265*100</f>
        <v>0.61413160675493972</v>
      </c>
      <c r="V265" s="549">
        <f>T265-J265</f>
        <v>7.9297268615394501</v>
      </c>
      <c r="W265" s="559"/>
      <c r="X265" s="559"/>
      <c r="Z265" s="738"/>
      <c r="AB265" s="738"/>
      <c r="AD265" s="738"/>
      <c r="AF265" s="744"/>
    </row>
    <row r="266" spans="1:32">
      <c r="A266" s="6">
        <f>MAX(A$229:A265)+1</f>
        <v>121</v>
      </c>
      <c r="B266" s="58"/>
      <c r="C266" s="10" t="s">
        <v>268</v>
      </c>
      <c r="D266" s="58"/>
      <c r="E266" s="574"/>
      <c r="F266" s="58"/>
      <c r="G266" s="411">
        <f>SUM(G264:G265)</f>
        <v>188852.1</v>
      </c>
      <c r="I266" s="566">
        <f>J266/G266*100</f>
        <v>0.20956921267166675</v>
      </c>
      <c r="J266" s="554">
        <f>SUM(J264:J265)</f>
        <v>395.77585908390881</v>
      </c>
      <c r="L266" s="555">
        <f>SUM(L264:L265)</f>
        <v>0</v>
      </c>
      <c r="M266" s="555">
        <f t="shared" ref="M266:T266" si="90">SUM(M264:M265)</f>
        <v>0</v>
      </c>
      <c r="N266" s="650">
        <f t="shared" si="90"/>
        <v>395.77585908390881</v>
      </c>
      <c r="O266" s="622">
        <f t="shared" si="90"/>
        <v>0</v>
      </c>
      <c r="P266" s="650">
        <f t="shared" si="90"/>
        <v>10.814688754893083</v>
      </c>
      <c r="Q266" s="555">
        <f t="shared" si="90"/>
        <v>0</v>
      </c>
      <c r="R266" s="555">
        <f t="shared" si="90"/>
        <v>0</v>
      </c>
      <c r="S266" s="622"/>
      <c r="T266" s="650">
        <f t="shared" si="90"/>
        <v>406.59054783880191</v>
      </c>
      <c r="U266" s="556">
        <f>T266/G266*100</f>
        <v>0.21529575145778201</v>
      </c>
      <c r="V266" s="557">
        <f>SUM(V264:V265)</f>
        <v>10.814688754893083</v>
      </c>
      <c r="W266" s="558">
        <f>U266/I266-1</f>
        <v>2.7325286539521709E-2</v>
      </c>
      <c r="X266" s="559"/>
      <c r="Z266" s="738"/>
      <c r="AB266" s="738"/>
      <c r="AD266" s="738"/>
      <c r="AF266" s="744"/>
    </row>
    <row r="267" spans="1:32">
      <c r="A267" s="6"/>
      <c r="B267" s="58"/>
      <c r="C267" s="10"/>
      <c r="D267" s="58"/>
      <c r="E267" s="30"/>
      <c r="F267" s="58"/>
      <c r="G267" s="29"/>
      <c r="H267" s="58"/>
      <c r="I267" s="547"/>
      <c r="J267" s="539"/>
      <c r="K267" s="58"/>
      <c r="L267" s="622"/>
      <c r="M267" s="622"/>
      <c r="N267" s="622"/>
      <c r="O267" s="640"/>
      <c r="P267" s="29"/>
      <c r="Q267" s="622"/>
      <c r="R267" s="622"/>
      <c r="S267" s="58"/>
      <c r="T267" s="640"/>
      <c r="U267" s="548"/>
      <c r="V267" s="549"/>
      <c r="W267" s="559"/>
      <c r="X267" s="559"/>
      <c r="Z267" s="738"/>
      <c r="AB267" s="738"/>
      <c r="AD267" s="738"/>
      <c r="AF267" s="744"/>
    </row>
    <row r="268" spans="1:32">
      <c r="A268" s="6">
        <f>MAX(A$229:A267)+1</f>
        <v>122</v>
      </c>
      <c r="B268" s="58"/>
      <c r="C268" s="10" t="s">
        <v>270</v>
      </c>
      <c r="D268" s="58"/>
      <c r="E268" s="574" t="s">
        <v>262</v>
      </c>
      <c r="F268" s="58"/>
      <c r="G268" s="29">
        <v>140305.60000000001</v>
      </c>
      <c r="H268" s="58"/>
      <c r="I268" s="547">
        <v>4.6916111266467476E-2</v>
      </c>
      <c r="J268" s="539">
        <f t="shared" si="88"/>
        <v>65.825931409084802</v>
      </c>
      <c r="K268" s="58"/>
      <c r="L268" s="538">
        <v>0</v>
      </c>
      <c r="M268" s="538">
        <v>0</v>
      </c>
      <c r="N268" s="622">
        <f>J268-L268-M268</f>
        <v>65.825931409084802</v>
      </c>
      <c r="O268" s="640"/>
      <c r="P268" s="29">
        <v>1.7987124374841272</v>
      </c>
      <c r="Q268" s="538">
        <v>0</v>
      </c>
      <c r="R268" s="538">
        <v>0</v>
      </c>
      <c r="S268" s="58"/>
      <c r="T268" s="640">
        <f>N268+P268+Q268+R268</f>
        <v>67.624643846568929</v>
      </c>
      <c r="U268" s="548">
        <f>T268/G268*100</f>
        <v>4.8198107450143773E-2</v>
      </c>
      <c r="V268" s="549">
        <f>T268-J268</f>
        <v>1.7987124374841272</v>
      </c>
      <c r="W268" s="559">
        <f>U268/I268-1</f>
        <v>2.7325286539521487E-2</v>
      </c>
      <c r="X268" s="559"/>
      <c r="Z268" s="738"/>
      <c r="AB268" s="738"/>
      <c r="AD268" s="738"/>
      <c r="AF268" s="744"/>
    </row>
    <row r="269" spans="1:32">
      <c r="A269" s="6"/>
      <c r="B269" s="58"/>
      <c r="C269" s="10"/>
      <c r="D269" s="58"/>
      <c r="E269" s="30"/>
      <c r="F269" s="58"/>
      <c r="G269" s="29"/>
      <c r="H269" s="58"/>
      <c r="I269" s="58"/>
      <c r="J269" s="539"/>
      <c r="K269" s="58"/>
      <c r="L269" s="622"/>
      <c r="M269" s="622"/>
      <c r="N269" s="622"/>
      <c r="O269" s="640"/>
      <c r="P269" s="640"/>
      <c r="Q269" s="622"/>
      <c r="R269" s="622"/>
      <c r="S269" s="58"/>
      <c r="T269" s="58"/>
      <c r="U269" s="548"/>
      <c r="V269" s="501"/>
      <c r="W269" s="541"/>
      <c r="X269" s="542"/>
      <c r="Z269" s="738"/>
      <c r="AB269" s="738"/>
      <c r="AD269" s="738"/>
    </row>
    <row r="270" spans="1:32" ht="12.95" thickBot="1">
      <c r="A270" s="6">
        <f>MAX(A$229:A269)+1</f>
        <v>123</v>
      </c>
      <c r="B270" s="58"/>
      <c r="C270" s="10" t="s">
        <v>300</v>
      </c>
      <c r="D270" s="58"/>
      <c r="E270" s="30"/>
      <c r="F270" s="58"/>
      <c r="G270" s="589">
        <f>G259</f>
        <v>188852.1</v>
      </c>
      <c r="H270" s="58"/>
      <c r="I270" s="572">
        <f>J270/G270*100</f>
        <v>2.7465820674531582</v>
      </c>
      <c r="J270" s="627">
        <f>J259+J261+J266+J268</f>
        <v>5186.977912608706</v>
      </c>
      <c r="K270" s="539"/>
      <c r="L270" s="638">
        <f>L259+L261+L266+L268</f>
        <v>40.750410090988815</v>
      </c>
      <c r="M270" s="638">
        <f>M259+M261+M266+M268</f>
        <v>550.32869750354416</v>
      </c>
      <c r="N270" s="638">
        <f>N259+N261+N266+N268</f>
        <v>4595.8988050141734</v>
      </c>
      <c r="O270" s="539"/>
      <c r="P270" s="638">
        <f>P259+P261+P266+P268</f>
        <v>125.58425175365656</v>
      </c>
      <c r="Q270" s="638">
        <f>Q259+Q261+Q266+Q268</f>
        <v>42.257140600837147</v>
      </c>
      <c r="R270" s="638">
        <f>R259+R261+R266+R268</f>
        <v>548.42372967335484</v>
      </c>
      <c r="S270" s="539"/>
      <c r="T270" s="638">
        <f>T259+T261+T266+T268</f>
        <v>5312.1639270420219</v>
      </c>
      <c r="U270" s="651">
        <f>T270/G270*100</f>
        <v>2.8128699268062265</v>
      </c>
      <c r="V270" s="638">
        <f>V259+V261+V266+V268</f>
        <v>125.18601443331536</v>
      </c>
      <c r="W270" s="602">
        <f>U270/I270-1</f>
        <v>2.4134672740558472E-2</v>
      </c>
      <c r="X270" s="559"/>
      <c r="Z270" s="738"/>
      <c r="AB270" s="738"/>
      <c r="AD270" s="738"/>
      <c r="AF270" s="744"/>
    </row>
    <row r="271" spans="1:32" ht="12.95" thickTop="1">
      <c r="A271" s="6"/>
      <c r="B271" s="58"/>
      <c r="C271" s="10"/>
      <c r="D271" s="58"/>
      <c r="E271" s="30"/>
      <c r="F271" s="58"/>
      <c r="G271" s="29"/>
      <c r="H271" s="58"/>
      <c r="I271" s="58"/>
      <c r="J271" s="58"/>
      <c r="K271" s="58"/>
      <c r="L271" s="501"/>
      <c r="M271" s="501"/>
      <c r="N271" s="501"/>
      <c r="O271" s="58"/>
      <c r="P271" s="58"/>
      <c r="Q271" s="501"/>
      <c r="R271" s="501"/>
      <c r="S271" s="58"/>
      <c r="T271" s="58"/>
      <c r="U271" s="58"/>
      <c r="V271" s="534"/>
      <c r="W271" s="501"/>
    </row>
    <row r="272" spans="1:32">
      <c r="A272" s="6"/>
      <c r="L272" s="2"/>
      <c r="M272" s="2"/>
      <c r="N272" s="501"/>
      <c r="Q272" s="501"/>
      <c r="R272" s="501"/>
      <c r="V272" s="534"/>
      <c r="W272" s="501"/>
    </row>
    <row r="273" spans="1:32">
      <c r="L273" s="2"/>
      <c r="M273" s="2"/>
      <c r="N273" s="501"/>
      <c r="Q273" s="501"/>
      <c r="R273" s="501"/>
      <c r="V273" s="501"/>
      <c r="W273" s="501"/>
    </row>
    <row r="274" spans="1:32">
      <c r="L274" s="2"/>
      <c r="M274" s="2"/>
      <c r="N274" s="501"/>
      <c r="Q274" s="501"/>
      <c r="R274" s="501"/>
      <c r="V274" s="501"/>
      <c r="W274" s="501"/>
    </row>
    <row r="275" spans="1:32">
      <c r="A275" s="1156" t="s">
        <v>279</v>
      </c>
      <c r="B275" s="1156"/>
      <c r="C275" s="1156"/>
      <c r="D275" s="1156"/>
      <c r="E275" s="1156"/>
      <c r="F275" s="1156"/>
      <c r="G275" s="1156"/>
      <c r="H275" s="1156"/>
      <c r="I275" s="1156"/>
      <c r="J275" s="1156"/>
      <c r="K275" s="1156"/>
      <c r="L275" s="1156"/>
      <c r="M275" s="1156"/>
      <c r="N275" s="1156"/>
      <c r="O275" s="1156"/>
      <c r="P275" s="1156"/>
      <c r="Q275" s="1156"/>
      <c r="R275" s="1156"/>
      <c r="S275" s="1156"/>
      <c r="T275" s="1156"/>
      <c r="U275" s="1156"/>
      <c r="V275" s="1156"/>
      <c r="W275" s="1156"/>
      <c r="X275" s="531"/>
    </row>
    <row r="276" spans="1:32">
      <c r="A276" s="1156" t="s">
        <v>478</v>
      </c>
      <c r="B276" s="1156"/>
      <c r="C276" s="1156"/>
      <c r="D276" s="1156"/>
      <c r="E276" s="1156"/>
      <c r="F276" s="1156"/>
      <c r="G276" s="1156"/>
      <c r="H276" s="1156"/>
      <c r="I276" s="1156"/>
      <c r="J276" s="1156"/>
      <c r="K276" s="1156"/>
      <c r="L276" s="1156"/>
      <c r="M276" s="1156"/>
      <c r="N276" s="1156"/>
      <c r="O276" s="1156"/>
      <c r="P276" s="1156"/>
      <c r="Q276" s="1156"/>
      <c r="R276" s="1156"/>
      <c r="S276" s="1156"/>
      <c r="T276" s="1156"/>
      <c r="U276" s="1156"/>
      <c r="V276" s="1156"/>
      <c r="W276" s="1156"/>
      <c r="X276" s="737"/>
      <c r="Y276" s="737"/>
    </row>
    <row r="277" spans="1:32">
      <c r="A277" s="57"/>
      <c r="B277" s="57"/>
      <c r="C277" s="57"/>
      <c r="D277" s="57"/>
      <c r="E277" s="3"/>
      <c r="F277" s="57"/>
      <c r="G277" s="3"/>
      <c r="H277" s="57"/>
      <c r="I277" s="57"/>
      <c r="J277" s="57"/>
      <c r="K277" s="57"/>
      <c r="L277" s="57"/>
      <c r="M277" s="57"/>
      <c r="N277" s="501"/>
      <c r="O277" s="57"/>
      <c r="P277" s="57"/>
      <c r="Q277" s="501"/>
      <c r="R277" s="501"/>
      <c r="S277" s="57"/>
      <c r="T277" s="57"/>
      <c r="U277" s="57"/>
      <c r="V277" s="501"/>
      <c r="W277" s="501"/>
    </row>
    <row r="278" spans="1:32" ht="26.65" customHeight="1">
      <c r="A278" s="3"/>
      <c r="B278" s="3"/>
      <c r="C278" s="3"/>
      <c r="D278" s="3"/>
      <c r="E278" s="57"/>
      <c r="F278" s="1152" t="s">
        <v>231</v>
      </c>
      <c r="G278" s="1152"/>
      <c r="H278" s="1152"/>
      <c r="I278" s="1152"/>
      <c r="J278" s="1152"/>
      <c r="K278" s="3"/>
      <c r="L278" s="1157" t="s">
        <v>94</v>
      </c>
      <c r="M278" s="1157"/>
      <c r="N278" s="58"/>
      <c r="O278" s="3"/>
      <c r="P278" s="59"/>
      <c r="Q278" s="1157" t="s">
        <v>95</v>
      </c>
      <c r="R278" s="1157"/>
      <c r="S278" s="3"/>
      <c r="T278" s="1152" t="s">
        <v>472</v>
      </c>
      <c r="U278" s="1152"/>
      <c r="V278" s="1152"/>
      <c r="W278" s="1152"/>
      <c r="X278" s="6"/>
    </row>
    <row r="279" spans="1:32" ht="37.5">
      <c r="A279" s="5" t="s">
        <v>56</v>
      </c>
      <c r="B279" s="5"/>
      <c r="C279" s="5"/>
      <c r="D279" s="5"/>
      <c r="E279" s="6" t="s">
        <v>233</v>
      </c>
      <c r="F279" s="5"/>
      <c r="G279" s="17" t="s">
        <v>234</v>
      </c>
      <c r="H279" s="5"/>
      <c r="I279" s="17" t="s">
        <v>235</v>
      </c>
      <c r="J279" s="17" t="s">
        <v>101</v>
      </c>
      <c r="K279" s="5"/>
      <c r="L279" s="17" t="s">
        <v>106</v>
      </c>
      <c r="M279" s="17" t="s">
        <v>236</v>
      </c>
      <c r="N279" s="5" t="s">
        <v>239</v>
      </c>
      <c r="O279" s="5"/>
      <c r="P279" s="5" t="s">
        <v>240</v>
      </c>
      <c r="Q279" s="17" t="s">
        <v>106</v>
      </c>
      <c r="R279" s="17" t="s">
        <v>236</v>
      </c>
      <c r="S279" s="5"/>
      <c r="T279" s="17" t="s">
        <v>241</v>
      </c>
      <c r="U279" s="17" t="s">
        <v>242</v>
      </c>
      <c r="V279" s="17" t="s">
        <v>243</v>
      </c>
      <c r="W279" s="5" t="s">
        <v>244</v>
      </c>
      <c r="X279" s="5"/>
    </row>
    <row r="280" spans="1:32" ht="14.45">
      <c r="A280" s="237" t="s">
        <v>57</v>
      </c>
      <c r="B280" s="58"/>
      <c r="C280" s="59" t="s">
        <v>194</v>
      </c>
      <c r="D280" s="58"/>
      <c r="E280" s="237" t="s">
        <v>245</v>
      </c>
      <c r="F280" s="58"/>
      <c r="G280" s="237" t="s">
        <v>246</v>
      </c>
      <c r="H280" s="58"/>
      <c r="I280" s="237" t="s">
        <v>247</v>
      </c>
      <c r="J280" s="237" t="s">
        <v>248</v>
      </c>
      <c r="K280" s="58"/>
      <c r="L280" s="237" t="s">
        <v>248</v>
      </c>
      <c r="M280" s="237" t="s">
        <v>248</v>
      </c>
      <c r="N280" s="237" t="s">
        <v>248</v>
      </c>
      <c r="O280" s="58"/>
      <c r="P280" s="237" t="s">
        <v>248</v>
      </c>
      <c r="Q280" s="237" t="s">
        <v>248</v>
      </c>
      <c r="R280" s="237" t="s">
        <v>248</v>
      </c>
      <c r="S280" s="58"/>
      <c r="T280" s="237" t="s">
        <v>248</v>
      </c>
      <c r="U280" s="237" t="s">
        <v>247</v>
      </c>
      <c r="V280" s="237" t="s">
        <v>248</v>
      </c>
      <c r="W280" s="237" t="s">
        <v>249</v>
      </c>
      <c r="X280" s="6"/>
    </row>
    <row r="281" spans="1:32">
      <c r="A281" s="6"/>
      <c r="B281" s="58"/>
      <c r="C281" s="58"/>
      <c r="D281" s="58"/>
      <c r="E281" s="6"/>
      <c r="F281" s="58"/>
      <c r="G281" s="6" t="s">
        <v>9</v>
      </c>
      <c r="H281" s="6"/>
      <c r="I281" s="6" t="s">
        <v>10</v>
      </c>
      <c r="J281" s="6" t="s">
        <v>58</v>
      </c>
      <c r="K281" s="6"/>
      <c r="L281" s="123" t="s">
        <v>12</v>
      </c>
      <c r="M281" s="123" t="s">
        <v>13</v>
      </c>
      <c r="N281" s="6" t="s">
        <v>473</v>
      </c>
      <c r="O281" s="6"/>
      <c r="P281" s="6" t="s">
        <v>474</v>
      </c>
      <c r="Q281" s="6" t="s">
        <v>210</v>
      </c>
      <c r="R281" s="6" t="s">
        <v>118</v>
      </c>
      <c r="S281" s="6"/>
      <c r="T281" s="6" t="s">
        <v>475</v>
      </c>
      <c r="U281" s="6" t="s">
        <v>120</v>
      </c>
      <c r="V281" s="6" t="s">
        <v>476</v>
      </c>
      <c r="W281" s="6" t="s">
        <v>477</v>
      </c>
    </row>
    <row r="282" spans="1:32">
      <c r="A282" s="6"/>
      <c r="B282" s="58"/>
      <c r="C282" s="652" t="s">
        <v>139</v>
      </c>
      <c r="D282" s="58"/>
      <c r="E282" s="30"/>
      <c r="F282" s="58"/>
      <c r="G282" s="29"/>
      <c r="H282" s="58"/>
      <c r="I282" s="58"/>
      <c r="J282" s="58"/>
      <c r="K282" s="58"/>
      <c r="L282" s="501"/>
      <c r="M282" s="501"/>
      <c r="N282" s="501"/>
      <c r="O282" s="58"/>
      <c r="P282" s="58"/>
      <c r="Q282" s="501"/>
      <c r="R282" s="501"/>
      <c r="S282" s="58"/>
      <c r="T282" s="58"/>
      <c r="U282" s="58"/>
      <c r="V282" s="501"/>
      <c r="W282" s="501"/>
    </row>
    <row r="283" spans="1:32">
      <c r="A283" s="6"/>
      <c r="B283" s="58"/>
      <c r="C283" s="9" t="s">
        <v>140</v>
      </c>
      <c r="D283" s="58"/>
      <c r="E283" s="30"/>
      <c r="F283" s="58"/>
      <c r="G283" s="29"/>
      <c r="H283" s="58"/>
      <c r="I283" s="58"/>
      <c r="J283" s="58"/>
      <c r="K283" s="58"/>
      <c r="L283" s="501"/>
      <c r="M283" s="501"/>
      <c r="N283" s="501"/>
      <c r="O283" s="58"/>
      <c r="P283" s="58"/>
      <c r="Q283" s="501"/>
      <c r="R283" s="501"/>
      <c r="S283" s="58"/>
      <c r="T283" s="58"/>
      <c r="U283" s="58"/>
      <c r="V283" s="501"/>
      <c r="W283" s="501"/>
    </row>
    <row r="284" spans="1:32">
      <c r="A284" s="6">
        <v>124</v>
      </c>
      <c r="B284" s="58"/>
      <c r="C284" s="10" t="s">
        <v>258</v>
      </c>
      <c r="D284" s="58"/>
      <c r="E284" s="30" t="s">
        <v>259</v>
      </c>
      <c r="F284" s="58"/>
      <c r="G284" s="29">
        <v>4435128.0000000037</v>
      </c>
      <c r="H284" s="58"/>
      <c r="I284" s="537">
        <v>22.98</v>
      </c>
      <c r="J284" s="539">
        <f>G284*I284/1000</f>
        <v>101919.24144000009</v>
      </c>
      <c r="K284" s="58"/>
      <c r="L284" s="643">
        <v>0</v>
      </c>
      <c r="M284" s="643">
        <v>0</v>
      </c>
      <c r="N284" s="534">
        <f>J284-L284-M284</f>
        <v>101919.24144000009</v>
      </c>
      <c r="O284" s="58"/>
      <c r="P284" s="29">
        <v>2784.9724762386759</v>
      </c>
      <c r="Q284" s="29">
        <v>9989.5303963250917</v>
      </c>
      <c r="R284" s="643">
        <v>0</v>
      </c>
      <c r="S284" s="58"/>
      <c r="T284" s="539">
        <f>N284+P284+Q284+R284</f>
        <v>114693.74431256385</v>
      </c>
      <c r="U284" s="540">
        <f>T284/G284*1000</f>
        <v>25.86030083293284</v>
      </c>
      <c r="V284" s="534">
        <f>T284-J284</f>
        <v>12774.502872563768</v>
      </c>
      <c r="W284" s="541">
        <f>U284/I284-1</f>
        <v>0.1253394618334569</v>
      </c>
      <c r="X284" s="542"/>
      <c r="Z284" s="738"/>
      <c r="AB284" s="738"/>
      <c r="AD284" s="738"/>
      <c r="AF284" s="739"/>
    </row>
    <row r="285" spans="1:32">
      <c r="C285" s="521" t="s">
        <v>260</v>
      </c>
      <c r="E285" s="30"/>
      <c r="G285" s="29"/>
      <c r="J285" s="567"/>
      <c r="L285" s="643"/>
      <c r="M285" s="501"/>
      <c r="N285" s="534"/>
      <c r="P285" s="29"/>
      <c r="Q285" s="29"/>
      <c r="R285" s="501"/>
      <c r="T285" s="539"/>
      <c r="U285" s="632"/>
      <c r="V285" s="534"/>
      <c r="W285" s="541"/>
      <c r="X285" s="542"/>
      <c r="Z285" s="738"/>
      <c r="AB285" s="738"/>
      <c r="AD285" s="738"/>
    </row>
    <row r="286" spans="1:32">
      <c r="A286" s="6">
        <f>MAX(A$283:A285)+1</f>
        <v>125</v>
      </c>
      <c r="B286" s="58"/>
      <c r="C286" s="526" t="s">
        <v>301</v>
      </c>
      <c r="D286" s="58"/>
      <c r="E286" s="522" t="s">
        <v>262</v>
      </c>
      <c r="F286" s="58"/>
      <c r="G286" s="29">
        <v>299290.46273039118</v>
      </c>
      <c r="H286" s="58"/>
      <c r="I286" s="547">
        <v>11.076000000000001</v>
      </c>
      <c r="J286" s="539">
        <f>G286*I286/100</f>
        <v>33149.411652018127</v>
      </c>
      <c r="K286" s="58"/>
      <c r="L286" s="643">
        <v>1858.8930640184597</v>
      </c>
      <c r="M286" s="643">
        <v>858.13967814085549</v>
      </c>
      <c r="N286" s="534">
        <f t="shared" ref="N286:N290" si="91">J286-L286-M286</f>
        <v>30432.378909858813</v>
      </c>
      <c r="O286" s="58"/>
      <c r="P286" s="29">
        <v>831.57347379118437</v>
      </c>
      <c r="Q286" s="29">
        <v>625.58933759444324</v>
      </c>
      <c r="R286" s="29">
        <v>834.35089028881271</v>
      </c>
      <c r="S286" s="58"/>
      <c r="T286" s="539">
        <f t="shared" ref="T286:T290" si="92">N286+P286+Q286+R286</f>
        <v>32723.892611533254</v>
      </c>
      <c r="U286" s="548">
        <f t="shared" ref="U286:U291" si="93">T286/G286*100</f>
        <v>10.933824056068172</v>
      </c>
      <c r="V286" s="549">
        <f>T286-J286</f>
        <v>-425.51904048487268</v>
      </c>
      <c r="W286" s="541"/>
      <c r="X286" s="542"/>
      <c r="Z286" s="738"/>
      <c r="AB286" s="738"/>
      <c r="AD286" s="738"/>
      <c r="AF286" s="744"/>
    </row>
    <row r="287" spans="1:32">
      <c r="A287" s="6">
        <f>MAX(A$283:A286)+1</f>
        <v>126</v>
      </c>
      <c r="B287" s="58"/>
      <c r="C287" s="526" t="s">
        <v>302</v>
      </c>
      <c r="D287" s="58"/>
      <c r="E287" s="522" t="s">
        <v>262</v>
      </c>
      <c r="F287" s="58"/>
      <c r="G287" s="29">
        <v>342667.32910551433</v>
      </c>
      <c r="H287" s="58"/>
      <c r="I287" s="547">
        <v>10.798000000000002</v>
      </c>
      <c r="J287" s="539">
        <f t="shared" ref="J287:J290" si="94">G287*I287/100</f>
        <v>37001.218196813446</v>
      </c>
      <c r="K287" s="58"/>
      <c r="L287" s="643">
        <v>2075.1933450629949</v>
      </c>
      <c r="M287" s="643">
        <v>982.51186765308512</v>
      </c>
      <c r="N287" s="534">
        <f t="shared" si="91"/>
        <v>33943.512984097368</v>
      </c>
      <c r="O287" s="58"/>
      <c r="P287" s="29">
        <v>927.51621844842884</v>
      </c>
      <c r="Q287" s="29">
        <v>716.25746264920281</v>
      </c>
      <c r="R287" s="29">
        <v>955.27531516975239</v>
      </c>
      <c r="S287" s="58"/>
      <c r="T287" s="539">
        <f t="shared" si="92"/>
        <v>36542.561980364757</v>
      </c>
      <c r="U287" s="548">
        <f t="shared" si="93"/>
        <v>10.66415116835155</v>
      </c>
      <c r="V287" s="549">
        <f>T287-J287</f>
        <v>-458.65621644868952</v>
      </c>
      <c r="W287" s="541"/>
      <c r="X287" s="542"/>
      <c r="Z287" s="738"/>
      <c r="AB287" s="738"/>
      <c r="AD287" s="738"/>
      <c r="AF287" s="744"/>
    </row>
    <row r="288" spans="1:32">
      <c r="A288" s="6">
        <f>MAX(A$283:A287)+1</f>
        <v>127</v>
      </c>
      <c r="B288" s="58"/>
      <c r="C288" s="526" t="s">
        <v>303</v>
      </c>
      <c r="D288" s="58"/>
      <c r="E288" s="522" t="s">
        <v>262</v>
      </c>
      <c r="F288" s="58"/>
      <c r="G288" s="29">
        <v>128559.93934024102</v>
      </c>
      <c r="H288" s="58"/>
      <c r="I288" s="547">
        <v>10.3573</v>
      </c>
      <c r="J288" s="539">
        <f t="shared" si="94"/>
        <v>13315.338597286784</v>
      </c>
      <c r="K288" s="58"/>
      <c r="L288" s="643">
        <v>746.93324756680022</v>
      </c>
      <c r="M288" s="643">
        <v>368.61309899682192</v>
      </c>
      <c r="N288" s="534">
        <f t="shared" si="91"/>
        <v>12199.792250723161</v>
      </c>
      <c r="O288" s="58"/>
      <c r="P288" s="29">
        <v>333.36281897364461</v>
      </c>
      <c r="Q288" s="29">
        <v>268.72131694183923</v>
      </c>
      <c r="R288" s="29">
        <v>358.39464734508499</v>
      </c>
      <c r="S288" s="58"/>
      <c r="T288" s="539">
        <f t="shared" si="92"/>
        <v>13160.27103398373</v>
      </c>
      <c r="U288" s="548">
        <f t="shared" si="93"/>
        <v>10.236681116622451</v>
      </c>
      <c r="V288" s="549">
        <f>T288-J288</f>
        <v>-155.06756330305325</v>
      </c>
      <c r="W288" s="541"/>
      <c r="X288" s="542"/>
      <c r="Z288" s="738"/>
      <c r="AB288" s="738"/>
      <c r="AD288" s="738"/>
      <c r="AF288" s="744"/>
    </row>
    <row r="289" spans="1:32">
      <c r="A289" s="6">
        <f>MAX(A$283:A288)+1</f>
        <v>128</v>
      </c>
      <c r="B289" s="58"/>
      <c r="C289" s="526" t="s">
        <v>304</v>
      </c>
      <c r="D289" s="58"/>
      <c r="E289" s="522" t="s">
        <v>262</v>
      </c>
      <c r="F289" s="58"/>
      <c r="G289" s="29">
        <v>86233.647863598511</v>
      </c>
      <c r="H289" s="58"/>
      <c r="I289" s="547">
        <v>9.9530000000000012</v>
      </c>
      <c r="J289" s="539">
        <f t="shared" si="94"/>
        <v>8582.8349718639602</v>
      </c>
      <c r="K289" s="58"/>
      <c r="L289" s="643">
        <v>481.61492331819767</v>
      </c>
      <c r="M289" s="643">
        <v>247.25316719912297</v>
      </c>
      <c r="N289" s="534">
        <f t="shared" si="91"/>
        <v>7853.9668813466396</v>
      </c>
      <c r="O289" s="58"/>
      <c r="P289" s="29">
        <v>214.61189550470863</v>
      </c>
      <c r="Q289" s="29">
        <v>180.24914711010294</v>
      </c>
      <c r="R289" s="29">
        <v>240.39897633710794</v>
      </c>
      <c r="S289" s="58"/>
      <c r="T289" s="539">
        <f t="shared" si="92"/>
        <v>8489.2269002985595</v>
      </c>
      <c r="U289" s="548">
        <f t="shared" si="93"/>
        <v>9.8444483222216626</v>
      </c>
      <c r="V289" s="549">
        <f>T289-J289</f>
        <v>-93.608071565400678</v>
      </c>
      <c r="W289" s="541"/>
      <c r="X289" s="542"/>
      <c r="Z289" s="738"/>
      <c r="AB289" s="738"/>
      <c r="AD289" s="738"/>
      <c r="AF289" s="744"/>
    </row>
    <row r="290" spans="1:32">
      <c r="A290" s="6">
        <f>MAX(A$283:A289)+1</f>
        <v>129</v>
      </c>
      <c r="B290" s="58"/>
      <c r="C290" s="526" t="s">
        <v>305</v>
      </c>
      <c r="D290" s="58"/>
      <c r="E290" s="574"/>
      <c r="F290" s="58"/>
      <c r="G290" s="29">
        <v>120128.48102739092</v>
      </c>
      <c r="H290" s="58"/>
      <c r="I290" s="547">
        <v>9.6187000000000005</v>
      </c>
      <c r="J290" s="539">
        <f t="shared" si="94"/>
        <v>11554.798204581652</v>
      </c>
      <c r="K290" s="58"/>
      <c r="L290" s="643">
        <v>648.45354058585622</v>
      </c>
      <c r="M290" s="643">
        <v>344.43802553527627</v>
      </c>
      <c r="N290" s="534">
        <f t="shared" si="91"/>
        <v>10561.906638460518</v>
      </c>
      <c r="O290" s="58"/>
      <c r="P290" s="29">
        <v>288.60712529960801</v>
      </c>
      <c r="Q290" s="29">
        <v>251.09753310064622</v>
      </c>
      <c r="R290" s="29">
        <v>334.8897394854028</v>
      </c>
      <c r="S290" s="58"/>
      <c r="T290" s="539">
        <f t="shared" si="92"/>
        <v>11436.501036346175</v>
      </c>
      <c r="U290" s="548">
        <f t="shared" si="93"/>
        <v>9.5202244617897875</v>
      </c>
      <c r="V290" s="549">
        <f>T290-J290</f>
        <v>-118.29716823547642</v>
      </c>
      <c r="W290" s="541"/>
      <c r="X290" s="542"/>
      <c r="Z290" s="738"/>
      <c r="AB290" s="738"/>
      <c r="AD290" s="738"/>
      <c r="AF290" s="744"/>
    </row>
    <row r="291" spans="1:32">
      <c r="A291" s="6">
        <f>MAX(A$283:A290)+1</f>
        <v>130</v>
      </c>
      <c r="B291" s="58"/>
      <c r="C291" s="521" t="s">
        <v>260</v>
      </c>
      <c r="D291" s="58"/>
      <c r="E291" s="30"/>
      <c r="F291" s="58"/>
      <c r="G291" s="131">
        <f>SUM(G286:G290)</f>
        <v>976879.860067136</v>
      </c>
      <c r="H291" s="58"/>
      <c r="I291" s="556">
        <f>J291/G291*100</f>
        <v>10.605562245437614</v>
      </c>
      <c r="J291" s="554">
        <f>SUM(J286:J290)</f>
        <v>103603.60162256396</v>
      </c>
      <c r="K291" s="58"/>
      <c r="L291" s="650">
        <f>SUM(L286:L290)</f>
        <v>5811.0881205523092</v>
      </c>
      <c r="M291" s="662">
        <f>SUM(M286:M290)</f>
        <v>2800.9558375251618</v>
      </c>
      <c r="N291" s="554">
        <f>SUM(N286:N290)</f>
        <v>94991.557664486492</v>
      </c>
      <c r="O291" s="58"/>
      <c r="P291" s="619">
        <f>SUM(P286:P290)</f>
        <v>2595.6715320175745</v>
      </c>
      <c r="Q291" s="619">
        <f t="shared" ref="Q291:R291" si="95">SUM(Q286:Q290)</f>
        <v>2041.9147973962345</v>
      </c>
      <c r="R291" s="619">
        <f t="shared" si="95"/>
        <v>2723.3095686261609</v>
      </c>
      <c r="S291" s="132"/>
      <c r="T291" s="554">
        <f>SUM(T286:T290)</f>
        <v>102352.45356252648</v>
      </c>
      <c r="U291" s="635">
        <f t="shared" si="93"/>
        <v>10.477486305787112</v>
      </c>
      <c r="V291" s="131">
        <f t="shared" ref="V291" si="96">SUM(V286:V290)</f>
        <v>-1251.1480600374925</v>
      </c>
      <c r="W291" s="558">
        <f>U291/I291-1</f>
        <v>-1.2076298897363835E-2</v>
      </c>
      <c r="X291" s="653"/>
      <c r="Z291" s="738"/>
      <c r="AB291" s="738"/>
      <c r="AD291" s="738"/>
      <c r="AF291" s="744"/>
    </row>
    <row r="292" spans="1:32">
      <c r="A292" s="6"/>
      <c r="C292" s="10"/>
      <c r="G292" s="129"/>
      <c r="L292" s="501"/>
      <c r="M292" s="501"/>
      <c r="N292" s="501"/>
      <c r="Q292" s="501"/>
      <c r="R292" s="501"/>
      <c r="U292" s="632"/>
      <c r="V292" s="501"/>
      <c r="W292" s="541"/>
      <c r="X292" s="542"/>
      <c r="Z292" s="738"/>
      <c r="AB292" s="738"/>
      <c r="AD292" s="738"/>
    </row>
    <row r="293" spans="1:32">
      <c r="A293" s="6">
        <f>MAX(A$283:A292)+1</f>
        <v>131</v>
      </c>
      <c r="B293" s="58"/>
      <c r="C293" s="10" t="s">
        <v>266</v>
      </c>
      <c r="D293" s="58"/>
      <c r="E293" s="30"/>
      <c r="F293" s="58"/>
      <c r="G293" s="411">
        <f>G291</f>
        <v>976879.860067136</v>
      </c>
      <c r="H293" s="58"/>
      <c r="I293" s="556">
        <f>J293/G293*100</f>
        <v>21.038702041460809</v>
      </c>
      <c r="J293" s="554">
        <f>J284+J291</f>
        <v>205522.84306256403</v>
      </c>
      <c r="K293" s="539"/>
      <c r="L293" s="411">
        <f>L291</f>
        <v>5811.0881205523092</v>
      </c>
      <c r="M293" s="411">
        <f>M291</f>
        <v>2800.9558375251618</v>
      </c>
      <c r="N293" s="554">
        <f>N284+N291</f>
        <v>196910.79910448659</v>
      </c>
      <c r="O293" s="539"/>
      <c r="P293" s="411">
        <f>P291+P284</f>
        <v>5380.6440082562503</v>
      </c>
      <c r="Q293" s="411">
        <f t="shared" ref="Q293:R293" si="97">Q291+Q284</f>
        <v>12031.445193721327</v>
      </c>
      <c r="R293" s="411">
        <f t="shared" si="97"/>
        <v>2723.3095686261609</v>
      </c>
      <c r="S293" s="655"/>
      <c r="T293" s="554">
        <f>T284+T291</f>
        <v>217046.19787509035</v>
      </c>
      <c r="U293" s="556">
        <f>T293/G293*100</f>
        <v>22.218310229077083</v>
      </c>
      <c r="V293" s="554">
        <f>V284+V291</f>
        <v>11523.354812526275</v>
      </c>
      <c r="W293" s="656">
        <f>U293/I293-1</f>
        <v>5.6068486795983308E-2</v>
      </c>
      <c r="X293" s="630"/>
      <c r="Z293" s="738"/>
      <c r="AB293" s="738"/>
      <c r="AD293" s="738"/>
    </row>
    <row r="294" spans="1:32">
      <c r="A294" s="6"/>
      <c r="B294" s="58"/>
      <c r="C294" s="10"/>
      <c r="D294" s="58"/>
      <c r="E294" s="30"/>
      <c r="F294" s="58"/>
      <c r="G294" s="29"/>
      <c r="H294" s="58"/>
      <c r="I294" s="58"/>
      <c r="J294" s="58"/>
      <c r="K294" s="58"/>
      <c r="L294" s="501"/>
      <c r="M294" s="501"/>
      <c r="N294" s="501"/>
      <c r="O294" s="58"/>
      <c r="P294" s="58"/>
      <c r="Q294" s="501"/>
      <c r="R294" s="501"/>
      <c r="S294" s="58"/>
      <c r="T294" s="58"/>
      <c r="U294" s="58"/>
      <c r="V294" s="501"/>
      <c r="W294" s="501"/>
      <c r="Z294" s="738"/>
      <c r="AB294" s="738"/>
      <c r="AD294" s="738"/>
    </row>
    <row r="295" spans="1:32">
      <c r="A295" s="6"/>
      <c r="B295" s="58"/>
      <c r="C295" s="10" t="s">
        <v>268</v>
      </c>
      <c r="D295" s="58"/>
      <c r="E295" s="30"/>
      <c r="F295" s="58"/>
      <c r="G295" s="132"/>
      <c r="H295" s="58"/>
      <c r="I295" s="58"/>
      <c r="J295" s="58"/>
      <c r="K295" s="58"/>
      <c r="L295" s="501"/>
      <c r="M295" s="501"/>
      <c r="N295" s="501"/>
      <c r="O295" s="58"/>
      <c r="P295" s="58"/>
      <c r="Q295" s="501"/>
      <c r="R295" s="501"/>
      <c r="S295" s="58"/>
      <c r="T295" s="58"/>
      <c r="U295" s="58"/>
      <c r="V295" s="501"/>
      <c r="W295" s="501"/>
      <c r="Z295" s="738"/>
      <c r="AB295" s="738"/>
      <c r="AD295" s="738"/>
    </row>
    <row r="296" spans="1:32">
      <c r="A296" s="6">
        <f>MAX(A$283:A295)+1</f>
        <v>132</v>
      </c>
      <c r="B296" s="58"/>
      <c r="C296" s="12" t="s">
        <v>306</v>
      </c>
      <c r="D296" s="58"/>
      <c r="E296" s="522" t="s">
        <v>262</v>
      </c>
      <c r="F296" s="58"/>
      <c r="G296" s="29">
        <v>274790.8752561867</v>
      </c>
      <c r="H296" s="58"/>
      <c r="I296" s="620">
        <v>-0.41985164310900586</v>
      </c>
      <c r="J296" s="621">
        <f>G296*I296/100</f>
        <v>-1153.7140048767185</v>
      </c>
      <c r="K296" s="58"/>
      <c r="L296" s="643">
        <v>0</v>
      </c>
      <c r="M296" s="643">
        <v>0</v>
      </c>
      <c r="N296" s="622">
        <f>J296-L296-M296</f>
        <v>-1153.7140048767185</v>
      </c>
      <c r="O296" s="58"/>
      <c r="P296" s="29">
        <v>-31.525565767915168</v>
      </c>
      <c r="Q296" s="643">
        <v>0</v>
      </c>
      <c r="R296" s="643">
        <v>0</v>
      </c>
      <c r="S296" s="539"/>
      <c r="T296" s="621">
        <f>N296+P296+Q296+R296</f>
        <v>-1185.2395706446337</v>
      </c>
      <c r="U296" s="750">
        <f>T296/G296*100</f>
        <v>-0.43132420956104833</v>
      </c>
      <c r="V296" s="549">
        <f>T296-J296</f>
        <v>-31.525565767915168</v>
      </c>
      <c r="W296" s="541"/>
      <c r="X296" s="542"/>
      <c r="Z296" s="747"/>
      <c r="AB296" s="747"/>
      <c r="AD296" s="747"/>
      <c r="AF296" s="744"/>
    </row>
    <row r="297" spans="1:32">
      <c r="A297" s="6">
        <f>MAX(A$283:A296)+1</f>
        <v>133</v>
      </c>
      <c r="B297" s="58"/>
      <c r="C297" s="12" t="s">
        <v>307</v>
      </c>
      <c r="D297" s="58"/>
      <c r="E297" s="522" t="s">
        <v>262</v>
      </c>
      <c r="F297" s="58"/>
      <c r="G297" s="29">
        <v>702088.9848109493</v>
      </c>
      <c r="H297" s="58"/>
      <c r="I297" s="620">
        <v>-0.16237258638936697</v>
      </c>
      <c r="J297" s="621">
        <f t="shared" ref="J297" si="98">G297*I297/100</f>
        <v>-1140.0000433923881</v>
      </c>
      <c r="K297" s="58"/>
      <c r="L297" s="643">
        <v>0</v>
      </c>
      <c r="M297" s="643">
        <v>0</v>
      </c>
      <c r="N297" s="622">
        <f>J297-L297-M297</f>
        <v>-1140.0000433923881</v>
      </c>
      <c r="O297" s="58"/>
      <c r="P297" s="29">
        <v>-31.150827840763895</v>
      </c>
      <c r="Q297" s="643">
        <v>0</v>
      </c>
      <c r="R297" s="643">
        <v>0</v>
      </c>
      <c r="S297" s="539"/>
      <c r="T297" s="621">
        <f>N297+P297+Q297+R297</f>
        <v>-1171.150871233152</v>
      </c>
      <c r="U297" s="750">
        <f>T297/G297*100</f>
        <v>-0.16680946383861961</v>
      </c>
      <c r="V297" s="549">
        <f>T297-J297</f>
        <v>-31.150827840763895</v>
      </c>
      <c r="W297" s="541"/>
      <c r="X297" s="542"/>
      <c r="Z297" s="747"/>
      <c r="AB297" s="747"/>
      <c r="AD297" s="747"/>
      <c r="AF297" s="744"/>
    </row>
    <row r="298" spans="1:32">
      <c r="A298" s="6">
        <f>MAX(A$283:A297)+1</f>
        <v>134</v>
      </c>
      <c r="B298" s="58"/>
      <c r="C298" s="10" t="s">
        <v>268</v>
      </c>
      <c r="D298" s="58"/>
      <c r="E298" s="591"/>
      <c r="F298" s="58"/>
      <c r="G298" s="663">
        <f>SUM(G296:G297)</f>
        <v>976879.860067136</v>
      </c>
      <c r="H298" s="58"/>
      <c r="I298" s="666">
        <f>J298/G298*100</f>
        <v>-0.23480001400699069</v>
      </c>
      <c r="J298" s="685">
        <f>SUM(J296:J297)</f>
        <v>-2293.7140482691066</v>
      </c>
      <c r="K298" s="539"/>
      <c r="L298" s="645">
        <f t="shared" ref="L298:N298" si="99">SUM(L296:L297)</f>
        <v>0</v>
      </c>
      <c r="M298" s="645">
        <f t="shared" si="99"/>
        <v>0</v>
      </c>
      <c r="N298" s="645">
        <f t="shared" si="99"/>
        <v>-2293.7140482691066</v>
      </c>
      <c r="O298" s="640"/>
      <c r="P298" s="645">
        <f t="shared" ref="P298:R298" si="100">SUM(P296:P297)</f>
        <v>-62.676393608679064</v>
      </c>
      <c r="Q298" s="645">
        <f t="shared" si="100"/>
        <v>0</v>
      </c>
      <c r="R298" s="645">
        <f t="shared" si="100"/>
        <v>0</v>
      </c>
      <c r="S298" s="539"/>
      <c r="T298" s="685">
        <f>SUM(T296:T297)</f>
        <v>-2356.3904418777856</v>
      </c>
      <c r="U298" s="639">
        <f>T298/G298*100</f>
        <v>-0.24121599166921537</v>
      </c>
      <c r="V298" s="557">
        <f>SUM(V296:V297)</f>
        <v>-62.676393608679064</v>
      </c>
      <c r="W298" s="562">
        <f>U298/I298-1</f>
        <v>2.7325286539521487E-2</v>
      </c>
      <c r="X298" s="542"/>
      <c r="Z298" s="747"/>
      <c r="AB298" s="747"/>
      <c r="AD298" s="747"/>
      <c r="AF298" s="744"/>
    </row>
    <row r="299" spans="1:32">
      <c r="A299" s="6"/>
      <c r="C299" s="58"/>
      <c r="L299" s="501"/>
      <c r="M299" s="501"/>
      <c r="N299" s="501"/>
      <c r="Q299" s="501"/>
      <c r="R299" s="501"/>
      <c r="U299" s="632"/>
      <c r="V299" s="501"/>
      <c r="W299" s="541"/>
      <c r="X299" s="542"/>
    </row>
    <row r="300" spans="1:32">
      <c r="A300" s="6"/>
      <c r="B300" s="581"/>
      <c r="C300" s="10" t="s">
        <v>308</v>
      </c>
      <c r="D300" s="581"/>
      <c r="E300" s="581"/>
      <c r="F300" s="581"/>
      <c r="G300" s="581"/>
      <c r="H300" s="581"/>
      <c r="I300" s="581"/>
      <c r="J300" s="581"/>
      <c r="K300" s="581"/>
      <c r="L300" s="501"/>
      <c r="M300" s="501"/>
      <c r="N300" s="501"/>
      <c r="O300" s="581"/>
      <c r="P300" s="581"/>
      <c r="Q300" s="501"/>
      <c r="R300" s="501"/>
      <c r="S300" s="581"/>
      <c r="T300" s="581"/>
      <c r="U300" s="657"/>
      <c r="V300" s="501"/>
      <c r="W300" s="541"/>
      <c r="X300" s="542"/>
    </row>
    <row r="301" spans="1:32">
      <c r="A301" s="6">
        <f>MAX(A$283:A300)+1</f>
        <v>135</v>
      </c>
      <c r="B301" s="57"/>
      <c r="C301" s="12" t="s">
        <v>306</v>
      </c>
      <c r="D301" s="57"/>
      <c r="E301" s="522" t="s">
        <v>262</v>
      </c>
      <c r="F301" s="57"/>
      <c r="G301" s="29">
        <v>274790.8752561867</v>
      </c>
      <c r="H301" s="614"/>
      <c r="I301" s="547">
        <v>1.7038789273859507</v>
      </c>
      <c r="J301" s="624">
        <f>G301*I301/100</f>
        <v>4682.1038178695799</v>
      </c>
      <c r="K301" s="614"/>
      <c r="L301" s="643">
        <v>0</v>
      </c>
      <c r="M301" s="643">
        <v>0</v>
      </c>
      <c r="N301" s="534">
        <f>J301-L301-M301</f>
        <v>4682.1038178695799</v>
      </c>
      <c r="O301" s="614"/>
      <c r="P301" s="29">
        <v>127.93982843107369</v>
      </c>
      <c r="Q301" s="643">
        <v>0</v>
      </c>
      <c r="R301" s="643">
        <v>0</v>
      </c>
      <c r="S301" s="614"/>
      <c r="T301" s="624">
        <f>N301+P301+Q301+R30</f>
        <v>4810.0436463006536</v>
      </c>
      <c r="U301" s="597">
        <f>T301/G301*100</f>
        <v>1.7504379073054244</v>
      </c>
      <c r="V301" s="624">
        <f>T301-J301</f>
        <v>127.93982843107369</v>
      </c>
      <c r="W301" s="599"/>
      <c r="X301" s="600"/>
      <c r="Z301" s="738"/>
      <c r="AB301" s="738"/>
      <c r="AD301" s="738"/>
      <c r="AF301" s="744"/>
    </row>
    <row r="302" spans="1:32">
      <c r="A302" s="6">
        <f>MAX(A$283:A301)+1</f>
        <v>136</v>
      </c>
      <c r="B302" s="3"/>
      <c r="C302" s="12" t="s">
        <v>307</v>
      </c>
      <c r="D302" s="3"/>
      <c r="E302" s="522" t="s">
        <v>262</v>
      </c>
      <c r="F302" s="3"/>
      <c r="G302" s="29">
        <v>702088.9848109493</v>
      </c>
      <c r="H302" s="616"/>
      <c r="I302" s="547">
        <v>2.1533828779895305</v>
      </c>
      <c r="J302" s="624">
        <f>G302*I302/100</f>
        <v>15118.663987169499</v>
      </c>
      <c r="K302" s="616"/>
      <c r="L302" s="643">
        <v>0</v>
      </c>
      <c r="M302" s="643">
        <v>0</v>
      </c>
      <c r="N302" s="534">
        <f>J302-L302-M302</f>
        <v>15118.663987169499</v>
      </c>
      <c r="O302" s="616"/>
      <c r="P302" s="29">
        <v>413.12182554415085</v>
      </c>
      <c r="Q302" s="643">
        <v>0</v>
      </c>
      <c r="R302" s="643">
        <v>0</v>
      </c>
      <c r="S302" s="616"/>
      <c r="T302" s="624">
        <f>N302+P302+Q302+R31</f>
        <v>15531.78581271365</v>
      </c>
      <c r="U302" s="597">
        <f>T302/G302*100</f>
        <v>2.2122246821598939</v>
      </c>
      <c r="V302" s="624">
        <f>T302-J302</f>
        <v>413.12182554415085</v>
      </c>
      <c r="W302" s="599"/>
      <c r="X302" s="600"/>
      <c r="Z302" s="738"/>
      <c r="AB302" s="738"/>
      <c r="AD302" s="738"/>
      <c r="AF302" s="744"/>
    </row>
    <row r="303" spans="1:32">
      <c r="A303" s="6">
        <f>MAX(A$283:A302)+1</f>
        <v>137</v>
      </c>
      <c r="B303" s="5"/>
      <c r="C303" s="10" t="s">
        <v>309</v>
      </c>
      <c r="D303" s="5"/>
      <c r="E303" s="6"/>
      <c r="F303" s="5"/>
      <c r="G303" s="411">
        <f>SUM(G301:G302)</f>
        <v>976879.860067136</v>
      </c>
      <c r="H303" s="659"/>
      <c r="I303" s="660">
        <f>J303/G303*100</f>
        <v>2.0269399149736049</v>
      </c>
      <c r="J303" s="661">
        <f>SUM(J301:J302)</f>
        <v>19800.767805039079</v>
      </c>
      <c r="K303" s="659"/>
      <c r="L303" s="662">
        <f>SUM(L301:L302)</f>
        <v>0</v>
      </c>
      <c r="M303" s="662">
        <f>SUM(M301:M302)</f>
        <v>0</v>
      </c>
      <c r="N303" s="552">
        <f>SUM(N301:N302)</f>
        <v>19800.767805039079</v>
      </c>
      <c r="O303" s="751"/>
      <c r="P303" s="636">
        <f>SUM(P301:P302)</f>
        <v>541.06165397522454</v>
      </c>
      <c r="Q303" s="663">
        <f t="shared" ref="Q303:R303" si="101">SUM(Q301:Q302)</f>
        <v>0</v>
      </c>
      <c r="R303" s="663">
        <f t="shared" si="101"/>
        <v>0</v>
      </c>
      <c r="S303" s="642"/>
      <c r="T303" s="636">
        <f>SUM(T301:T302)</f>
        <v>20341.829459014305</v>
      </c>
      <c r="U303" s="635">
        <f>T303/G303*100</f>
        <v>2.0823266289486519</v>
      </c>
      <c r="V303" s="550">
        <f>T303-J303</f>
        <v>541.06165397522636</v>
      </c>
      <c r="W303" s="664">
        <f>U303/I303-1</f>
        <v>2.7325286539521487E-2</v>
      </c>
      <c r="X303" s="653"/>
      <c r="Z303" s="738"/>
      <c r="AB303" s="738"/>
      <c r="AD303" s="738"/>
      <c r="AF303" s="744"/>
    </row>
    <row r="304" spans="1:32">
      <c r="A304" s="6"/>
      <c r="B304" s="58"/>
      <c r="D304" s="58"/>
      <c r="E304" s="6"/>
      <c r="F304" s="58"/>
      <c r="G304" s="665"/>
      <c r="H304" s="539"/>
      <c r="I304" s="539"/>
      <c r="J304" s="539"/>
      <c r="K304" s="539"/>
      <c r="L304" s="534"/>
      <c r="M304" s="534"/>
      <c r="N304" s="534"/>
      <c r="O304" s="539"/>
      <c r="P304" s="539"/>
      <c r="Q304" s="534"/>
      <c r="R304" s="534"/>
      <c r="S304" s="58"/>
      <c r="T304" s="58"/>
      <c r="U304" s="548"/>
      <c r="V304" s="501"/>
      <c r="W304" s="541"/>
      <c r="X304" s="542"/>
      <c r="Z304" s="738"/>
      <c r="AB304" s="738"/>
      <c r="AD304" s="738"/>
      <c r="AF304" s="744"/>
    </row>
    <row r="305" spans="1:32">
      <c r="A305" s="6"/>
      <c r="B305" s="58"/>
      <c r="C305" s="10" t="s">
        <v>270</v>
      </c>
      <c r="D305" s="58"/>
      <c r="E305" s="6"/>
      <c r="F305" s="58"/>
      <c r="G305" s="665"/>
      <c r="H305" s="539"/>
      <c r="I305" s="539"/>
      <c r="J305" s="539"/>
      <c r="K305" s="539"/>
      <c r="L305" s="534"/>
      <c r="M305" s="534"/>
      <c r="N305" s="534"/>
      <c r="O305" s="539"/>
      <c r="P305" s="539"/>
      <c r="Q305" s="534"/>
      <c r="R305" s="534"/>
      <c r="S305" s="58"/>
      <c r="T305" s="58"/>
      <c r="U305" s="548"/>
      <c r="V305" s="501"/>
      <c r="W305" s="541"/>
      <c r="X305" s="542"/>
      <c r="Z305" s="738"/>
      <c r="AB305" s="738"/>
      <c r="AD305" s="738"/>
      <c r="AF305" s="744"/>
    </row>
    <row r="306" spans="1:32">
      <c r="A306" s="6">
        <f>MAX(A$283:A305)+1</f>
        <v>138</v>
      </c>
      <c r="B306" s="58"/>
      <c r="C306" s="12" t="s">
        <v>306</v>
      </c>
      <c r="D306" s="58"/>
      <c r="E306" s="522" t="s">
        <v>262</v>
      </c>
      <c r="F306" s="58"/>
      <c r="G306" s="29">
        <v>261993.35937156968</v>
      </c>
      <c r="H306" s="624"/>
      <c r="I306" s="547">
        <v>0.20849999999999999</v>
      </c>
      <c r="J306" s="624">
        <f>G306*I306/100</f>
        <v>546.25615428972276</v>
      </c>
      <c r="K306" s="539"/>
      <c r="L306" s="643">
        <v>0</v>
      </c>
      <c r="M306" s="643">
        <v>0</v>
      </c>
      <c r="N306" s="534">
        <f>J306-L306-M306</f>
        <v>546.25615428972276</v>
      </c>
      <c r="O306" s="539"/>
      <c r="P306" s="29">
        <v>14.926605939943784</v>
      </c>
      <c r="Q306" s="643">
        <v>0</v>
      </c>
      <c r="R306" s="643">
        <v>0</v>
      </c>
      <c r="S306" s="58"/>
      <c r="T306" s="539">
        <f>N306+P306+Q306+R306</f>
        <v>561.18276022966654</v>
      </c>
      <c r="U306" s="548">
        <f>T306/G306*100</f>
        <v>0.21419732224349022</v>
      </c>
      <c r="V306" s="534">
        <f>T306-J306</f>
        <v>14.926605939943784</v>
      </c>
      <c r="W306" s="541"/>
      <c r="X306" s="542"/>
      <c r="Z306" s="738"/>
      <c r="AB306" s="738"/>
      <c r="AD306" s="738"/>
      <c r="AF306" s="744"/>
    </row>
    <row r="307" spans="1:32">
      <c r="A307" s="6">
        <f>MAX(A$283:A306)+1</f>
        <v>139</v>
      </c>
      <c r="B307" s="58"/>
      <c r="C307" s="12" t="s">
        <v>307</v>
      </c>
      <c r="D307" s="58"/>
      <c r="E307" s="522" t="s">
        <v>262</v>
      </c>
      <c r="F307" s="58"/>
      <c r="G307" s="29">
        <v>657094.96247954725</v>
      </c>
      <c r="H307" s="624"/>
      <c r="I307" s="547">
        <v>0.20849999999999999</v>
      </c>
      <c r="J307" s="624">
        <f>G307*I307/100</f>
        <v>1370.042996769856</v>
      </c>
      <c r="K307" s="539"/>
      <c r="L307" s="643">
        <v>0</v>
      </c>
      <c r="M307" s="643">
        <v>0</v>
      </c>
      <c r="N307" s="534">
        <f>J307-L307-M307</f>
        <v>1370.042996769856</v>
      </c>
      <c r="O307" s="539"/>
      <c r="P307" s="29">
        <v>37.436817458200949</v>
      </c>
      <c r="Q307" s="643">
        <v>0</v>
      </c>
      <c r="R307" s="643">
        <v>0</v>
      </c>
      <c r="S307" s="58"/>
      <c r="T307" s="539">
        <f>N307+P307+Q307+R307</f>
        <v>1407.479814228057</v>
      </c>
      <c r="U307" s="548">
        <f>T307/G307*100</f>
        <v>0.21419732224349022</v>
      </c>
      <c r="V307" s="534">
        <f>T307-J307</f>
        <v>37.436817458200949</v>
      </c>
      <c r="W307" s="541"/>
      <c r="X307" s="542"/>
      <c r="Z307" s="738"/>
      <c r="AB307" s="738"/>
      <c r="AD307" s="738"/>
      <c r="AF307" s="744"/>
    </row>
    <row r="308" spans="1:32">
      <c r="A308" s="6">
        <f>MAX(A$283:A307)+1</f>
        <v>140</v>
      </c>
      <c r="B308" s="58"/>
      <c r="C308" s="10" t="s">
        <v>270</v>
      </c>
      <c r="D308" s="58"/>
      <c r="E308" s="30"/>
      <c r="F308" s="58"/>
      <c r="G308" s="411">
        <f>SUM(G306:G307)</f>
        <v>919088.32185111695</v>
      </c>
      <c r="H308" s="411"/>
      <c r="I308" s="668">
        <f>J308/G308*100</f>
        <v>0.20850000000000002</v>
      </c>
      <c r="J308" s="552">
        <f t="shared" ref="J308" si="102">SUM(J306:J307)</f>
        <v>1916.2991510595789</v>
      </c>
      <c r="K308" s="539"/>
      <c r="L308" s="662">
        <f t="shared" ref="L308:N308" si="103">SUM(L306:L307)</f>
        <v>0</v>
      </c>
      <c r="M308" s="662">
        <f t="shared" si="103"/>
        <v>0</v>
      </c>
      <c r="N308" s="552">
        <f t="shared" si="103"/>
        <v>1916.2991510595789</v>
      </c>
      <c r="O308" s="539"/>
      <c r="P308" s="619">
        <f t="shared" ref="P308:R308" si="104">SUM(P306:P307)</f>
        <v>52.363423398144732</v>
      </c>
      <c r="Q308" s="662">
        <f t="shared" si="104"/>
        <v>0</v>
      </c>
      <c r="R308" s="662">
        <f t="shared" si="104"/>
        <v>0</v>
      </c>
      <c r="S308" s="58"/>
      <c r="T308" s="554">
        <f>SUM(T306:T307)</f>
        <v>1968.6625744577236</v>
      </c>
      <c r="U308" s="556">
        <f>T308/G308*100</f>
        <v>0.21419732224349022</v>
      </c>
      <c r="V308" s="552">
        <f>SUM(V306:V307)</f>
        <v>52.363423398144732</v>
      </c>
      <c r="W308" s="562">
        <f>U308/I308-1</f>
        <v>2.7325286539521265E-2</v>
      </c>
      <c r="X308" s="542"/>
      <c r="Z308" s="738"/>
      <c r="AB308" s="738"/>
      <c r="AD308" s="738"/>
      <c r="AF308" s="744"/>
    </row>
    <row r="309" spans="1:32">
      <c r="A309" s="6"/>
      <c r="B309" s="58"/>
      <c r="C309" s="10"/>
      <c r="D309" s="58"/>
      <c r="E309" s="30"/>
      <c r="F309" s="58"/>
      <c r="G309" s="536"/>
      <c r="H309" s="624"/>
      <c r="I309" s="624"/>
      <c r="J309" s="624"/>
      <c r="K309" s="539"/>
      <c r="L309" s="534"/>
      <c r="M309" s="534"/>
      <c r="N309" s="534"/>
      <c r="O309" s="539"/>
      <c r="P309" s="539"/>
      <c r="Q309" s="534"/>
      <c r="R309" s="534"/>
      <c r="S309" s="58"/>
      <c r="T309" s="58"/>
      <c r="U309" s="548"/>
      <c r="V309" s="501"/>
      <c r="W309" s="541"/>
      <c r="X309" s="542"/>
      <c r="Z309" s="738"/>
      <c r="AB309" s="738"/>
      <c r="AD309" s="738"/>
      <c r="AF309" s="744"/>
    </row>
    <row r="310" spans="1:32" ht="12.95" thickBot="1">
      <c r="A310" s="6">
        <f>MAX(A$283:A309)+1</f>
        <v>141</v>
      </c>
      <c r="B310" s="58"/>
      <c r="C310" s="10" t="s">
        <v>310</v>
      </c>
      <c r="D310" s="58"/>
      <c r="E310" s="30"/>
      <c r="F310" s="58"/>
      <c r="G310" s="589">
        <f>G293</f>
        <v>976879.860067136</v>
      </c>
      <c r="H310" s="58"/>
      <c r="I310" s="651">
        <f>J310/G310*100</f>
        <v>23.027007226347585</v>
      </c>
      <c r="J310" s="627">
        <f>J293+J298+J303+J308</f>
        <v>224946.19597039357</v>
      </c>
      <c r="K310" s="539"/>
      <c r="L310" s="589">
        <f>L293+L298+L303+L308</f>
        <v>5811.0881205523092</v>
      </c>
      <c r="M310" s="589">
        <f t="shared" ref="M310:R310" si="105">M293+M298+M303+M308</f>
        <v>2800.9558375251618</v>
      </c>
      <c r="N310" s="627">
        <f>N293+N298+N303+N308</f>
        <v>216334.15201231613</v>
      </c>
      <c r="O310" s="539"/>
      <c r="P310" s="589">
        <f>P293+P298+P303+P308</f>
        <v>5911.3926920209406</v>
      </c>
      <c r="Q310" s="589">
        <f>Q293+Q298+Q303+Q308</f>
        <v>12031.445193721327</v>
      </c>
      <c r="R310" s="589">
        <f t="shared" si="105"/>
        <v>2723.3095686261609</v>
      </c>
      <c r="S310" s="539"/>
      <c r="T310" s="627">
        <f>T293+T298+T303+T308</f>
        <v>237000.29946668461</v>
      </c>
      <c r="U310" s="651">
        <f>T310/G310*100</f>
        <v>24.260946422868905</v>
      </c>
      <c r="V310" s="627">
        <f>V293+V298+V303+V308</f>
        <v>12054.103496290967</v>
      </c>
      <c r="W310" s="629">
        <f>U310/I310-1</f>
        <v>5.3586607429794153E-2</v>
      </c>
      <c r="X310" s="630"/>
      <c r="Z310" s="738"/>
      <c r="AB310" s="738"/>
      <c r="AD310" s="738"/>
      <c r="AF310" s="744"/>
    </row>
    <row r="311" spans="1:32" ht="12.95" thickTop="1">
      <c r="A311" s="6"/>
      <c r="B311" s="58"/>
      <c r="C311" s="12"/>
      <c r="D311" s="58"/>
      <c r="E311" s="30"/>
      <c r="F311" s="58"/>
      <c r="L311" s="501"/>
      <c r="M311" s="501"/>
      <c r="N311" s="501"/>
      <c r="Q311" s="501"/>
      <c r="R311" s="501"/>
      <c r="V311" s="501"/>
      <c r="W311" s="501"/>
    </row>
    <row r="312" spans="1:32">
      <c r="A312" s="6"/>
      <c r="B312" s="58"/>
      <c r="C312" s="9" t="s">
        <v>141</v>
      </c>
      <c r="D312" s="58"/>
      <c r="E312" s="30"/>
      <c r="F312" s="58"/>
      <c r="G312" s="29"/>
      <c r="H312" s="58"/>
      <c r="I312" s="58"/>
      <c r="J312" s="58"/>
      <c r="K312" s="58"/>
      <c r="L312" s="501"/>
      <c r="M312" s="501"/>
      <c r="N312" s="501"/>
      <c r="O312" s="58"/>
      <c r="P312" s="58"/>
      <c r="Q312" s="501"/>
      <c r="R312" s="501"/>
      <c r="S312" s="58"/>
      <c r="T312" s="58"/>
      <c r="U312" s="58"/>
      <c r="V312" s="534"/>
      <c r="W312" s="501"/>
    </row>
    <row r="313" spans="1:32">
      <c r="A313" s="6">
        <f>MAX(A$283:A312)+1</f>
        <v>142</v>
      </c>
      <c r="B313" s="58"/>
      <c r="C313" s="10" t="s">
        <v>258</v>
      </c>
      <c r="D313" s="58"/>
      <c r="E313" s="30" t="s">
        <v>259</v>
      </c>
      <c r="F313" s="58"/>
      <c r="G313" s="29">
        <v>26448.999999999989</v>
      </c>
      <c r="H313" s="58"/>
      <c r="I313" s="537">
        <v>76.58</v>
      </c>
      <c r="J313" s="539">
        <f>G313*I313/1000</f>
        <v>2025.4644199999993</v>
      </c>
      <c r="K313" s="58"/>
      <c r="L313" s="643">
        <v>0</v>
      </c>
      <c r="M313" s="643">
        <v>0</v>
      </c>
      <c r="N313" s="534">
        <f>J313-L313-M313</f>
        <v>2025.4644199999993</v>
      </c>
      <c r="O313" s="58"/>
      <c r="P313" s="29">
        <v>55.346395652105457</v>
      </c>
      <c r="Q313" s="643">
        <v>0</v>
      </c>
      <c r="R313" s="643">
        <v>0</v>
      </c>
      <c r="S313" s="58"/>
      <c r="T313" s="539">
        <f>N313+P313+Q313+R313</f>
        <v>2080.8108156521048</v>
      </c>
      <c r="U313" s="540">
        <f>T313/G313*1000</f>
        <v>78.672570443196562</v>
      </c>
      <c r="V313" s="534">
        <f>T313-J313</f>
        <v>55.346395652105457</v>
      </c>
      <c r="W313" s="541">
        <f>U313/I313-1</f>
        <v>2.7325286539521709E-2</v>
      </c>
      <c r="X313" s="542"/>
      <c r="Z313" s="738"/>
      <c r="AB313" s="738"/>
      <c r="AD313" s="738"/>
      <c r="AF313" s="739"/>
    </row>
    <row r="314" spans="1:32">
      <c r="A314" s="6"/>
      <c r="B314" s="58"/>
      <c r="C314" s="521" t="s">
        <v>260</v>
      </c>
      <c r="E314" s="30"/>
      <c r="G314" s="29"/>
      <c r="I314" s="537"/>
      <c r="J314" s="539"/>
      <c r="L314" s="643"/>
      <c r="M314" s="501"/>
      <c r="N314" s="534"/>
      <c r="P314" s="29"/>
      <c r="Q314" s="29"/>
      <c r="R314" s="501"/>
      <c r="T314" s="539"/>
      <c r="U314" s="632"/>
      <c r="V314" s="534"/>
      <c r="W314" s="541"/>
      <c r="X314" s="542"/>
      <c r="Z314" s="738"/>
      <c r="AB314" s="738"/>
      <c r="AD314" s="738"/>
      <c r="AF314" s="744"/>
    </row>
    <row r="315" spans="1:32">
      <c r="A315" s="6">
        <f>MAX(A$283:A314)+1</f>
        <v>143</v>
      </c>
      <c r="B315" s="58"/>
      <c r="C315" s="526" t="s">
        <v>311</v>
      </c>
      <c r="D315" s="58"/>
      <c r="E315" s="522" t="s">
        <v>262</v>
      </c>
      <c r="F315" s="58"/>
      <c r="G315" s="29">
        <v>21878.718395321583</v>
      </c>
      <c r="H315" s="58"/>
      <c r="I315" s="547">
        <v>10.1753</v>
      </c>
      <c r="J315" s="539">
        <f>G315*I315/100</f>
        <v>2226.2252328791569</v>
      </c>
      <c r="K315" s="58"/>
      <c r="L315" s="643">
        <v>279.10681056911744</v>
      </c>
      <c r="M315" s="643">
        <v>47.030201551170357</v>
      </c>
      <c r="N315" s="534">
        <f t="shared" ref="N315:N319" si="106">J315-L315-M315</f>
        <v>1900.0882207588691</v>
      </c>
      <c r="O315" s="58"/>
      <c r="P315" s="29">
        <v>51.920455082605713</v>
      </c>
      <c r="Q315" s="29">
        <v>148.39462954453123</v>
      </c>
      <c r="R315" s="29">
        <v>45.726461011211455</v>
      </c>
      <c r="S315" s="58"/>
      <c r="T315" s="539">
        <f t="shared" ref="T315:T319" si="107">N315+P315+Q315+R315</f>
        <v>2146.1297663972177</v>
      </c>
      <c r="U315" s="548">
        <f t="shared" ref="U315:U320" si="108">T315/G315*100</f>
        <v>9.8092115251875711</v>
      </c>
      <c r="V315" s="549">
        <f>T315-J315</f>
        <v>-80.095466481939184</v>
      </c>
      <c r="W315" s="541"/>
      <c r="X315" s="542"/>
      <c r="Z315" s="738"/>
      <c r="AB315" s="738"/>
      <c r="AD315" s="738"/>
      <c r="AF315" s="744"/>
    </row>
    <row r="316" spans="1:32">
      <c r="A316" s="6">
        <f>MAX(A$283:A315)+1</f>
        <v>144</v>
      </c>
      <c r="B316" s="58"/>
      <c r="C316" s="526" t="s">
        <v>312</v>
      </c>
      <c r="D316" s="58"/>
      <c r="E316" s="522" t="s">
        <v>262</v>
      </c>
      <c r="F316" s="58"/>
      <c r="G316" s="29">
        <v>127369.83644505285</v>
      </c>
      <c r="H316" s="58"/>
      <c r="I316" s="547">
        <v>8.3022000000000009</v>
      </c>
      <c r="J316" s="539">
        <f t="shared" ref="J316:J319" si="109">G316*I316/100</f>
        <v>10574.498561341177</v>
      </c>
      <c r="K316" s="58"/>
      <c r="L316" s="643">
        <v>1326.302106902335</v>
      </c>
      <c r="M316" s="643">
        <v>273.79250335025813</v>
      </c>
      <c r="N316" s="534">
        <f t="shared" si="106"/>
        <v>8974.403951088585</v>
      </c>
      <c r="O316" s="58"/>
      <c r="P316" s="29">
        <v>245.22815948491007</v>
      </c>
      <c r="Q316" s="29">
        <v>704.86973800039618</v>
      </c>
      <c r="R316" s="29">
        <v>266.20260633979802</v>
      </c>
      <c r="S316" s="58"/>
      <c r="T316" s="539">
        <f t="shared" si="107"/>
        <v>10190.70445491369</v>
      </c>
      <c r="U316" s="548">
        <f t="shared" si="108"/>
        <v>8.0008773971457092</v>
      </c>
      <c r="V316" s="549">
        <f>T316-J316</f>
        <v>-383.79410642748735</v>
      </c>
      <c r="W316" s="541"/>
      <c r="X316" s="542"/>
      <c r="Z316" s="738"/>
      <c r="AB316" s="738"/>
      <c r="AD316" s="738"/>
      <c r="AF316" s="744"/>
    </row>
    <row r="317" spans="1:32">
      <c r="A317" s="6">
        <f>MAX(A$283:A316)+1</f>
        <v>145</v>
      </c>
      <c r="C317" s="526" t="s">
        <v>313</v>
      </c>
      <c r="D317" s="58"/>
      <c r="E317" s="522" t="s">
        <v>262</v>
      </c>
      <c r="F317" s="58"/>
      <c r="G317" s="29">
        <v>86147.272263560444</v>
      </c>
      <c r="H317" s="58"/>
      <c r="I317" s="547">
        <v>7.2168000000000001</v>
      </c>
      <c r="J317" s="539">
        <f t="shared" si="109"/>
        <v>6217.07634471663</v>
      </c>
      <c r="K317" s="58"/>
      <c r="L317" s="643">
        <v>781.61420124728397</v>
      </c>
      <c r="M317" s="643">
        <v>185.18102863397834</v>
      </c>
      <c r="N317" s="534">
        <f t="shared" si="106"/>
        <v>5250.2811148353676</v>
      </c>
      <c r="O317" s="58"/>
      <c r="P317" s="29">
        <v>143.46543587591441</v>
      </c>
      <c r="Q317" s="29">
        <v>414.41482532795089</v>
      </c>
      <c r="R317" s="29">
        <v>180.04756106848802</v>
      </c>
      <c r="S317" s="58"/>
      <c r="T317" s="539">
        <f t="shared" si="107"/>
        <v>5988.2089371077209</v>
      </c>
      <c r="U317" s="548">
        <f t="shared" si="108"/>
        <v>6.9511300587525175</v>
      </c>
      <c r="V317" s="549">
        <f>T317-J317</f>
        <v>-228.86740760890916</v>
      </c>
      <c r="W317" s="541"/>
      <c r="X317" s="542"/>
      <c r="Z317" s="738"/>
      <c r="AB317" s="738"/>
      <c r="AD317" s="738"/>
      <c r="AF317" s="744"/>
    </row>
    <row r="318" spans="1:32">
      <c r="A318" s="6">
        <f>MAX(A$283:A317)+1</f>
        <v>146</v>
      </c>
      <c r="B318" s="58"/>
      <c r="C318" s="526" t="s">
        <v>314</v>
      </c>
      <c r="D318" s="58"/>
      <c r="E318" s="522" t="s">
        <v>262</v>
      </c>
      <c r="F318" s="58"/>
      <c r="G318" s="29">
        <v>61526.068987249084</v>
      </c>
      <c r="H318" s="58"/>
      <c r="I318" s="547">
        <v>6.5351999999999997</v>
      </c>
      <c r="J318" s="539">
        <f t="shared" si="109"/>
        <v>4020.8516604547021</v>
      </c>
      <c r="K318" s="58"/>
      <c r="L318" s="643">
        <v>505.62123493721293</v>
      </c>
      <c r="M318" s="643">
        <v>132.25561812342184</v>
      </c>
      <c r="N318" s="534">
        <f t="shared" si="106"/>
        <v>3382.9748073940673</v>
      </c>
      <c r="O318" s="58"/>
      <c r="P318" s="29">
        <v>92.440755968025314</v>
      </c>
      <c r="Q318" s="29">
        <v>268.01995763699853</v>
      </c>
      <c r="R318" s="29">
        <v>128.58931423150204</v>
      </c>
      <c r="S318" s="58"/>
      <c r="T318" s="539">
        <f t="shared" si="107"/>
        <v>3872.0248352305935</v>
      </c>
      <c r="U318" s="548">
        <f t="shared" si="108"/>
        <v>6.2933076969910875</v>
      </c>
      <c r="V318" s="549">
        <f>T318-J318</f>
        <v>-148.82682522410869</v>
      </c>
      <c r="W318" s="541"/>
      <c r="X318" s="542"/>
      <c r="Z318" s="738"/>
      <c r="AB318" s="738"/>
      <c r="AD318" s="738"/>
      <c r="AF318" s="744"/>
    </row>
    <row r="319" spans="1:32">
      <c r="A319" s="6">
        <f>MAX(A$283:A318)+1</f>
        <v>147</v>
      </c>
      <c r="B319" s="58"/>
      <c r="C319" s="526" t="s">
        <v>315</v>
      </c>
      <c r="D319" s="58"/>
      <c r="E319" s="574"/>
      <c r="F319" s="58"/>
      <c r="G319" s="29">
        <v>44741.947796564804</v>
      </c>
      <c r="H319" s="58"/>
      <c r="I319" s="547">
        <v>3.9527000000000001</v>
      </c>
      <c r="J319" s="539">
        <f t="shared" si="109"/>
        <v>1768.5149705548172</v>
      </c>
      <c r="K319" s="58"/>
      <c r="L319" s="643">
        <v>222.7254161312996</v>
      </c>
      <c r="M319" s="643">
        <v>96.176694843073619</v>
      </c>
      <c r="N319" s="534">
        <f t="shared" si="106"/>
        <v>1449.6128595804439</v>
      </c>
      <c r="O319" s="58"/>
      <c r="P319" s="29">
        <v>39.611086759410682</v>
      </c>
      <c r="Q319" s="29">
        <v>117.88480339881458</v>
      </c>
      <c r="R319" s="29">
        <v>93.510547305310183</v>
      </c>
      <c r="S319" s="58"/>
      <c r="T319" s="539">
        <f t="shared" si="107"/>
        <v>1700.6192970439793</v>
      </c>
      <c r="U319" s="548">
        <f t="shared" si="108"/>
        <v>3.8009505191335218</v>
      </c>
      <c r="V319" s="549">
        <f>T319-J319</f>
        <v>-67.895673510837923</v>
      </c>
      <c r="W319" s="541"/>
      <c r="X319" s="542"/>
      <c r="Z319" s="738"/>
      <c r="AB319" s="738"/>
      <c r="AD319" s="738"/>
      <c r="AF319" s="744"/>
    </row>
    <row r="320" spans="1:32">
      <c r="A320" s="6">
        <f>MAX(A$283:A319)+1</f>
        <v>148</v>
      </c>
      <c r="B320" s="58"/>
      <c r="C320" s="521" t="s">
        <v>260</v>
      </c>
      <c r="D320" s="58"/>
      <c r="E320" s="30"/>
      <c r="F320" s="58"/>
      <c r="G320" s="131">
        <f>SUM(G315:G319)</f>
        <v>341663.84388774872</v>
      </c>
      <c r="H320" s="58"/>
      <c r="I320" s="556">
        <f>J320/G320*100</f>
        <v>7.2606941629143247</v>
      </c>
      <c r="J320" s="554">
        <f>SUM(J315:J319)</f>
        <v>24807.166769946482</v>
      </c>
      <c r="K320" s="58"/>
      <c r="L320" s="650">
        <f>SUM(L315:L319)</f>
        <v>3115.369769787249</v>
      </c>
      <c r="M320" s="650">
        <f t="shared" ref="M320:N320" si="110">SUM(M315:M319)</f>
        <v>734.4360465019023</v>
      </c>
      <c r="N320" s="650">
        <f t="shared" si="110"/>
        <v>20957.360953657335</v>
      </c>
      <c r="O320" s="58"/>
      <c r="P320" s="619">
        <f>SUM(P315:P319)</f>
        <v>572.66589317086618</v>
      </c>
      <c r="Q320" s="619">
        <f t="shared" ref="Q320:R320" si="111">SUM(Q315:Q319)</f>
        <v>1653.5839539086912</v>
      </c>
      <c r="R320" s="619">
        <f t="shared" si="111"/>
        <v>714.07648995630973</v>
      </c>
      <c r="S320" s="132"/>
      <c r="T320" s="131">
        <f t="shared" ref="T320" si="112">SUM(T315:T319)</f>
        <v>23897.687290693204</v>
      </c>
      <c r="U320" s="635">
        <f t="shared" si="108"/>
        <v>6.9945028478180511</v>
      </c>
      <c r="V320" s="131">
        <f>SUM(V315:V319)</f>
        <v>-909.47947925328231</v>
      </c>
      <c r="W320" s="558">
        <f>U320/I320-1</f>
        <v>-3.6661964975182038E-2</v>
      </c>
      <c r="X320" s="559"/>
      <c r="Z320" s="738"/>
      <c r="AB320" s="738"/>
      <c r="AD320" s="738"/>
      <c r="AF320" s="744"/>
    </row>
    <row r="321" spans="1:32">
      <c r="A321" s="6"/>
      <c r="B321" s="58"/>
      <c r="C321" s="10"/>
      <c r="G321" s="129"/>
      <c r="L321" s="622"/>
      <c r="M321" s="622"/>
      <c r="N321" s="622"/>
      <c r="P321" s="564"/>
      <c r="Q321" s="564"/>
      <c r="R321" s="564"/>
      <c r="U321" s="632"/>
      <c r="V321" s="501"/>
      <c r="W321" s="541"/>
      <c r="X321" s="542"/>
      <c r="Z321" s="738"/>
      <c r="AB321" s="738"/>
      <c r="AD321" s="738"/>
      <c r="AF321" s="744"/>
    </row>
    <row r="322" spans="1:32">
      <c r="A322" s="6">
        <f>MAX(A$283:A321)+1</f>
        <v>149</v>
      </c>
      <c r="B322" s="58"/>
      <c r="C322" s="10" t="s">
        <v>266</v>
      </c>
      <c r="D322" s="58"/>
      <c r="E322" s="30"/>
      <c r="F322" s="58"/>
      <c r="G322" s="411">
        <f>G320</f>
        <v>341663.84388774872</v>
      </c>
      <c r="H322" s="58"/>
      <c r="I322" s="556">
        <f>J322/G322*100</f>
        <v>7.8535179153349786</v>
      </c>
      <c r="J322" s="554">
        <f>J313+J320</f>
        <v>26832.631189946482</v>
      </c>
      <c r="K322" s="539"/>
      <c r="L322" s="650">
        <f>L313+L320</f>
        <v>3115.369769787249</v>
      </c>
      <c r="M322" s="650">
        <f t="shared" ref="M322:N322" si="113">M313+M320</f>
        <v>734.4360465019023</v>
      </c>
      <c r="N322" s="650">
        <f t="shared" si="113"/>
        <v>22982.825373657335</v>
      </c>
      <c r="O322" s="539"/>
      <c r="P322" s="619">
        <f>P313+P320</f>
        <v>628.01228882297164</v>
      </c>
      <c r="Q322" s="619">
        <f t="shared" ref="Q322:R322" si="114">Q313+Q320</f>
        <v>1653.5839539086912</v>
      </c>
      <c r="R322" s="619">
        <f t="shared" si="114"/>
        <v>714.07648995630973</v>
      </c>
      <c r="S322" s="655"/>
      <c r="T322" s="654">
        <f t="shared" ref="T322" si="115">T313+T320</f>
        <v>25978.498106345309</v>
      </c>
      <c r="U322" s="556">
        <f>T322/G322*100</f>
        <v>7.6035256791410335</v>
      </c>
      <c r="V322" s="654">
        <f>V313+V320</f>
        <v>-854.13308360117685</v>
      </c>
      <c r="W322" s="558">
        <f>U322/I322-1</f>
        <v>-3.1831879533349539E-2</v>
      </c>
      <c r="X322" s="630"/>
      <c r="Z322" s="738"/>
      <c r="AB322" s="738"/>
      <c r="AD322" s="738"/>
      <c r="AF322" s="744"/>
    </row>
    <row r="323" spans="1:32">
      <c r="A323" s="6"/>
      <c r="B323" s="58"/>
      <c r="C323" s="10"/>
      <c r="D323" s="58"/>
      <c r="E323" s="30"/>
      <c r="F323" s="58"/>
      <c r="G323" s="29"/>
      <c r="H323" s="58"/>
      <c r="I323" s="58"/>
      <c r="J323" s="58"/>
      <c r="K323" s="58"/>
      <c r="L323" s="501"/>
      <c r="M323" s="501"/>
      <c r="N323" s="501"/>
      <c r="O323" s="58"/>
      <c r="P323" s="58"/>
      <c r="Q323" s="501"/>
      <c r="R323" s="501"/>
      <c r="S323" s="58"/>
      <c r="T323" s="58"/>
      <c r="U323" s="58"/>
      <c r="V323" s="501"/>
      <c r="W323" s="501"/>
      <c r="Z323" s="738"/>
      <c r="AB323" s="738"/>
      <c r="AD323" s="738"/>
      <c r="AF323" s="744"/>
    </row>
    <row r="324" spans="1:32">
      <c r="A324" s="6"/>
      <c r="C324" s="10" t="s">
        <v>268</v>
      </c>
      <c r="D324" s="58"/>
      <c r="E324" s="30"/>
      <c r="F324" s="58"/>
      <c r="G324" s="132"/>
      <c r="H324" s="58"/>
      <c r="I324" s="58"/>
      <c r="J324" s="58"/>
      <c r="K324" s="58"/>
      <c r="L324" s="501"/>
      <c r="M324" s="501"/>
      <c r="N324" s="501"/>
      <c r="O324" s="58"/>
      <c r="P324" s="58"/>
      <c r="Q324" s="501"/>
      <c r="R324" s="501"/>
      <c r="S324" s="58"/>
      <c r="T324" s="58"/>
      <c r="U324" s="58"/>
      <c r="V324" s="501"/>
      <c r="W324" s="501"/>
      <c r="Z324" s="738"/>
      <c r="AB324" s="738"/>
      <c r="AD324" s="738"/>
      <c r="AF324" s="744"/>
    </row>
    <row r="325" spans="1:32">
      <c r="A325" s="6">
        <f>MAX(A$283:A324)+1</f>
        <v>150</v>
      </c>
      <c r="B325" s="58"/>
      <c r="C325" s="12" t="s">
        <v>306</v>
      </c>
      <c r="D325" s="58"/>
      <c r="E325" s="522" t="s">
        <v>262</v>
      </c>
      <c r="F325" s="58"/>
      <c r="G325" s="29">
        <v>76356.43767764869</v>
      </c>
      <c r="H325" s="58"/>
      <c r="I325" s="620">
        <v>-0.38962254556658305</v>
      </c>
      <c r="J325" s="621">
        <f>G325*I325/100</f>
        <v>-297.50189618361634</v>
      </c>
      <c r="K325" s="58"/>
      <c r="L325" s="643">
        <v>0</v>
      </c>
      <c r="M325" s="643">
        <v>0</v>
      </c>
      <c r="N325" s="622">
        <f>J325-L325-M325</f>
        <v>-297.50189618361634</v>
      </c>
      <c r="O325" s="58"/>
      <c r="P325" s="29">
        <v>-8.1293245592682979</v>
      </c>
      <c r="Q325" s="643">
        <v>0</v>
      </c>
      <c r="R325" s="643">
        <v>0</v>
      </c>
      <c r="S325" s="539"/>
      <c r="T325" s="621">
        <f>N325+P325+Q325+R325</f>
        <v>-305.63122074288464</v>
      </c>
      <c r="U325" s="750">
        <f>T325/G325*100</f>
        <v>-0.40026909326644766</v>
      </c>
      <c r="V325" s="549">
        <f>T325-J325</f>
        <v>-8.1293245592682979</v>
      </c>
      <c r="W325" s="559"/>
      <c r="X325" s="542"/>
      <c r="Z325" s="747"/>
      <c r="AB325" s="747"/>
      <c r="AD325" s="747"/>
      <c r="AF325" s="744"/>
    </row>
    <row r="326" spans="1:32">
      <c r="A326" s="6">
        <f>MAX(A$283:A325)+1</f>
        <v>151</v>
      </c>
      <c r="B326" s="58"/>
      <c r="C326" s="12" t="s">
        <v>307</v>
      </c>
      <c r="D326" s="58"/>
      <c r="E326" s="522" t="s">
        <v>262</v>
      </c>
      <c r="F326" s="58"/>
      <c r="G326" s="29">
        <v>261426.39684107454</v>
      </c>
      <c r="H326" s="58"/>
      <c r="I326" s="620">
        <v>-0.16009189369534088</v>
      </c>
      <c r="J326" s="621">
        <f t="shared" ref="J326" si="116">G326*I326/100</f>
        <v>-418.52246932237307</v>
      </c>
      <c r="K326" s="58"/>
      <c r="L326" s="643">
        <v>0</v>
      </c>
      <c r="M326" s="643">
        <v>0</v>
      </c>
      <c r="N326" s="622">
        <f>J326-L326-M326</f>
        <v>-418.52246932237307</v>
      </c>
      <c r="O326" s="58"/>
      <c r="P326" s="29">
        <v>-11.436246397461957</v>
      </c>
      <c r="Q326" s="643">
        <v>0</v>
      </c>
      <c r="R326" s="643">
        <v>0</v>
      </c>
      <c r="S326" s="539"/>
      <c r="T326" s="621">
        <f>N326+P326+Q326+R326</f>
        <v>-429.95871571983503</v>
      </c>
      <c r="U326" s="750">
        <f>T326/G326*100</f>
        <v>-0.16446645056322071</v>
      </c>
      <c r="V326" s="549">
        <f>T326-J326</f>
        <v>-11.436246397461957</v>
      </c>
      <c r="W326" s="559"/>
      <c r="X326" s="542"/>
      <c r="Z326" s="747"/>
      <c r="AB326" s="747"/>
      <c r="AD326" s="747"/>
      <c r="AF326" s="744"/>
    </row>
    <row r="327" spans="1:32">
      <c r="A327" s="6">
        <f>MAX(A$283:A326)+1</f>
        <v>152</v>
      </c>
      <c r="B327" s="58"/>
      <c r="C327" s="10" t="s">
        <v>268</v>
      </c>
      <c r="D327" s="58"/>
      <c r="E327" s="591"/>
      <c r="F327" s="58"/>
      <c r="G327" s="663">
        <f>SUM(G325:G326)</f>
        <v>337782.83451872325</v>
      </c>
      <c r="H327" s="58"/>
      <c r="I327" s="666">
        <f>J327/G327*100</f>
        <v>-0.21197772424587205</v>
      </c>
      <c r="J327" s="685">
        <f>SUM(J325:J326)</f>
        <v>-716.02436550598941</v>
      </c>
      <c r="K327" s="539"/>
      <c r="L327" s="645">
        <f t="shared" ref="L327:N327" si="117">SUM(L325:L326)</f>
        <v>0</v>
      </c>
      <c r="M327" s="645">
        <f t="shared" si="117"/>
        <v>0</v>
      </c>
      <c r="N327" s="645">
        <f t="shared" si="117"/>
        <v>-716.02436550598941</v>
      </c>
      <c r="O327" s="640"/>
      <c r="P327" s="645">
        <f t="shared" ref="P327:R327" si="118">SUM(P325:P326)</f>
        <v>-19.565570956730255</v>
      </c>
      <c r="Q327" s="645">
        <f t="shared" si="118"/>
        <v>0</v>
      </c>
      <c r="R327" s="645">
        <f t="shared" si="118"/>
        <v>0</v>
      </c>
      <c r="S327" s="539"/>
      <c r="T327" s="685">
        <f>SUM(T325:T326)</f>
        <v>-735.58993646271961</v>
      </c>
      <c r="U327" s="639">
        <f>T327/G327*100</f>
        <v>-0.21777007630088616</v>
      </c>
      <c r="V327" s="557">
        <f>SUM(V325:V326)</f>
        <v>-19.565570956730255</v>
      </c>
      <c r="W327" s="558">
        <f>U327/I327-1</f>
        <v>2.7325286539521487E-2</v>
      </c>
      <c r="X327" s="542"/>
      <c r="Z327" s="747"/>
      <c r="AB327" s="747"/>
      <c r="AD327" s="747"/>
      <c r="AF327" s="744"/>
    </row>
    <row r="328" spans="1:32">
      <c r="A328" s="6"/>
      <c r="B328" s="58"/>
      <c r="C328" s="58"/>
      <c r="L328" s="501"/>
      <c r="M328" s="501"/>
      <c r="N328" s="501"/>
      <c r="Q328" s="501"/>
      <c r="R328" s="501"/>
      <c r="U328" s="632"/>
      <c r="V328" s="501"/>
      <c r="W328" s="541"/>
      <c r="X328" s="542"/>
    </row>
    <row r="329" spans="1:32">
      <c r="A329" s="6"/>
      <c r="B329" s="58"/>
      <c r="C329" s="10" t="s">
        <v>308</v>
      </c>
      <c r="D329" s="581"/>
      <c r="E329" s="581"/>
      <c r="F329" s="581"/>
      <c r="G329" s="581"/>
      <c r="H329" s="581"/>
      <c r="I329" s="581"/>
      <c r="J329" s="581"/>
      <c r="K329" s="581"/>
      <c r="L329" s="501"/>
      <c r="M329" s="501"/>
      <c r="N329" s="501"/>
      <c r="O329" s="581"/>
      <c r="P329" s="581"/>
      <c r="Q329" s="501"/>
      <c r="R329" s="501"/>
      <c r="S329" s="581"/>
      <c r="T329" s="581"/>
      <c r="U329" s="657"/>
      <c r="V329" s="501"/>
      <c r="W329" s="541"/>
      <c r="X329" s="542"/>
    </row>
    <row r="330" spans="1:32">
      <c r="A330" s="6">
        <f>MAX(A$283:A329)+1</f>
        <v>153</v>
      </c>
      <c r="B330" s="58"/>
      <c r="C330" s="12" t="s">
        <v>306</v>
      </c>
      <c r="D330" s="57"/>
      <c r="E330" s="522" t="s">
        <v>262</v>
      </c>
      <c r="F330" s="57"/>
      <c r="G330" s="29">
        <v>76356.43767764869</v>
      </c>
      <c r="H330" s="614"/>
      <c r="I330" s="547">
        <v>1.4148889619132621</v>
      </c>
      <c r="J330" s="624">
        <f>G330*I330/100</f>
        <v>1080.3588084112305</v>
      </c>
      <c r="K330" s="614"/>
      <c r="L330" s="643">
        <v>0</v>
      </c>
      <c r="M330" s="643">
        <v>0</v>
      </c>
      <c r="N330" s="534">
        <f>J330-L330-M330</f>
        <v>1080.3588084112305</v>
      </c>
      <c r="O330" s="614"/>
      <c r="P330" s="29">
        <v>29.521114005332947</v>
      </c>
      <c r="Q330" s="643">
        <v>0</v>
      </c>
      <c r="R330" s="643">
        <v>0</v>
      </c>
      <c r="S330" s="614"/>
      <c r="T330" s="624">
        <f>N330+P330+Q330+R330</f>
        <v>1109.8799224165634</v>
      </c>
      <c r="U330" s="597">
        <f>T330/G330*100</f>
        <v>1.4535512082191482</v>
      </c>
      <c r="V330" s="534">
        <f>T330-J330</f>
        <v>29.521114005332947</v>
      </c>
      <c r="W330" s="559"/>
      <c r="X330" s="559"/>
      <c r="Z330" s="738"/>
      <c r="AB330" s="738"/>
      <c r="AD330" s="738"/>
      <c r="AF330" s="744"/>
    </row>
    <row r="331" spans="1:32">
      <c r="A331" s="6">
        <f>MAX(A$283:A330)+1</f>
        <v>154</v>
      </c>
      <c r="B331" s="58"/>
      <c r="C331" s="12" t="s">
        <v>307</v>
      </c>
      <c r="D331" s="3"/>
      <c r="E331" s="522" t="s">
        <v>262</v>
      </c>
      <c r="F331" s="3"/>
      <c r="G331" s="29">
        <v>261426.39684107454</v>
      </c>
      <c r="H331" s="616"/>
      <c r="I331" s="547">
        <v>1.5859912621441488</v>
      </c>
      <c r="J331" s="624">
        <f>G331*I331/100</f>
        <v>4146.1998108377293</v>
      </c>
      <c r="K331" s="616"/>
      <c r="L331" s="643">
        <v>0</v>
      </c>
      <c r="M331" s="643">
        <v>0</v>
      </c>
      <c r="N331" s="534">
        <f>J331-L331-M331</f>
        <v>4146.1998108377293</v>
      </c>
      <c r="O331" s="616"/>
      <c r="P331" s="29">
        <v>113.29609788125072</v>
      </c>
      <c r="Q331" s="643">
        <v>0</v>
      </c>
      <c r="R331" s="643">
        <v>0</v>
      </c>
      <c r="S331" s="616"/>
      <c r="T331" s="624">
        <f>N331+P331+Q331+R331</f>
        <v>4259.49590871898</v>
      </c>
      <c r="U331" s="597">
        <f>T331/G331*100</f>
        <v>1.6293289278314149</v>
      </c>
      <c r="V331" s="534">
        <f>T331-J331</f>
        <v>113.29609788125072</v>
      </c>
      <c r="W331" s="599"/>
      <c r="X331" s="600"/>
      <c r="Z331" s="738"/>
      <c r="AB331" s="738"/>
      <c r="AD331" s="738"/>
      <c r="AF331" s="744"/>
    </row>
    <row r="332" spans="1:32">
      <c r="A332" s="6">
        <f>MAX(A$283:A331)+1</f>
        <v>155</v>
      </c>
      <c r="B332" s="58"/>
      <c r="C332" s="10" t="s">
        <v>309</v>
      </c>
      <c r="D332" s="5"/>
      <c r="E332" s="6"/>
      <c r="F332" s="5"/>
      <c r="G332" s="411">
        <f>SUM(G330:G331)</f>
        <v>337782.83451872325</v>
      </c>
      <c r="H332" s="659"/>
      <c r="I332" s="660">
        <f>J332/G332*100</f>
        <v>1.5473132690996034</v>
      </c>
      <c r="J332" s="661">
        <f>SUM(J330:J331)</f>
        <v>5226.55861924896</v>
      </c>
      <c r="K332" s="659"/>
      <c r="L332" s="662">
        <f>SUM(L330:L331)</f>
        <v>0</v>
      </c>
      <c r="M332" s="662">
        <f>SUM(M330:M331)</f>
        <v>0</v>
      </c>
      <c r="N332" s="552">
        <f>SUM(N330:N331)</f>
        <v>5226.55861924896</v>
      </c>
      <c r="O332" s="751"/>
      <c r="P332" s="636">
        <f>SUM(P330:P331)</f>
        <v>142.81721188658366</v>
      </c>
      <c r="Q332" s="663">
        <f t="shared" ref="Q332:R332" si="119">SUM(Q330:Q331)</f>
        <v>0</v>
      </c>
      <c r="R332" s="663">
        <f t="shared" si="119"/>
        <v>0</v>
      </c>
      <c r="S332" s="642"/>
      <c r="T332" s="685">
        <f>SUM(T330:T331)</f>
        <v>5369.3758311355432</v>
      </c>
      <c r="U332" s="635">
        <f>T332/G332*100</f>
        <v>1.5895940475441535</v>
      </c>
      <c r="V332" s="552">
        <f>SUM(V330:V331)</f>
        <v>142.81721188658366</v>
      </c>
      <c r="W332" s="664">
        <f>U332/I332-1</f>
        <v>2.7325286539521265E-2</v>
      </c>
      <c r="X332" s="653"/>
      <c r="Z332" s="738"/>
      <c r="AB332" s="738"/>
      <c r="AD332" s="738"/>
      <c r="AF332" s="744"/>
    </row>
    <row r="333" spans="1:32">
      <c r="A333" s="6"/>
      <c r="B333" s="58"/>
      <c r="D333" s="58"/>
      <c r="E333" s="6"/>
      <c r="F333" s="58"/>
      <c r="G333" s="665"/>
      <c r="H333" s="539"/>
      <c r="I333" s="539"/>
      <c r="J333" s="539"/>
      <c r="K333" s="539"/>
      <c r="L333" s="534"/>
      <c r="M333" s="534"/>
      <c r="N333" s="534"/>
      <c r="O333" s="539"/>
      <c r="P333" s="539"/>
      <c r="Q333" s="534"/>
      <c r="R333" s="534"/>
      <c r="S333" s="58"/>
      <c r="T333" s="58"/>
      <c r="U333" s="548"/>
      <c r="V333" s="501"/>
      <c r="W333" s="541"/>
      <c r="X333" s="542"/>
      <c r="Z333" s="738"/>
      <c r="AB333" s="738"/>
      <c r="AD333" s="738"/>
      <c r="AF333" s="744"/>
    </row>
    <row r="334" spans="1:32">
      <c r="A334" s="6"/>
      <c r="B334" s="58"/>
      <c r="C334" s="10" t="s">
        <v>270</v>
      </c>
      <c r="D334" s="58"/>
      <c r="E334" s="6"/>
      <c r="F334" s="58"/>
      <c r="G334" s="665"/>
      <c r="H334" s="539"/>
      <c r="I334" s="539"/>
      <c r="J334" s="539"/>
      <c r="K334" s="539"/>
      <c r="L334" s="534"/>
      <c r="M334" s="534"/>
      <c r="N334" s="534"/>
      <c r="O334" s="539"/>
      <c r="P334" s="539"/>
      <c r="Q334" s="534"/>
      <c r="R334" s="534"/>
      <c r="S334" s="58"/>
      <c r="T334" s="58"/>
      <c r="U334" s="548"/>
      <c r="V334" s="501"/>
      <c r="W334" s="541"/>
      <c r="X334" s="542"/>
      <c r="Z334" s="738"/>
      <c r="AB334" s="738"/>
      <c r="AD334" s="738"/>
      <c r="AF334" s="744"/>
    </row>
    <row r="335" spans="1:32">
      <c r="A335" s="6">
        <f>MAX(A$283:A334)+1</f>
        <v>156</v>
      </c>
      <c r="B335" s="58"/>
      <c r="C335" s="12" t="s">
        <v>306</v>
      </c>
      <c r="D335" s="58"/>
      <c r="E335" s="522" t="s">
        <v>262</v>
      </c>
      <c r="F335" s="58"/>
      <c r="G335" s="29">
        <v>41057.419387362017</v>
      </c>
      <c r="H335" s="624"/>
      <c r="I335" s="547">
        <v>0.20849999999999999</v>
      </c>
      <c r="J335" s="624">
        <f>G335*I335/100</f>
        <v>85.604719422649794</v>
      </c>
      <c r="K335" s="539"/>
      <c r="L335" s="643">
        <v>0</v>
      </c>
      <c r="M335" s="643">
        <v>0</v>
      </c>
      <c r="N335" s="534">
        <f>J335-L335-M335</f>
        <v>85.604719422649794</v>
      </c>
      <c r="O335" s="539"/>
      <c r="P335" s="29">
        <v>2.3391734873592469</v>
      </c>
      <c r="Q335" s="643">
        <v>0</v>
      </c>
      <c r="R335" s="643">
        <v>0</v>
      </c>
      <c r="S335" s="58"/>
      <c r="T335" s="539">
        <f>N335+P335+Q335+R335</f>
        <v>87.943892910009041</v>
      </c>
      <c r="U335" s="548">
        <f>T335/G335*100</f>
        <v>0.21419732224349022</v>
      </c>
      <c r="V335" s="534">
        <f>T335-J335</f>
        <v>2.3391734873592469</v>
      </c>
      <c r="W335" s="541"/>
      <c r="X335" s="542"/>
      <c r="Z335" s="738"/>
      <c r="AB335" s="738"/>
      <c r="AD335" s="738"/>
      <c r="AF335" s="744"/>
    </row>
    <row r="336" spans="1:32">
      <c r="A336" s="6">
        <f>MAX(A$283:A335)+1</f>
        <v>157</v>
      </c>
      <c r="C336" s="12" t="s">
        <v>307</v>
      </c>
      <c r="D336" s="58"/>
      <c r="E336" s="522" t="s">
        <v>262</v>
      </c>
      <c r="F336" s="58"/>
      <c r="G336" s="29">
        <v>137222.46215211437</v>
      </c>
      <c r="H336" s="624"/>
      <c r="I336" s="547">
        <v>0.20849999999999999</v>
      </c>
      <c r="J336" s="624">
        <f>G336*I336/100</f>
        <v>286.10883358715841</v>
      </c>
      <c r="K336" s="539"/>
      <c r="L336" s="643">
        <v>0</v>
      </c>
      <c r="M336" s="643">
        <v>0</v>
      </c>
      <c r="N336" s="534">
        <f>J336-L336-M336</f>
        <v>286.10883358715841</v>
      </c>
      <c r="O336" s="539"/>
      <c r="P336" s="29">
        <v>7.8180058592573687</v>
      </c>
      <c r="Q336" s="643">
        <v>0</v>
      </c>
      <c r="R336" s="643">
        <v>0</v>
      </c>
      <c r="S336" s="58"/>
      <c r="T336" s="539">
        <f>N336+P336+Q336+R336</f>
        <v>293.92683944641578</v>
      </c>
      <c r="U336" s="548">
        <f>T336/G336*100</f>
        <v>0.21419732224349017</v>
      </c>
      <c r="V336" s="534">
        <f>T336-J336</f>
        <v>7.8180058592573687</v>
      </c>
      <c r="W336" s="541"/>
      <c r="X336" s="542"/>
      <c r="Z336" s="738"/>
      <c r="AB336" s="738"/>
      <c r="AD336" s="738"/>
      <c r="AF336" s="744"/>
    </row>
    <row r="337" spans="1:32">
      <c r="A337" s="6">
        <f>MAX(A$283:A336)+1</f>
        <v>158</v>
      </c>
      <c r="B337" s="58"/>
      <c r="C337" s="10" t="s">
        <v>270</v>
      </c>
      <c r="D337" s="58"/>
      <c r="E337" s="30"/>
      <c r="F337" s="58"/>
      <c r="G337" s="411">
        <f>SUM(G335:G336)</f>
        <v>178279.8815394764</v>
      </c>
      <c r="H337" s="411"/>
      <c r="I337" s="668">
        <f>J337/G337*100</f>
        <v>0.20849999999999996</v>
      </c>
      <c r="J337" s="661">
        <f>SUM(J335:J336)</f>
        <v>371.71355300980821</v>
      </c>
      <c r="K337" s="539"/>
      <c r="L337" s="662">
        <f t="shared" ref="L337:N337" si="120">SUM(L335:L336)</f>
        <v>0</v>
      </c>
      <c r="M337" s="662">
        <f t="shared" si="120"/>
        <v>0</v>
      </c>
      <c r="N337" s="552">
        <f t="shared" si="120"/>
        <v>371.71355300980821</v>
      </c>
      <c r="O337" s="539"/>
      <c r="P337" s="636">
        <f>SUM(P335:P336)</f>
        <v>10.157179346616616</v>
      </c>
      <c r="Q337" s="662">
        <f t="shared" ref="Q337:R337" si="121">SUM(Q335:Q336)</f>
        <v>0</v>
      </c>
      <c r="R337" s="662">
        <f t="shared" si="121"/>
        <v>0</v>
      </c>
      <c r="S337" s="58"/>
      <c r="T337" s="554">
        <f>SUM(T335:T336)</f>
        <v>381.87073235642481</v>
      </c>
      <c r="U337" s="556">
        <f>T337/G337*100</f>
        <v>0.21419732224349017</v>
      </c>
      <c r="V337" s="552">
        <f>SUM(V335:V336)</f>
        <v>10.157179346616616</v>
      </c>
      <c r="W337" s="562">
        <f>U337/I337-1</f>
        <v>2.7325286539521265E-2</v>
      </c>
      <c r="X337" s="542"/>
      <c r="Z337" s="738"/>
      <c r="AB337" s="738"/>
      <c r="AD337" s="738"/>
      <c r="AF337" s="744"/>
    </row>
    <row r="338" spans="1:32">
      <c r="A338" s="6"/>
      <c r="B338" s="58"/>
      <c r="C338" s="10"/>
      <c r="D338" s="58"/>
      <c r="E338" s="30"/>
      <c r="F338" s="58"/>
      <c r="G338" s="536"/>
      <c r="H338" s="624"/>
      <c r="I338" s="624"/>
      <c r="J338" s="624"/>
      <c r="K338" s="539"/>
      <c r="L338" s="534"/>
      <c r="M338" s="534"/>
      <c r="N338" s="534"/>
      <c r="O338" s="539"/>
      <c r="P338" s="539"/>
      <c r="Q338" s="534"/>
      <c r="R338" s="534"/>
      <c r="S338" s="58"/>
      <c r="T338" s="58"/>
      <c r="U338" s="548"/>
      <c r="V338" s="501"/>
      <c r="W338" s="541"/>
      <c r="X338" s="542"/>
      <c r="Z338" s="738"/>
      <c r="AB338" s="738"/>
      <c r="AD338" s="738"/>
      <c r="AF338" s="744"/>
    </row>
    <row r="339" spans="1:32" ht="12.95" thickBot="1">
      <c r="A339" s="6">
        <f>MAX(A$283:A338)+1</f>
        <v>159</v>
      </c>
      <c r="B339" s="58"/>
      <c r="C339" s="10" t="s">
        <v>316</v>
      </c>
      <c r="D339" s="58"/>
      <c r="E339" s="30"/>
      <c r="F339" s="58"/>
      <c r="G339" s="589">
        <f>G322</f>
        <v>341663.84388774872</v>
      </c>
      <c r="H339" s="58"/>
      <c r="I339" s="651">
        <f>J339/G339*100</f>
        <v>9.2824802987110822</v>
      </c>
      <c r="J339" s="627">
        <f>J322+J327+J332+J337</f>
        <v>31714.878996699263</v>
      </c>
      <c r="K339" s="539"/>
      <c r="L339" s="589">
        <f>L322+L327+L332+L337</f>
        <v>3115.369769787249</v>
      </c>
      <c r="M339" s="589">
        <f t="shared" ref="M339:R339" si="122">M322+M327+M332+M337</f>
        <v>734.4360465019023</v>
      </c>
      <c r="N339" s="627">
        <f>N322+N327+N332+N337</f>
        <v>27865.073180410116</v>
      </c>
      <c r="O339" s="539"/>
      <c r="P339" s="589">
        <f>P322+P327+P332+P337</f>
        <v>761.42110909944176</v>
      </c>
      <c r="Q339" s="589">
        <f t="shared" si="122"/>
        <v>1653.5839539086912</v>
      </c>
      <c r="R339" s="589">
        <f t="shared" si="122"/>
        <v>714.07648995630973</v>
      </c>
      <c r="S339" s="539"/>
      <c r="T339" s="627">
        <f>T322+T327+T332+T337</f>
        <v>30994.154733374555</v>
      </c>
      <c r="U339" s="651">
        <f>T339/G339*100</f>
        <v>9.0715348690970856</v>
      </c>
      <c r="V339" s="638">
        <f>V322+V327+V332+V337</f>
        <v>-720.72426332470673</v>
      </c>
      <c r="W339" s="602">
        <f>U339/I339-1</f>
        <v>-2.2725114713498251E-2</v>
      </c>
      <c r="X339" s="630"/>
      <c r="Z339" s="738"/>
      <c r="AB339" s="738"/>
      <c r="AD339" s="738"/>
      <c r="AF339" s="744"/>
    </row>
    <row r="340" spans="1:32" ht="12.95" thickTop="1">
      <c r="A340" s="6"/>
      <c r="B340" s="58"/>
      <c r="C340" s="10"/>
      <c r="D340" s="58"/>
      <c r="E340" s="30"/>
      <c r="F340" s="58"/>
      <c r="G340" s="29"/>
      <c r="H340" s="58"/>
      <c r="I340" s="680"/>
      <c r="J340" s="539"/>
      <c r="K340" s="539"/>
      <c r="L340" s="539"/>
      <c r="M340" s="539"/>
      <c r="N340" s="539"/>
      <c r="O340" s="539"/>
      <c r="P340" s="539"/>
      <c r="Q340" s="539"/>
      <c r="R340" s="539"/>
      <c r="S340" s="539"/>
      <c r="T340" s="539"/>
      <c r="U340" s="680"/>
      <c r="V340" s="539"/>
      <c r="W340" s="630"/>
      <c r="X340" s="630"/>
      <c r="Z340" s="738"/>
      <c r="AB340" s="738"/>
      <c r="AD340" s="738"/>
      <c r="AF340" s="744"/>
    </row>
    <row r="341" spans="1:32">
      <c r="L341" s="2"/>
      <c r="M341" s="2"/>
      <c r="N341" s="501"/>
      <c r="Q341" s="501"/>
      <c r="R341" s="501"/>
      <c r="V341" s="534"/>
      <c r="W341" s="534"/>
      <c r="Z341" s="738"/>
      <c r="AB341" s="738"/>
      <c r="AD341" s="738"/>
      <c r="AF341" s="744"/>
    </row>
    <row r="342" spans="1:32">
      <c r="L342" s="2"/>
      <c r="M342" s="2"/>
      <c r="N342" s="501"/>
      <c r="Q342" s="501"/>
      <c r="R342" s="501"/>
      <c r="V342" s="501"/>
      <c r="W342" s="501"/>
      <c r="Z342" s="738"/>
      <c r="AB342" s="738"/>
      <c r="AD342" s="738"/>
      <c r="AF342" s="744"/>
    </row>
    <row r="343" spans="1:32">
      <c r="L343" s="2"/>
      <c r="M343" s="2"/>
      <c r="N343" s="501"/>
      <c r="Q343" s="501"/>
      <c r="R343" s="501"/>
      <c r="V343" s="501"/>
      <c r="W343" s="501"/>
      <c r="Z343" s="738"/>
      <c r="AB343" s="738"/>
      <c r="AD343" s="738"/>
      <c r="AF343" s="744"/>
    </row>
    <row r="344" spans="1:32">
      <c r="A344" s="1156" t="s">
        <v>279</v>
      </c>
      <c r="B344" s="1156"/>
      <c r="C344" s="1156"/>
      <c r="D344" s="1156"/>
      <c r="E344" s="1156"/>
      <c r="F344" s="1156"/>
      <c r="G344" s="1156"/>
      <c r="H344" s="1156"/>
      <c r="I344" s="1156"/>
      <c r="J344" s="1156"/>
      <c r="K344" s="1156"/>
      <c r="L344" s="1156"/>
      <c r="M344" s="1156"/>
      <c r="N344" s="1156"/>
      <c r="O344" s="1156"/>
      <c r="P344" s="1156"/>
      <c r="Q344" s="1156"/>
      <c r="R344" s="1156"/>
      <c r="S344" s="1156"/>
      <c r="T344" s="1156"/>
      <c r="U344" s="1156"/>
      <c r="V344" s="1156"/>
      <c r="W344" s="1156"/>
      <c r="X344" s="531"/>
      <c r="Z344" s="738"/>
      <c r="AB344" s="738"/>
      <c r="AD344" s="738"/>
      <c r="AF344" s="744"/>
    </row>
    <row r="345" spans="1:32">
      <c r="A345" s="1156" t="s">
        <v>471</v>
      </c>
      <c r="B345" s="1156"/>
      <c r="C345" s="1156"/>
      <c r="D345" s="1156"/>
      <c r="E345" s="1156"/>
      <c r="F345" s="1156"/>
      <c r="G345" s="1156"/>
      <c r="H345" s="1156"/>
      <c r="I345" s="1156"/>
      <c r="J345" s="1156"/>
      <c r="K345" s="1156"/>
      <c r="L345" s="1156"/>
      <c r="M345" s="1156"/>
      <c r="N345" s="1156"/>
      <c r="O345" s="1156"/>
      <c r="P345" s="1156"/>
      <c r="Q345" s="1156"/>
      <c r="R345" s="1156"/>
      <c r="S345" s="1156"/>
      <c r="T345" s="1156"/>
      <c r="U345" s="1156"/>
      <c r="V345" s="1156"/>
      <c r="W345" s="1156"/>
      <c r="X345" s="737"/>
      <c r="Y345" s="737"/>
      <c r="Z345" s="738"/>
      <c r="AB345" s="738"/>
      <c r="AD345" s="738"/>
      <c r="AF345" s="744"/>
    </row>
    <row r="346" spans="1:32">
      <c r="A346" s="57"/>
      <c r="B346" s="57"/>
      <c r="C346" s="57"/>
      <c r="D346" s="57"/>
      <c r="E346" s="3"/>
      <c r="F346" s="57"/>
      <c r="G346" s="3"/>
      <c r="H346" s="57"/>
      <c r="I346" s="57"/>
      <c r="J346" s="57"/>
      <c r="K346" s="57"/>
      <c r="L346" s="57"/>
      <c r="M346" s="57"/>
      <c r="N346" s="501"/>
      <c r="O346" s="57"/>
      <c r="P346" s="57"/>
      <c r="Q346" s="501"/>
      <c r="R346" s="501"/>
      <c r="S346" s="57"/>
      <c r="T346" s="57"/>
      <c r="U346" s="57"/>
      <c r="V346" s="501"/>
      <c r="W346" s="501"/>
      <c r="Z346" s="738"/>
      <c r="AB346" s="738"/>
      <c r="AD346" s="738"/>
      <c r="AF346" s="744"/>
    </row>
    <row r="347" spans="1:32" ht="26.65" customHeight="1">
      <c r="A347" s="3"/>
      <c r="B347" s="3"/>
      <c r="C347" s="3"/>
      <c r="D347" s="3"/>
      <c r="E347" s="57"/>
      <c r="F347" s="1152" t="s">
        <v>231</v>
      </c>
      <c r="G347" s="1152"/>
      <c r="H347" s="1152"/>
      <c r="I347" s="1152"/>
      <c r="J347" s="1152"/>
      <c r="K347" s="3"/>
      <c r="L347" s="1157" t="s">
        <v>94</v>
      </c>
      <c r="M347" s="1157"/>
      <c r="N347" s="58"/>
      <c r="O347" s="3"/>
      <c r="P347" s="59"/>
      <c r="Q347" s="1157" t="s">
        <v>95</v>
      </c>
      <c r="R347" s="1157"/>
      <c r="S347" s="3"/>
      <c r="T347" s="1152" t="s">
        <v>472</v>
      </c>
      <c r="U347" s="1152"/>
      <c r="V347" s="1152"/>
      <c r="W347" s="1152"/>
      <c r="X347" s="6"/>
      <c r="Z347" s="738"/>
      <c r="AB347" s="738"/>
      <c r="AD347" s="738"/>
      <c r="AF347" s="744"/>
    </row>
    <row r="348" spans="1:32" ht="37.5">
      <c r="A348" s="5" t="s">
        <v>56</v>
      </c>
      <c r="B348" s="5"/>
      <c r="C348" s="5"/>
      <c r="D348" s="5"/>
      <c r="E348" s="6" t="s">
        <v>233</v>
      </c>
      <c r="F348" s="5"/>
      <c r="G348" s="17" t="s">
        <v>234</v>
      </c>
      <c r="H348" s="5"/>
      <c r="I348" s="17" t="s">
        <v>235</v>
      </c>
      <c r="J348" s="17" t="s">
        <v>101</v>
      </c>
      <c r="K348" s="5"/>
      <c r="L348" s="17" t="s">
        <v>106</v>
      </c>
      <c r="M348" s="17" t="s">
        <v>236</v>
      </c>
      <c r="N348" s="5" t="s">
        <v>239</v>
      </c>
      <c r="O348" s="5"/>
      <c r="P348" s="5" t="s">
        <v>240</v>
      </c>
      <c r="Q348" s="17" t="s">
        <v>106</v>
      </c>
      <c r="R348" s="17" t="s">
        <v>236</v>
      </c>
      <c r="S348" s="5"/>
      <c r="T348" s="17" t="s">
        <v>241</v>
      </c>
      <c r="U348" s="17" t="s">
        <v>242</v>
      </c>
      <c r="V348" s="17" t="s">
        <v>243</v>
      </c>
      <c r="W348" s="5" t="s">
        <v>244</v>
      </c>
      <c r="X348" s="5"/>
      <c r="Z348" s="738"/>
      <c r="AB348" s="738"/>
      <c r="AD348" s="738"/>
      <c r="AF348" s="744"/>
    </row>
    <row r="349" spans="1:32" ht="14.45">
      <c r="A349" s="237" t="s">
        <v>57</v>
      </c>
      <c r="B349" s="58"/>
      <c r="C349" s="59" t="s">
        <v>194</v>
      </c>
      <c r="D349" s="58"/>
      <c r="E349" s="237" t="s">
        <v>245</v>
      </c>
      <c r="F349" s="58"/>
      <c r="G349" s="237" t="s">
        <v>246</v>
      </c>
      <c r="H349" s="58"/>
      <c r="I349" s="237" t="s">
        <v>247</v>
      </c>
      <c r="J349" s="237" t="s">
        <v>248</v>
      </c>
      <c r="K349" s="58"/>
      <c r="L349" s="237" t="s">
        <v>248</v>
      </c>
      <c r="M349" s="237" t="s">
        <v>248</v>
      </c>
      <c r="N349" s="237" t="s">
        <v>248</v>
      </c>
      <c r="O349" s="58"/>
      <c r="P349" s="237" t="s">
        <v>248</v>
      </c>
      <c r="Q349" s="237" t="s">
        <v>248</v>
      </c>
      <c r="R349" s="237" t="s">
        <v>248</v>
      </c>
      <c r="S349" s="58"/>
      <c r="T349" s="237" t="s">
        <v>248</v>
      </c>
      <c r="U349" s="237" t="s">
        <v>247</v>
      </c>
      <c r="V349" s="237" t="s">
        <v>248</v>
      </c>
      <c r="W349" s="237" t="s">
        <v>249</v>
      </c>
      <c r="X349" s="6"/>
      <c r="Z349" s="738"/>
      <c r="AB349" s="738"/>
      <c r="AD349" s="738"/>
      <c r="AF349" s="744"/>
    </row>
    <row r="350" spans="1:32">
      <c r="A350" s="6"/>
      <c r="B350" s="58"/>
      <c r="C350" s="58"/>
      <c r="D350" s="58"/>
      <c r="E350" s="6"/>
      <c r="F350" s="58"/>
      <c r="G350" s="6" t="s">
        <v>9</v>
      </c>
      <c r="H350" s="6"/>
      <c r="I350" s="6" t="s">
        <v>10</v>
      </c>
      <c r="J350" s="6" t="s">
        <v>58</v>
      </c>
      <c r="K350" s="6"/>
      <c r="L350" s="123" t="s">
        <v>12</v>
      </c>
      <c r="M350" s="123" t="s">
        <v>13</v>
      </c>
      <c r="N350" s="6" t="s">
        <v>473</v>
      </c>
      <c r="O350" s="6"/>
      <c r="P350" s="6" t="s">
        <v>474</v>
      </c>
      <c r="Q350" s="6" t="s">
        <v>210</v>
      </c>
      <c r="R350" s="6" t="s">
        <v>118</v>
      </c>
      <c r="S350" s="6"/>
      <c r="T350" s="6" t="s">
        <v>475</v>
      </c>
      <c r="U350" s="6" t="s">
        <v>120</v>
      </c>
      <c r="V350" s="6" t="s">
        <v>476</v>
      </c>
      <c r="W350" s="6" t="s">
        <v>477</v>
      </c>
      <c r="Z350" s="738"/>
      <c r="AD350" s="738"/>
      <c r="AF350" s="744"/>
    </row>
    <row r="351" spans="1:32">
      <c r="A351" s="6"/>
      <c r="B351" s="58"/>
      <c r="C351" s="9" t="s">
        <v>142</v>
      </c>
      <c r="D351" s="58"/>
      <c r="E351" s="574"/>
      <c r="F351" s="58"/>
      <c r="G351" s="29"/>
      <c r="H351" s="58"/>
      <c r="I351" s="58"/>
      <c r="J351" s="58"/>
      <c r="K351" s="58"/>
      <c r="L351" s="501"/>
      <c r="M351" s="501"/>
      <c r="N351" s="501"/>
      <c r="O351" s="58"/>
      <c r="P351" s="58"/>
      <c r="Q351" s="501"/>
      <c r="R351" s="501"/>
      <c r="S351" s="58"/>
      <c r="T351" s="58"/>
      <c r="U351" s="58"/>
      <c r="V351" s="501"/>
      <c r="W351" s="501"/>
      <c r="Z351" s="738"/>
      <c r="AD351" s="738"/>
      <c r="AF351" s="744"/>
    </row>
    <row r="352" spans="1:32">
      <c r="A352" s="6">
        <v>160</v>
      </c>
      <c r="B352" s="58"/>
      <c r="C352" s="10" t="s">
        <v>258</v>
      </c>
      <c r="D352" s="58"/>
      <c r="E352" s="30" t="s">
        <v>259</v>
      </c>
      <c r="F352" s="58"/>
      <c r="G352" s="29">
        <v>756.00000000000398</v>
      </c>
      <c r="H352" s="58"/>
      <c r="I352" s="537">
        <v>1090.76</v>
      </c>
      <c r="J352" s="539">
        <f>G352*I352/1000</f>
        <v>824.61456000000442</v>
      </c>
      <c r="K352" s="58"/>
      <c r="L352" s="29">
        <v>0</v>
      </c>
      <c r="M352" s="29">
        <v>0</v>
      </c>
      <c r="N352" s="534">
        <f>J352-L352-M352</f>
        <v>824.61456000000442</v>
      </c>
      <c r="O352" s="58"/>
      <c r="P352" s="29">
        <v>22.532829136661576</v>
      </c>
      <c r="Q352" s="29">
        <v>0</v>
      </c>
      <c r="R352" s="29">
        <v>0</v>
      </c>
      <c r="S352" s="539"/>
      <c r="T352" s="539">
        <f>N352+P352+Q352+R352</f>
        <v>847.14738913666599</v>
      </c>
      <c r="U352" s="540">
        <f>T352/G352*1000</f>
        <v>1120.5653295458487</v>
      </c>
      <c r="V352" s="534">
        <f>T352-J352</f>
        <v>22.532829136661576</v>
      </c>
      <c r="W352" s="541">
        <f>U352/I352-1</f>
        <v>2.7325286539521709E-2</v>
      </c>
      <c r="X352" s="542"/>
      <c r="Z352" s="738"/>
      <c r="AB352" s="738"/>
      <c r="AD352" s="738"/>
      <c r="AF352" s="739"/>
    </row>
    <row r="353" spans="1:32">
      <c r="C353" s="521" t="s">
        <v>280</v>
      </c>
      <c r="E353" s="30"/>
      <c r="G353" s="29"/>
      <c r="J353" s="567"/>
      <c r="L353" s="501"/>
      <c r="M353" s="501"/>
      <c r="N353" s="534"/>
      <c r="P353" s="29"/>
      <c r="Q353" s="538"/>
      <c r="R353" s="538"/>
      <c r="S353" s="567"/>
      <c r="T353" s="539"/>
      <c r="U353" s="670"/>
      <c r="V353" s="534"/>
      <c r="W353" s="541"/>
      <c r="X353" s="542"/>
      <c r="Z353" s="738"/>
      <c r="AB353" s="738"/>
      <c r="AD353" s="738"/>
      <c r="AF353" s="744"/>
    </row>
    <row r="354" spans="1:32">
      <c r="A354" s="6">
        <f>MAX(A$351:A353)+1</f>
        <v>161</v>
      </c>
      <c r="B354" s="58"/>
      <c r="C354" s="526" t="s">
        <v>317</v>
      </c>
      <c r="D354" s="58"/>
      <c r="E354" s="522" t="s">
        <v>281</v>
      </c>
      <c r="F354" s="58"/>
      <c r="G354" s="29">
        <v>25506.168000000001</v>
      </c>
      <c r="H354" s="58"/>
      <c r="I354" s="547">
        <v>34.796800000000005</v>
      </c>
      <c r="J354" s="539">
        <f>G354*I354/100</f>
        <v>8875.3302666240015</v>
      </c>
      <c r="K354" s="58"/>
      <c r="L354" s="29">
        <v>476.40420590399998</v>
      </c>
      <c r="M354" s="29">
        <v>0</v>
      </c>
      <c r="N354" s="534">
        <f t="shared" ref="N354:N355" si="123">J354-L354-M354</f>
        <v>8398.9260607200013</v>
      </c>
      <c r="O354" s="58"/>
      <c r="P354" s="29">
        <v>229.50306123342853</v>
      </c>
      <c r="Q354" s="29">
        <v>338.12516062253968</v>
      </c>
      <c r="R354" s="29">
        <v>0</v>
      </c>
      <c r="S354" s="539"/>
      <c r="T354" s="539">
        <f t="shared" ref="T354:T355" si="124">N354+P354+Q354+R354</f>
        <v>8966.5542825759694</v>
      </c>
      <c r="U354" s="548">
        <f>T354/G354*100</f>
        <v>35.154454728660021</v>
      </c>
      <c r="V354" s="534">
        <f>T354-J354</f>
        <v>91.224015951967885</v>
      </c>
      <c r="W354" s="541"/>
      <c r="X354" s="542"/>
      <c r="Z354" s="738"/>
      <c r="AB354" s="738"/>
      <c r="AD354" s="738"/>
      <c r="AF354" s="744"/>
    </row>
    <row r="355" spans="1:32">
      <c r="A355" s="6">
        <f>MAX(A$351:A354)+1</f>
        <v>162</v>
      </c>
      <c r="B355" s="58"/>
      <c r="C355" s="526" t="s">
        <v>318</v>
      </c>
      <c r="D355" s="58"/>
      <c r="E355" s="522" t="s">
        <v>281</v>
      </c>
      <c r="F355" s="58"/>
      <c r="G355" s="29">
        <v>66225.600000000006</v>
      </c>
      <c r="H355" s="58"/>
      <c r="I355" s="547">
        <v>20.462300000000003</v>
      </c>
      <c r="J355" s="539">
        <f>G355*I355/100</f>
        <v>13551.280948800002</v>
      </c>
      <c r="K355" s="58"/>
      <c r="L355" s="29">
        <v>727.42199040000003</v>
      </c>
      <c r="M355" s="29">
        <v>0</v>
      </c>
      <c r="N355" s="534">
        <f t="shared" si="123"/>
        <v>12823.858958400002</v>
      </c>
      <c r="O355" s="58"/>
      <c r="P355" s="29">
        <v>350.4156205806903</v>
      </c>
      <c r="Q355" s="29">
        <v>516.26575122337101</v>
      </c>
      <c r="R355" s="29">
        <v>0</v>
      </c>
      <c r="S355" s="539"/>
      <c r="T355" s="539">
        <f t="shared" si="124"/>
        <v>13690.540330204063</v>
      </c>
      <c r="U355" s="548">
        <f>T355/G355*100</f>
        <v>20.672580286481455</v>
      </c>
      <c r="V355" s="534">
        <f>T355-J355</f>
        <v>139.25938140406106</v>
      </c>
      <c r="W355" s="541"/>
      <c r="X355" s="542"/>
      <c r="Z355" s="738"/>
      <c r="AB355" s="738"/>
      <c r="AD355" s="738"/>
      <c r="AF355" s="744"/>
    </row>
    <row r="356" spans="1:32">
      <c r="A356" s="6">
        <f>MAX(A$351:A355)+1</f>
        <v>163</v>
      </c>
      <c r="B356" s="58"/>
      <c r="C356" s="521" t="s">
        <v>280</v>
      </c>
      <c r="D356" s="58"/>
      <c r="E356" s="30"/>
      <c r="F356" s="58"/>
      <c r="G356" s="131">
        <f>SUM(G354:G355)</f>
        <v>91731.768000000011</v>
      </c>
      <c r="H356" s="58"/>
      <c r="I356" s="556">
        <f>J356/G356*100</f>
        <v>24.44803115036876</v>
      </c>
      <c r="J356" s="554">
        <f>SUM(J354:J355)</f>
        <v>22426.611215424004</v>
      </c>
      <c r="K356" s="58"/>
      <c r="L356" s="131">
        <f>SUM(L354:L355)</f>
        <v>1203.826196304</v>
      </c>
      <c r="M356" s="619">
        <f>SUM(M354:M355)</f>
        <v>0</v>
      </c>
      <c r="N356" s="554">
        <f t="shared" ref="N356:O356" si="125">SUM(N354:N355)</f>
        <v>21222.785019120005</v>
      </c>
      <c r="O356" s="640">
        <f t="shared" si="125"/>
        <v>0</v>
      </c>
      <c r="P356" s="131">
        <f>SUM(P354:P355)</f>
        <v>579.91868181411883</v>
      </c>
      <c r="Q356" s="131">
        <f>SUM(Q354:Q355)</f>
        <v>854.39091184591075</v>
      </c>
      <c r="R356" s="619">
        <f t="shared" ref="R356" si="126">SUM(R354:R355)</f>
        <v>0</v>
      </c>
      <c r="S356" s="539"/>
      <c r="T356" s="554">
        <f>SUM(T354:T355)</f>
        <v>22657.094612780034</v>
      </c>
      <c r="U356" s="556">
        <f>T356/G356*100</f>
        <v>24.699289141336543</v>
      </c>
      <c r="V356" s="552">
        <f>SUM(V354:V355)</f>
        <v>230.48339735602895</v>
      </c>
      <c r="W356" s="562">
        <f>U356/I356-1</f>
        <v>1.0277228027991692E-2</v>
      </c>
      <c r="X356" s="542"/>
      <c r="Z356" s="738"/>
      <c r="AB356" s="738"/>
      <c r="AD356" s="738"/>
      <c r="AF356" s="744"/>
    </row>
    <row r="357" spans="1:32">
      <c r="A357" s="6"/>
      <c r="C357" s="10"/>
      <c r="G357" s="129"/>
      <c r="J357" s="567"/>
      <c r="L357" s="501"/>
      <c r="M357" s="501"/>
      <c r="N357" s="501"/>
      <c r="Q357" s="538"/>
      <c r="R357" s="538"/>
      <c r="U357" s="632"/>
      <c r="V357" s="501"/>
      <c r="W357" s="501"/>
      <c r="AB357" s="738"/>
      <c r="AD357" s="738"/>
      <c r="AF357" s="744"/>
    </row>
    <row r="358" spans="1:32" ht="12.95">
      <c r="A358" s="6"/>
      <c r="B358" s="58"/>
      <c r="C358" s="521" t="s">
        <v>260</v>
      </c>
      <c r="D358" s="58"/>
      <c r="E358" s="128"/>
      <c r="F358" s="58"/>
      <c r="G358" s="575"/>
      <c r="H358" s="58"/>
      <c r="I358" s="58"/>
      <c r="J358" s="539"/>
      <c r="K358" s="58"/>
      <c r="L358" s="501"/>
      <c r="M358" s="501"/>
      <c r="N358" s="501"/>
      <c r="O358" s="58"/>
      <c r="P358" s="58"/>
      <c r="Q358" s="538"/>
      <c r="R358" s="538"/>
      <c r="S358" s="58"/>
      <c r="T358" s="58"/>
      <c r="U358" s="548"/>
      <c r="V358" s="501"/>
      <c r="W358" s="501"/>
      <c r="AB358" s="738"/>
      <c r="AD358" s="738"/>
      <c r="AF358" s="744"/>
    </row>
    <row r="359" spans="1:32">
      <c r="A359" s="6">
        <f>MAX(A$351:A358)+1</f>
        <v>164</v>
      </c>
      <c r="B359" s="58"/>
      <c r="C359" s="526" t="s">
        <v>319</v>
      </c>
      <c r="D359" s="58"/>
      <c r="E359" s="30" t="s">
        <v>262</v>
      </c>
      <c r="F359" s="58"/>
      <c r="G359" s="29">
        <v>338478.94474000001</v>
      </c>
      <c r="H359" s="58"/>
      <c r="I359" s="547">
        <v>0.76890000000000003</v>
      </c>
      <c r="J359" s="539">
        <f>G359*I359/100</f>
        <v>2602.5646061058601</v>
      </c>
      <c r="K359" s="58"/>
      <c r="L359" s="29">
        <v>310.72367127132003</v>
      </c>
      <c r="M359" s="29">
        <v>71.733497582074222</v>
      </c>
      <c r="N359" s="534">
        <f>J359-L359-M359</f>
        <v>2220.1074372524658</v>
      </c>
      <c r="O359" s="58"/>
      <c r="P359" s="29">
        <v>60.665071871446344</v>
      </c>
      <c r="Q359" s="29">
        <v>196.90814472516561</v>
      </c>
      <c r="R359" s="29">
        <v>69.744948399076549</v>
      </c>
      <c r="S359" s="539"/>
      <c r="T359" s="539">
        <f>N359+P359+Q359+R359</f>
        <v>2547.4256022481545</v>
      </c>
      <c r="U359" s="548">
        <f>T359/G359*100</f>
        <v>0.75260976844658378</v>
      </c>
      <c r="V359" s="549">
        <f>T359-J359</f>
        <v>-55.139003857705575</v>
      </c>
      <c r="W359" s="541"/>
      <c r="X359" s="542"/>
      <c r="Z359" s="738"/>
      <c r="AB359" s="738"/>
      <c r="AD359" s="738"/>
      <c r="AF359" s="744"/>
    </row>
    <row r="360" spans="1:32">
      <c r="A360" s="6">
        <f>MAX(A$351:A359)+1</f>
        <v>165</v>
      </c>
      <c r="B360" s="58"/>
      <c r="C360" s="526" t="s">
        <v>320</v>
      </c>
      <c r="D360" s="58"/>
      <c r="E360" s="30" t="s">
        <v>262</v>
      </c>
      <c r="F360" s="58"/>
      <c r="G360" s="29">
        <v>590622.16051000007</v>
      </c>
      <c r="H360" s="58"/>
      <c r="I360" s="547">
        <v>0.55740000000000001</v>
      </c>
      <c r="J360" s="539">
        <f>G360*I360/100</f>
        <v>3292.1279226827405</v>
      </c>
      <c r="K360" s="58"/>
      <c r="L360" s="29">
        <v>394.53560322068006</v>
      </c>
      <c r="M360" s="29">
        <v>125.16995216765321</v>
      </c>
      <c r="N360" s="534">
        <f>J360-L360-M360</f>
        <v>2772.4223672944072</v>
      </c>
      <c r="O360" s="58"/>
      <c r="P360" s="29">
        <v>75.757235594898248</v>
      </c>
      <c r="Q360" s="29">
        <v>252.60993253334425</v>
      </c>
      <c r="R360" s="29">
        <v>121.70007248091335</v>
      </c>
      <c r="S360" s="539"/>
      <c r="T360" s="539">
        <f>N360+P360+Q360+R360</f>
        <v>3222.489607903563</v>
      </c>
      <c r="U360" s="548">
        <f>T360/G360*100</f>
        <v>0.54560932917263982</v>
      </c>
      <c r="V360" s="549">
        <f>T360-J360</f>
        <v>-69.638314779177563</v>
      </c>
      <c r="W360" s="541"/>
      <c r="X360" s="542"/>
      <c r="Z360" s="738"/>
      <c r="AB360" s="738"/>
      <c r="AD360" s="738"/>
      <c r="AF360" s="744"/>
    </row>
    <row r="361" spans="1:32">
      <c r="A361" s="6">
        <f>MAX(A$351:A360)+1</f>
        <v>166</v>
      </c>
      <c r="B361" s="58"/>
      <c r="C361" s="521" t="s">
        <v>260</v>
      </c>
      <c r="D361" s="58"/>
      <c r="E361" s="30"/>
      <c r="F361" s="58"/>
      <c r="G361" s="131">
        <f>SUM(G359:G360)</f>
        <v>929101.10525000002</v>
      </c>
      <c r="H361" s="58"/>
      <c r="I361" s="556">
        <f>J361/G361*100</f>
        <v>0.63445113728526592</v>
      </c>
      <c r="J361" s="554">
        <f>SUM(J359:J360)</f>
        <v>5894.6925287886006</v>
      </c>
      <c r="K361" s="58"/>
      <c r="L361" s="131">
        <f>SUM(L359:L360)</f>
        <v>705.25927449200003</v>
      </c>
      <c r="M361" s="131">
        <f>SUM(M359:M360)</f>
        <v>196.90344974972743</v>
      </c>
      <c r="N361" s="554">
        <f t="shared" ref="N361:O361" si="127">SUM(N359:N360)</f>
        <v>4992.5298045468735</v>
      </c>
      <c r="O361" s="640">
        <f t="shared" si="127"/>
        <v>0</v>
      </c>
      <c r="P361" s="131">
        <f>SUM(P359:P360)</f>
        <v>136.42230746634459</v>
      </c>
      <c r="Q361" s="131">
        <f>SUM(Q359:Q360)</f>
        <v>449.51807725850983</v>
      </c>
      <c r="R361" s="619">
        <f t="shared" ref="R361" si="128">SUM(R359:R360)</f>
        <v>191.4450208799899</v>
      </c>
      <c r="S361" s="539"/>
      <c r="T361" s="554">
        <f>SUM(T359:T360)</f>
        <v>5769.9152101517175</v>
      </c>
      <c r="U361" s="556">
        <f>T361/G361*100</f>
        <v>0.62102124058922137</v>
      </c>
      <c r="V361" s="557">
        <f>SUM(V359:V360)</f>
        <v>-124.77731863688314</v>
      </c>
      <c r="W361" s="558">
        <f>U361/I361-1</f>
        <v>-2.1167739967350885E-2</v>
      </c>
      <c r="X361" s="542"/>
      <c r="Z361" s="738"/>
      <c r="AB361" s="738"/>
      <c r="AD361" s="738"/>
      <c r="AF361" s="744"/>
    </row>
    <row r="362" spans="1:32">
      <c r="A362" s="6"/>
      <c r="C362" s="10"/>
      <c r="E362" s="30"/>
      <c r="G362" s="29"/>
      <c r="J362" s="567"/>
      <c r="L362" s="501"/>
      <c r="M362" s="501"/>
      <c r="N362" s="501"/>
      <c r="Q362" s="538"/>
      <c r="R362" s="538"/>
      <c r="U362" s="632"/>
      <c r="V362" s="501"/>
      <c r="W362" s="501"/>
      <c r="Z362" s="738"/>
      <c r="AB362" s="738"/>
      <c r="AD362" s="738"/>
      <c r="AF362" s="744"/>
    </row>
    <row r="363" spans="1:32">
      <c r="A363" s="6">
        <f>MAX(A$351:A362)+1</f>
        <v>167</v>
      </c>
      <c r="B363" s="58"/>
      <c r="C363" s="521" t="s">
        <v>321</v>
      </c>
      <c r="D363" s="58"/>
      <c r="E363" s="30" t="s">
        <v>262</v>
      </c>
      <c r="F363" s="58"/>
      <c r="G363" s="29">
        <v>18115.468199999999</v>
      </c>
      <c r="H363" s="58"/>
      <c r="I363" s="547">
        <v>0.55740000000000001</v>
      </c>
      <c r="J363" s="539">
        <f>G363*I363/100</f>
        <v>100.97561974680001</v>
      </c>
      <c r="K363" s="58"/>
      <c r="L363" s="29">
        <v>16.629999807600001</v>
      </c>
      <c r="M363" s="29">
        <v>0</v>
      </c>
      <c r="N363" s="534">
        <f>J363-L363-M363</f>
        <v>84.345619939200006</v>
      </c>
      <c r="O363" s="564"/>
      <c r="P363" s="29">
        <v>2.3047682331922204</v>
      </c>
      <c r="Q363" s="29">
        <v>10.538567581595844</v>
      </c>
      <c r="R363" s="29">
        <v>0</v>
      </c>
      <c r="S363" s="564"/>
      <c r="T363" s="539">
        <f>N363+P363+Q363+R363</f>
        <v>97.188955753988068</v>
      </c>
      <c r="U363" s="548">
        <f>T363/G363*100</f>
        <v>0.53649706803596764</v>
      </c>
      <c r="V363" s="538">
        <f>T363-N363</f>
        <v>12.843335814788063</v>
      </c>
      <c r="W363" s="559">
        <f>U363/I363-1</f>
        <v>-3.7500774962383132E-2</v>
      </c>
      <c r="X363" s="542"/>
      <c r="Z363" s="738"/>
      <c r="AB363" s="738"/>
      <c r="AD363" s="738"/>
      <c r="AF363" s="744"/>
    </row>
    <row r="364" spans="1:32">
      <c r="A364" s="6">
        <f>MAX(A$351:A363)+1</f>
        <v>168</v>
      </c>
      <c r="B364" s="58"/>
      <c r="C364" s="521" t="s">
        <v>322</v>
      </c>
      <c r="D364" s="58"/>
      <c r="E364" s="30" t="s">
        <v>259</v>
      </c>
      <c r="F364" s="58"/>
      <c r="G364" s="29">
        <v>456.00000000000375</v>
      </c>
      <c r="H364" s="58"/>
      <c r="I364" s="537">
        <v>248.07</v>
      </c>
      <c r="J364" s="539">
        <f>G364*I364/1000</f>
        <v>113.11992000000093</v>
      </c>
      <c r="K364" s="58"/>
      <c r="L364" s="29">
        <v>0</v>
      </c>
      <c r="M364" s="29">
        <v>0</v>
      </c>
      <c r="N364" s="534">
        <f>J364-L364-M364</f>
        <v>113.11992000000093</v>
      </c>
      <c r="O364" s="564"/>
      <c r="P364" s="29">
        <v>3.0910342273277678</v>
      </c>
      <c r="Q364" s="29">
        <v>0</v>
      </c>
      <c r="R364" s="29">
        <v>0</v>
      </c>
      <c r="S364" s="564"/>
      <c r="T364" s="539">
        <f>N364+P364+Q364+R364</f>
        <v>116.2109542273287</v>
      </c>
      <c r="U364" s="540">
        <f>T364/G364*1000</f>
        <v>254.84858383185909</v>
      </c>
      <c r="V364" s="538">
        <f>T364-N364</f>
        <v>3.0910342273277678</v>
      </c>
      <c r="W364" s="559">
        <f>U364/I364-1</f>
        <v>2.7325286539521487E-2</v>
      </c>
      <c r="X364" s="542"/>
      <c r="Z364" s="738"/>
      <c r="AB364" s="738"/>
      <c r="AD364" s="738"/>
      <c r="AF364" s="744"/>
    </row>
    <row r="365" spans="1:32">
      <c r="A365" s="6"/>
      <c r="B365" s="58"/>
      <c r="C365" s="10"/>
      <c r="D365" s="58"/>
      <c r="E365" s="30"/>
      <c r="F365" s="58"/>
      <c r="G365" s="132"/>
      <c r="H365" s="58"/>
      <c r="I365" s="58"/>
      <c r="J365" s="539"/>
      <c r="K365" s="58"/>
      <c r="L365" s="538"/>
      <c r="M365" s="538"/>
      <c r="N365" s="538"/>
      <c r="O365" s="564"/>
      <c r="P365" s="564"/>
      <c r="Q365" s="538"/>
      <c r="R365" s="538"/>
      <c r="S365" s="564"/>
      <c r="T365" s="564"/>
      <c r="U365" s="564"/>
      <c r="V365" s="538"/>
      <c r="W365" s="541"/>
      <c r="X365" s="542"/>
      <c r="Z365" s="738"/>
      <c r="AB365" s="738"/>
      <c r="AD365" s="738"/>
    </row>
    <row r="366" spans="1:32">
      <c r="A366" s="6">
        <f>MAX(A$351:A365)+1</f>
        <v>169</v>
      </c>
      <c r="B366" s="58"/>
      <c r="C366" s="10" t="s">
        <v>266</v>
      </c>
      <c r="D366" s="58"/>
      <c r="E366" s="30"/>
      <c r="F366" s="58"/>
      <c r="G366" s="131">
        <f>G361</f>
        <v>929101.10525000002</v>
      </c>
      <c r="H366" s="58"/>
      <c r="I366" s="556">
        <f>J366/G366*100</f>
        <v>3.1600450885331042</v>
      </c>
      <c r="J366" s="554">
        <f>J352+J356+J361+J363+J364</f>
        <v>29360.013843959412</v>
      </c>
      <c r="K366" s="539"/>
      <c r="L366" s="131">
        <f t="shared" ref="L366:V366" si="129">L352+L356+L361+L363+L364</f>
        <v>1925.7154706035999</v>
      </c>
      <c r="M366" s="619">
        <f t="shared" si="129"/>
        <v>196.90344974972743</v>
      </c>
      <c r="N366" s="554">
        <f t="shared" si="129"/>
        <v>27237.394923606083</v>
      </c>
      <c r="O366" s="564"/>
      <c r="P366" s="619">
        <f t="shared" si="129"/>
        <v>744.26962087764502</v>
      </c>
      <c r="Q366" s="131">
        <f t="shared" si="129"/>
        <v>1314.4475566860162</v>
      </c>
      <c r="R366" s="619">
        <f t="shared" si="129"/>
        <v>191.4450208799899</v>
      </c>
      <c r="S366" s="564"/>
      <c r="T366" s="554">
        <f>T352+T356+T361+T363+T364</f>
        <v>29487.557122049733</v>
      </c>
      <c r="U366" s="556">
        <f>T366/G366*100</f>
        <v>3.1737726879697661</v>
      </c>
      <c r="V366" s="619">
        <f t="shared" si="129"/>
        <v>144.17327789792324</v>
      </c>
      <c r="W366" s="562">
        <f>U366/I366-1</f>
        <v>4.3441150528122918E-3</v>
      </c>
      <c r="X366" s="542"/>
      <c r="Z366" s="738"/>
      <c r="AB366" s="738"/>
      <c r="AD366" s="738"/>
    </row>
    <row r="367" spans="1:32">
      <c r="A367" s="6"/>
      <c r="B367" s="58"/>
      <c r="C367" s="10"/>
      <c r="D367" s="58"/>
      <c r="E367" s="30"/>
      <c r="F367" s="58"/>
      <c r="G367" s="132"/>
      <c r="H367" s="58"/>
      <c r="I367" s="58"/>
      <c r="J367" s="539"/>
      <c r="K367" s="58"/>
      <c r="L367" s="534"/>
      <c r="M367" s="534"/>
      <c r="N367" s="534"/>
      <c r="O367" s="539"/>
      <c r="P367" s="539"/>
      <c r="Q367" s="538"/>
      <c r="R367" s="538"/>
      <c r="S367" s="539"/>
      <c r="T367" s="539"/>
      <c r="U367" s="548"/>
      <c r="V367" s="534"/>
      <c r="W367" s="534"/>
      <c r="X367" s="530"/>
      <c r="Z367" s="738"/>
      <c r="AB367" s="738"/>
      <c r="AD367" s="738"/>
    </row>
    <row r="368" spans="1:32">
      <c r="A368" s="6"/>
      <c r="B368" s="58"/>
      <c r="C368" s="501" t="s">
        <v>323</v>
      </c>
      <c r="D368" s="58"/>
      <c r="E368" s="591"/>
      <c r="F368" s="58"/>
      <c r="G368" s="618"/>
      <c r="H368" s="58"/>
      <c r="I368" s="58"/>
      <c r="J368" s="539"/>
      <c r="K368" s="58"/>
      <c r="L368" s="538"/>
      <c r="M368" s="538"/>
      <c r="N368" s="538"/>
      <c r="O368" s="564"/>
      <c r="P368" s="564"/>
      <c r="Q368" s="538"/>
      <c r="R368" s="538"/>
      <c r="S368" s="564"/>
      <c r="T368" s="564"/>
      <c r="U368" s="564"/>
      <c r="V368" s="538"/>
      <c r="W368" s="538"/>
      <c r="X368" s="563"/>
      <c r="Z368" s="738"/>
      <c r="AB368" s="738"/>
      <c r="AD368" s="738"/>
    </row>
    <row r="369" spans="1:32">
      <c r="A369" s="6">
        <f>MAX(A$351:A368)+1</f>
        <v>170</v>
      </c>
      <c r="C369" s="526" t="s">
        <v>306</v>
      </c>
      <c r="E369" s="522" t="s">
        <v>281</v>
      </c>
      <c r="G369" s="29">
        <v>1764.0360000000001</v>
      </c>
      <c r="H369" s="568"/>
      <c r="I369" s="547">
        <v>5.8666620005894572</v>
      </c>
      <c r="J369" s="568">
        <f>G369*I369/100</f>
        <v>103.49002968871824</v>
      </c>
      <c r="L369" s="29">
        <v>0</v>
      </c>
      <c r="M369" s="29">
        <v>0</v>
      </c>
      <c r="N369" s="534">
        <f>J369-L369-M369</f>
        <v>103.49002968871824</v>
      </c>
      <c r="O369" s="64"/>
      <c r="P369" s="29">
        <v>2.8278947152278135</v>
      </c>
      <c r="Q369" s="132">
        <v>0</v>
      </c>
      <c r="R369" s="132">
        <v>0</v>
      </c>
      <c r="S369" s="130"/>
      <c r="T369" s="539">
        <f>N369+P369+Q369+R3646</f>
        <v>106.31792440394605</v>
      </c>
      <c r="U369" s="548">
        <f>T369/G369*100</f>
        <v>6.0269702207860858</v>
      </c>
      <c r="V369" s="576">
        <f>T369-J369</f>
        <v>2.8278947152278135</v>
      </c>
      <c r="W369" s="576"/>
      <c r="X369" s="610"/>
      <c r="Z369" s="738"/>
      <c r="AB369" s="738"/>
      <c r="AD369" s="738"/>
      <c r="AF369" s="744"/>
    </row>
    <row r="370" spans="1:32">
      <c r="A370" s="6">
        <f>MAX(A$351:A369)+1</f>
        <v>171</v>
      </c>
      <c r="B370" s="581"/>
      <c r="C370" s="526" t="s">
        <v>307</v>
      </c>
      <c r="D370" s="581"/>
      <c r="E370" s="522" t="s">
        <v>281</v>
      </c>
      <c r="F370" s="581"/>
      <c r="G370" s="29">
        <v>6791.652</v>
      </c>
      <c r="H370" s="568"/>
      <c r="I370" s="547">
        <v>4.3500620005894568</v>
      </c>
      <c r="J370" s="568">
        <f>G370*I370/100</f>
        <v>295.44107286427385</v>
      </c>
      <c r="K370" s="581"/>
      <c r="L370" s="29">
        <v>0</v>
      </c>
      <c r="M370" s="29">
        <v>0</v>
      </c>
      <c r="N370" s="534">
        <f t="shared" ref="N370:N376" si="130">J370-L370-M370</f>
        <v>295.44107286427385</v>
      </c>
      <c r="O370" s="582"/>
      <c r="P370" s="29">
        <v>8.0730119715599358</v>
      </c>
      <c r="Q370" s="132">
        <v>0</v>
      </c>
      <c r="R370" s="132">
        <v>0</v>
      </c>
      <c r="S370" s="130"/>
      <c r="T370" s="539">
        <f>N370+P370+Q370+R3647</f>
        <v>303.51408483583378</v>
      </c>
      <c r="U370" s="548">
        <f>T370/G370*100</f>
        <v>4.4689286912202473</v>
      </c>
      <c r="V370" s="576">
        <f>T370-J370</f>
        <v>8.0730119715599358</v>
      </c>
      <c r="W370" s="576"/>
      <c r="X370" s="610"/>
      <c r="Z370" s="738"/>
      <c r="AB370" s="738"/>
      <c r="AD370" s="738"/>
      <c r="AF370" s="744"/>
    </row>
    <row r="371" spans="1:32">
      <c r="A371" s="6"/>
      <c r="B371" s="3"/>
      <c r="C371" s="501" t="s">
        <v>324</v>
      </c>
      <c r="D371" s="3"/>
      <c r="E371" s="57"/>
      <c r="F371" s="3"/>
      <c r="G371" s="624"/>
      <c r="H371" s="624"/>
      <c r="I371" s="624"/>
      <c r="J371" s="624"/>
      <c r="K371" s="3"/>
      <c r="L371" s="538"/>
      <c r="M371" s="538"/>
      <c r="N371" s="534"/>
      <c r="O371" s="584"/>
      <c r="P371" s="132"/>
      <c r="Q371" s="576"/>
      <c r="R371" s="576"/>
      <c r="S371" s="132"/>
      <c r="T371" s="130"/>
      <c r="U371" s="548"/>
      <c r="V371" s="576"/>
      <c r="W371" s="576"/>
      <c r="X371" s="610"/>
      <c r="Z371" s="738"/>
      <c r="AB371" s="738"/>
      <c r="AD371" s="738"/>
      <c r="AF371" s="744"/>
    </row>
    <row r="372" spans="1:32">
      <c r="A372" s="6">
        <f>MAX(A$351:A371)+1</f>
        <v>172</v>
      </c>
      <c r="B372" s="5"/>
      <c r="C372" s="526" t="s">
        <v>306</v>
      </c>
      <c r="D372" s="5"/>
      <c r="E372" s="522" t="s">
        <v>262</v>
      </c>
      <c r="F372" s="5"/>
      <c r="G372" s="29">
        <v>19327.7673</v>
      </c>
      <c r="H372" s="674"/>
      <c r="I372" s="620">
        <v>-0.12354596677033286</v>
      </c>
      <c r="J372" s="752">
        <f>G372*I372/100</f>
        <v>-23.87867696590526</v>
      </c>
      <c r="K372" s="5"/>
      <c r="L372" s="29">
        <v>0</v>
      </c>
      <c r="M372" s="29">
        <v>0</v>
      </c>
      <c r="N372" s="549">
        <f t="shared" si="130"/>
        <v>-23.87867696590526</v>
      </c>
      <c r="O372" s="585"/>
      <c r="P372" s="29">
        <v>-0.65249169027803333</v>
      </c>
      <c r="Q372" s="132">
        <v>0</v>
      </c>
      <c r="R372" s="132">
        <v>0</v>
      </c>
      <c r="S372" s="675"/>
      <c r="T372" s="130">
        <f>N372+P372+Q372+R3649</f>
        <v>-24.531168656183294</v>
      </c>
      <c r="U372" s="750">
        <f>T372/G372*100</f>
        <v>-0.12692189571313442</v>
      </c>
      <c r="V372" s="576">
        <f>T372-J372</f>
        <v>-0.65249169027803333</v>
      </c>
      <c r="W372" s="576"/>
      <c r="X372" s="610"/>
      <c r="Z372" s="747"/>
      <c r="AB372" s="747"/>
      <c r="AD372" s="747"/>
      <c r="AF372" s="744"/>
    </row>
    <row r="373" spans="1:32">
      <c r="A373" s="6">
        <f>MAX(A$351:A372)+1</f>
        <v>173</v>
      </c>
      <c r="B373" s="58"/>
      <c r="C373" s="526" t="s">
        <v>307</v>
      </c>
      <c r="D373" s="58"/>
      <c r="E373" s="522" t="s">
        <v>262</v>
      </c>
      <c r="F373" s="58"/>
      <c r="G373" s="29">
        <v>62792.705639999993</v>
      </c>
      <c r="H373" s="624"/>
      <c r="I373" s="620">
        <v>-0.20307596677033282</v>
      </c>
      <c r="J373" s="752">
        <f t="shared" ref="J373" si="131">G373*I373/100</f>
        <v>-127.51689403967929</v>
      </c>
      <c r="K373" s="58"/>
      <c r="L373" s="29">
        <v>0</v>
      </c>
      <c r="M373" s="29">
        <v>0</v>
      </c>
      <c r="N373" s="549">
        <f t="shared" si="130"/>
        <v>-127.51689403967929</v>
      </c>
      <c r="O373" s="564"/>
      <c r="P373" s="29">
        <v>-3.4844356682640267</v>
      </c>
      <c r="Q373" s="132">
        <v>0</v>
      </c>
      <c r="R373" s="132">
        <v>0</v>
      </c>
      <c r="S373" s="132"/>
      <c r="T373" s="130">
        <f>N373+P373+Q373+R3650</f>
        <v>-131.00132970794331</v>
      </c>
      <c r="U373" s="750">
        <f>T373/G373*100</f>
        <v>-0.20862507575162251</v>
      </c>
      <c r="V373" s="576">
        <f>T373-J373</f>
        <v>-3.4844356682640267</v>
      </c>
      <c r="W373" s="576"/>
      <c r="X373" s="610"/>
      <c r="Z373" s="747"/>
      <c r="AB373" s="747"/>
      <c r="AD373" s="747"/>
      <c r="AF373" s="744"/>
    </row>
    <row r="374" spans="1:32">
      <c r="A374" s="6"/>
      <c r="C374" s="501" t="s">
        <v>325</v>
      </c>
      <c r="G374" s="568"/>
      <c r="H374" s="568"/>
      <c r="I374" s="568"/>
      <c r="J374" s="568"/>
      <c r="L374" s="538"/>
      <c r="M374" s="538"/>
      <c r="N374" s="534"/>
      <c r="O374" s="64"/>
      <c r="P374" s="130"/>
      <c r="Q374" s="576"/>
      <c r="R374" s="576"/>
      <c r="S374" s="130"/>
      <c r="T374" s="130"/>
      <c r="U374" s="130"/>
      <c r="V374" s="576"/>
      <c r="W374" s="576"/>
      <c r="X374" s="610"/>
      <c r="Z374" s="747"/>
      <c r="AB374" s="738"/>
      <c r="AD374" s="738"/>
    </row>
    <row r="375" spans="1:32">
      <c r="A375" s="6">
        <f>MAX(A$351:A374)+1</f>
        <v>174</v>
      </c>
      <c r="B375" s="58"/>
      <c r="C375" s="526" t="s">
        <v>306</v>
      </c>
      <c r="D375" s="58"/>
      <c r="E375" s="522" t="s">
        <v>262</v>
      </c>
      <c r="F375" s="58"/>
      <c r="G375" s="29">
        <v>15676.229820000002</v>
      </c>
      <c r="H375" s="624"/>
      <c r="I375" s="676">
        <v>0</v>
      </c>
      <c r="J375" s="676">
        <f>G375*I375/100</f>
        <v>0</v>
      </c>
      <c r="K375" s="655"/>
      <c r="L375" s="29">
        <v>0</v>
      </c>
      <c r="M375" s="29">
        <v>0</v>
      </c>
      <c r="N375" s="538">
        <f t="shared" si="130"/>
        <v>0</v>
      </c>
      <c r="O375" s="564"/>
      <c r="P375" s="132">
        <v>0</v>
      </c>
      <c r="Q375" s="132">
        <v>0</v>
      </c>
      <c r="R375" s="132">
        <v>0</v>
      </c>
      <c r="S375" s="132"/>
      <c r="T375" s="130">
        <f>N375+P375+Q375+R3652</f>
        <v>0</v>
      </c>
      <c r="U375" s="130">
        <f>T375/G375*100</f>
        <v>0</v>
      </c>
      <c r="V375" s="576">
        <f>T375-J375</f>
        <v>0</v>
      </c>
      <c r="W375" s="576"/>
      <c r="X375" s="610"/>
      <c r="Z375" s="746"/>
      <c r="AB375" s="746"/>
      <c r="AD375" s="746"/>
      <c r="AF375" s="563"/>
    </row>
    <row r="376" spans="1:32">
      <c r="A376" s="6">
        <f>MAX(A$351:A375)+1</f>
        <v>175</v>
      </c>
      <c r="B376" s="58"/>
      <c r="C376" s="526" t="s">
        <v>307</v>
      </c>
      <c r="D376" s="58"/>
      <c r="E376" s="522" t="s">
        <v>262</v>
      </c>
      <c r="F376" s="58"/>
      <c r="G376" s="536">
        <v>37528.185069999978</v>
      </c>
      <c r="H376" s="624"/>
      <c r="I376" s="676">
        <v>0</v>
      </c>
      <c r="J376" s="676">
        <f>G376*I376/100</f>
        <v>0</v>
      </c>
      <c r="K376" s="676"/>
      <c r="L376" s="132">
        <f t="shared" ref="L376:M376" si="132">I376*K376/100</f>
        <v>0</v>
      </c>
      <c r="M376" s="132">
        <f t="shared" si="132"/>
        <v>0</v>
      </c>
      <c r="N376" s="538">
        <f t="shared" si="130"/>
        <v>0</v>
      </c>
      <c r="O376" s="564"/>
      <c r="P376" s="132">
        <v>0</v>
      </c>
      <c r="Q376" s="132">
        <v>0</v>
      </c>
      <c r="R376" s="132">
        <v>0</v>
      </c>
      <c r="S376" s="132"/>
      <c r="T376" s="130">
        <f>N376+P376+Q376+R3653</f>
        <v>0</v>
      </c>
      <c r="U376" s="130">
        <f>T376/G376*100</f>
        <v>0</v>
      </c>
      <c r="V376" s="576">
        <f>T376-J376</f>
        <v>0</v>
      </c>
      <c r="W376" s="576"/>
      <c r="X376" s="610"/>
      <c r="Z376" s="746"/>
      <c r="AB376" s="746"/>
      <c r="AD376" s="746"/>
      <c r="AF376" s="563"/>
    </row>
    <row r="377" spans="1:32">
      <c r="A377" s="6">
        <f>MAX(A$351:A376)+1</f>
        <v>176</v>
      </c>
      <c r="B377" s="58"/>
      <c r="C377" s="10" t="s">
        <v>326</v>
      </c>
      <c r="D377" s="58"/>
      <c r="E377" s="30"/>
      <c r="F377" s="58"/>
      <c r="G377" s="553">
        <f>SUM(G372:G376)</f>
        <v>135324.88782999996</v>
      </c>
      <c r="H377" s="624"/>
      <c r="I377" s="608">
        <f>J377/G377*100</f>
        <v>0.1829194433609069</v>
      </c>
      <c r="J377" s="131">
        <f>SUM(J369:J376)</f>
        <v>247.53553154740757</v>
      </c>
      <c r="K377" s="132"/>
      <c r="L377" s="131">
        <f t="shared" ref="L377:N377" si="133">SUM(L369:L376)</f>
        <v>0</v>
      </c>
      <c r="M377" s="131">
        <f t="shared" si="133"/>
        <v>0</v>
      </c>
      <c r="N377" s="550">
        <f t="shared" si="133"/>
        <v>247.53553154740757</v>
      </c>
      <c r="O377" s="539"/>
      <c r="P377" s="619">
        <f>SUM(P369:P376)</f>
        <v>6.7639793282456893</v>
      </c>
      <c r="Q377" s="619">
        <f>SUM(Q369:Q376)</f>
        <v>0</v>
      </c>
      <c r="R377" s="619">
        <f>SUM(R369:R376)</f>
        <v>0</v>
      </c>
      <c r="S377" s="539"/>
      <c r="T377" s="554">
        <f>SUM(T369:T376)</f>
        <v>254.29951087565323</v>
      </c>
      <c r="U377" s="677">
        <f>T377/G377*100</f>
        <v>0.18791776956439343</v>
      </c>
      <c r="V377" s="552">
        <f>SUM(V369:V376)</f>
        <v>6.7639793282456893</v>
      </c>
      <c r="W377" s="562">
        <f>U377/I377-1</f>
        <v>2.7325286539521265E-2</v>
      </c>
      <c r="X377" s="542"/>
      <c r="Z377" s="738"/>
      <c r="AB377" s="738"/>
      <c r="AD377" s="738"/>
      <c r="AF377" s="744"/>
    </row>
    <row r="378" spans="1:32">
      <c r="A378" s="6"/>
      <c r="B378" s="58"/>
      <c r="C378" s="526"/>
      <c r="D378" s="58"/>
      <c r="E378" s="30"/>
      <c r="F378" s="58"/>
      <c r="G378" s="536"/>
      <c r="H378" s="624"/>
      <c r="I378" s="624"/>
      <c r="J378" s="624"/>
      <c r="K378" s="58"/>
      <c r="L378" s="538"/>
      <c r="M378" s="538"/>
      <c r="N378" s="534"/>
      <c r="O378" s="539"/>
      <c r="P378" s="539"/>
      <c r="Q378" s="538"/>
      <c r="R378" s="538"/>
      <c r="S378" s="539"/>
      <c r="T378" s="539"/>
      <c r="U378" s="539"/>
      <c r="V378" s="534"/>
      <c r="W378" s="534"/>
      <c r="X378" s="530"/>
    </row>
    <row r="379" spans="1:32">
      <c r="A379" s="6"/>
      <c r="B379" s="58"/>
      <c r="C379" s="501" t="s">
        <v>327</v>
      </c>
      <c r="D379" s="58"/>
      <c r="E379" s="30"/>
      <c r="F379" s="58"/>
      <c r="G379" s="536"/>
      <c r="H379" s="624"/>
      <c r="I379" s="624"/>
      <c r="J379" s="624"/>
      <c r="K379" s="58"/>
      <c r="L379" s="538"/>
      <c r="M379" s="538"/>
      <c r="N379" s="534"/>
      <c r="O379" s="539"/>
      <c r="P379" s="539"/>
      <c r="Q379" s="538"/>
      <c r="R379" s="538"/>
      <c r="S379" s="539"/>
      <c r="U379" s="539"/>
      <c r="V379" s="534"/>
      <c r="W379" s="534"/>
      <c r="X379" s="530"/>
    </row>
    <row r="380" spans="1:32">
      <c r="A380" s="6">
        <f>MAX(A$351:A379)+1</f>
        <v>177</v>
      </c>
      <c r="B380" s="58"/>
      <c r="C380" s="526" t="s">
        <v>328</v>
      </c>
      <c r="D380" s="58"/>
      <c r="E380" s="522" t="s">
        <v>329</v>
      </c>
      <c r="F380" s="58"/>
      <c r="G380" s="536">
        <v>141504</v>
      </c>
      <c r="H380" s="624"/>
      <c r="I380" s="701">
        <v>7.8860000000000001</v>
      </c>
      <c r="J380" s="624">
        <f>G380*I380/1000</f>
        <v>1115.9005440000001</v>
      </c>
      <c r="K380" s="58"/>
      <c r="L380" s="29">
        <v>0</v>
      </c>
      <c r="M380" s="29">
        <v>0</v>
      </c>
      <c r="N380" s="534">
        <f>J380-L380-M380</f>
        <v>1115.9005440000001</v>
      </c>
      <c r="O380" s="539"/>
      <c r="P380" s="29">
        <v>30.492302114407948</v>
      </c>
      <c r="Q380" s="29">
        <v>0</v>
      </c>
      <c r="R380" s="29">
        <v>0</v>
      </c>
      <c r="S380" s="643"/>
      <c r="T380" s="539">
        <f>N380+P380+Q380+R380</f>
        <v>1146.392846114408</v>
      </c>
      <c r="U380" s="702">
        <f>T380/G380*1000</f>
        <v>8.1014872096506672</v>
      </c>
      <c r="V380" s="534">
        <f>T380-J380</f>
        <v>30.492302114407948</v>
      </c>
      <c r="W380" s="534"/>
      <c r="X380" s="530"/>
      <c r="Z380" s="738"/>
      <c r="AB380" s="738"/>
      <c r="AD380" s="738"/>
      <c r="AF380" s="744"/>
    </row>
    <row r="381" spans="1:32">
      <c r="A381" s="6">
        <f>MAX(A$351:A380)+1</f>
        <v>178</v>
      </c>
      <c r="B381" s="58"/>
      <c r="C381" s="526" t="s">
        <v>330</v>
      </c>
      <c r="D381" s="58"/>
      <c r="E381" s="522" t="s">
        <v>331</v>
      </c>
      <c r="F381" s="58"/>
      <c r="G381" s="536">
        <v>522359</v>
      </c>
      <c r="H381" s="624"/>
      <c r="I381" s="701">
        <v>0.14299999999999999</v>
      </c>
      <c r="J381" s="624">
        <f>G381*I381/1000</f>
        <v>74.697337000000005</v>
      </c>
      <c r="K381" s="58"/>
      <c r="L381" s="29">
        <v>0</v>
      </c>
      <c r="M381" s="29">
        <v>0</v>
      </c>
      <c r="N381" s="534">
        <f>J381-L381-M381</f>
        <v>74.697337000000005</v>
      </c>
      <c r="O381" s="539"/>
      <c r="P381" s="29">
        <v>2.0411261372642002</v>
      </c>
      <c r="Q381" s="29">
        <v>0</v>
      </c>
      <c r="R381" s="29">
        <v>0</v>
      </c>
      <c r="S381" s="539"/>
      <c r="T381" s="539">
        <f>N381+P381+Q381+R381</f>
        <v>76.738463137264205</v>
      </c>
      <c r="U381" s="702">
        <f>T381/G381*1000</f>
        <v>0.14690751597515156</v>
      </c>
      <c r="V381" s="534">
        <f>T381-J381</f>
        <v>2.0411261372642002</v>
      </c>
      <c r="W381" s="534"/>
      <c r="X381" s="530"/>
      <c r="Z381" s="738"/>
      <c r="AB381" s="738"/>
      <c r="AD381" s="738"/>
      <c r="AF381" s="744"/>
    </row>
    <row r="382" spans="1:32">
      <c r="A382" s="6">
        <f>MAX(A$351:A381)+1</f>
        <v>179</v>
      </c>
      <c r="B382" s="58"/>
      <c r="C382" s="501" t="s">
        <v>327</v>
      </c>
      <c r="D382" s="58"/>
      <c r="E382" s="30"/>
      <c r="F382" s="58"/>
      <c r="G382" s="131">
        <f>SUM(G380:G381)</f>
        <v>663863</v>
      </c>
      <c r="H382" s="58"/>
      <c r="I382" s="753">
        <f>J382/G382*1000</f>
        <v>1.7934391297602066</v>
      </c>
      <c r="J382" s="554">
        <f>SUM(J380:J381)</f>
        <v>1190.5978810000001</v>
      </c>
      <c r="K382" s="58"/>
      <c r="L382" s="555">
        <f>SUM(L380:L381)</f>
        <v>0</v>
      </c>
      <c r="M382" s="555">
        <f t="shared" ref="M382:N382" si="134">SUM(M380:M381)</f>
        <v>0</v>
      </c>
      <c r="N382" s="552">
        <f t="shared" si="134"/>
        <v>1190.5978810000001</v>
      </c>
      <c r="O382" s="539"/>
      <c r="P382" s="619">
        <f>SUM(P380:P381)</f>
        <v>32.533428251672149</v>
      </c>
      <c r="Q382" s="619">
        <f t="shared" ref="Q382:R382" si="135">SUM(Q380:Q381)</f>
        <v>0</v>
      </c>
      <c r="R382" s="619">
        <f t="shared" si="135"/>
        <v>0</v>
      </c>
      <c r="S382" s="539"/>
      <c r="T382" s="554">
        <f>SUM(T380:T381)</f>
        <v>1223.1313092516723</v>
      </c>
      <c r="U382" s="753">
        <f>T382/G382*1000</f>
        <v>1.8424453678720947</v>
      </c>
      <c r="V382" s="552">
        <f>SUM(V380:V381)</f>
        <v>32.533428251672149</v>
      </c>
      <c r="W382" s="562">
        <f>U382/I382-1</f>
        <v>2.7325286539521709E-2</v>
      </c>
      <c r="X382" s="542"/>
      <c r="Z382" s="738"/>
      <c r="AB382" s="738"/>
      <c r="AD382" s="738"/>
      <c r="AF382" s="744"/>
    </row>
    <row r="383" spans="1:32">
      <c r="A383" s="6"/>
      <c r="B383" s="58"/>
      <c r="C383" s="10"/>
      <c r="D383" s="58"/>
      <c r="E383" s="30"/>
      <c r="F383" s="58"/>
      <c r="G383" s="29"/>
      <c r="H383" s="58"/>
      <c r="I383" s="548"/>
      <c r="J383" s="539"/>
      <c r="K383" s="58"/>
      <c r="L383" s="534"/>
      <c r="M383" s="534"/>
      <c r="N383" s="534"/>
      <c r="O383" s="539"/>
      <c r="P383" s="539"/>
      <c r="Q383" s="538"/>
      <c r="R383" s="538"/>
      <c r="S383" s="539"/>
      <c r="T383" s="539"/>
      <c r="U383" s="539"/>
      <c r="V383" s="534"/>
      <c r="W383" s="534"/>
      <c r="X383" s="530"/>
      <c r="Z383" s="738"/>
      <c r="AB383" s="738"/>
      <c r="AD383" s="738"/>
      <c r="AF383" s="744"/>
    </row>
    <row r="384" spans="1:32">
      <c r="A384" s="6"/>
      <c r="B384" s="58"/>
      <c r="C384" s="10" t="s">
        <v>270</v>
      </c>
      <c r="D384" s="58"/>
      <c r="E384" s="30"/>
      <c r="F384" s="58"/>
      <c r="G384" s="132"/>
      <c r="H384" s="58"/>
      <c r="I384" s="548"/>
      <c r="J384" s="539"/>
      <c r="K384" s="58"/>
      <c r="L384" s="534"/>
      <c r="M384" s="534"/>
      <c r="N384" s="534"/>
      <c r="O384" s="539"/>
      <c r="P384" s="539"/>
      <c r="Q384" s="538"/>
      <c r="R384" s="538"/>
      <c r="S384" s="539"/>
      <c r="T384" s="539"/>
      <c r="U384" s="539"/>
      <c r="V384" s="534"/>
      <c r="W384" s="534"/>
      <c r="X384" s="530"/>
      <c r="Z384" s="738"/>
      <c r="AB384" s="738"/>
      <c r="AD384" s="738"/>
      <c r="AF384" s="744"/>
    </row>
    <row r="385" spans="1:32">
      <c r="A385" s="6">
        <f>MAX(A$351:A384)+1</f>
        <v>180</v>
      </c>
      <c r="C385" s="12" t="s">
        <v>306</v>
      </c>
      <c r="E385" s="522" t="s">
        <v>262</v>
      </c>
      <c r="G385" s="536">
        <v>5777.0110000000004</v>
      </c>
      <c r="I385" s="547">
        <v>0.20849999999999999</v>
      </c>
      <c r="J385" s="567">
        <f>G385*I385/100</f>
        <v>12.045067934999999</v>
      </c>
      <c r="L385" s="29">
        <v>0</v>
      </c>
      <c r="M385" s="29">
        <v>0</v>
      </c>
      <c r="N385" s="534">
        <f>J385-L385-M385</f>
        <v>12.045067934999999</v>
      </c>
      <c r="O385" s="64"/>
      <c r="P385" s="29">
        <v>0.32913493271187733</v>
      </c>
      <c r="Q385" s="29">
        <v>0</v>
      </c>
      <c r="R385" s="29">
        <v>0</v>
      </c>
      <c r="S385" s="567"/>
      <c r="T385" s="567">
        <f>N385+P385+Q385+R385</f>
        <v>12.374202867711876</v>
      </c>
      <c r="U385" s="670">
        <f>T385/G385*100</f>
        <v>0.21419732224349017</v>
      </c>
      <c r="V385" s="534">
        <f>T385-J385</f>
        <v>0.32913493271187733</v>
      </c>
      <c r="W385" s="534"/>
      <c r="X385" s="530"/>
      <c r="Z385" s="738"/>
      <c r="AB385" s="738"/>
      <c r="AD385" s="738"/>
      <c r="AF385" s="744"/>
    </row>
    <row r="386" spans="1:32">
      <c r="A386" s="6">
        <f>MAX(A$351:A385)+1</f>
        <v>181</v>
      </c>
      <c r="B386" s="58"/>
      <c r="C386" s="12" t="s">
        <v>307</v>
      </c>
      <c r="D386" s="58"/>
      <c r="E386" s="522" t="s">
        <v>262</v>
      </c>
      <c r="F386" s="58"/>
      <c r="G386" s="536">
        <v>9854.0479600000017</v>
      </c>
      <c r="H386" s="58"/>
      <c r="I386" s="547">
        <v>0.20849999999999999</v>
      </c>
      <c r="J386" s="567">
        <f>G386*I386/100</f>
        <v>20.545689996600004</v>
      </c>
      <c r="K386" s="58"/>
      <c r="L386" s="29">
        <v>0</v>
      </c>
      <c r="M386" s="29">
        <v>0</v>
      </c>
      <c r="N386" s="534">
        <f>J386-L386-M386</f>
        <v>20.545689996600004</v>
      </c>
      <c r="O386" s="564"/>
      <c r="P386" s="29">
        <v>0.56141686630927623</v>
      </c>
      <c r="Q386" s="29">
        <v>0</v>
      </c>
      <c r="R386" s="29">
        <v>0</v>
      </c>
      <c r="S386" s="539"/>
      <c r="T386" s="567">
        <f>N386+P386+Q386+R386</f>
        <v>21.10710686290928</v>
      </c>
      <c r="U386" s="670">
        <f>T386/G386*100</f>
        <v>0.21419732224349022</v>
      </c>
      <c r="V386" s="534">
        <f>T386-J386</f>
        <v>0.56141686630927623</v>
      </c>
      <c r="W386" s="534"/>
      <c r="X386" s="530"/>
      <c r="Z386" s="738"/>
      <c r="AB386" s="738"/>
      <c r="AD386" s="738"/>
      <c r="AF386" s="744"/>
    </row>
    <row r="387" spans="1:32">
      <c r="A387" s="6">
        <f>MAX(A$351:A386)+1</f>
        <v>182</v>
      </c>
      <c r="B387" s="58"/>
      <c r="C387" s="10" t="s">
        <v>270</v>
      </c>
      <c r="D387" s="58"/>
      <c r="E387" s="522"/>
      <c r="F387" s="58"/>
      <c r="G387" s="411">
        <f>SUM(G385:G386)</f>
        <v>15631.058960000002</v>
      </c>
      <c r="H387" s="58"/>
      <c r="I387" s="556">
        <f>J387/G387*100</f>
        <v>0.20850000000000002</v>
      </c>
      <c r="J387" s="554">
        <f>SUM(J385:J386)</f>
        <v>32.590757931600002</v>
      </c>
      <c r="K387" s="58"/>
      <c r="L387" s="555">
        <f>SUM(L385:L386)</f>
        <v>0</v>
      </c>
      <c r="M387" s="555">
        <f t="shared" ref="M387:N387" si="136">SUM(M385:M386)</f>
        <v>0</v>
      </c>
      <c r="N387" s="554">
        <f t="shared" si="136"/>
        <v>32.590757931600002</v>
      </c>
      <c r="O387" s="564"/>
      <c r="P387" s="619">
        <f>SUM(P385:P386)</f>
        <v>0.89055179902115356</v>
      </c>
      <c r="Q387" s="619">
        <f t="shared" ref="Q387:R387" si="137">SUM(Q385:Q386)</f>
        <v>0</v>
      </c>
      <c r="R387" s="619">
        <f t="shared" si="137"/>
        <v>0</v>
      </c>
      <c r="S387" s="539"/>
      <c r="T387" s="554">
        <f>SUM(T385:T386)</f>
        <v>33.481309730621156</v>
      </c>
      <c r="U387" s="677">
        <f>T387/G387*100</f>
        <v>0.21419732224349022</v>
      </c>
      <c r="V387" s="552">
        <f>SUM(V385:V386)</f>
        <v>0.89055179902115356</v>
      </c>
      <c r="W387" s="562">
        <f>U387/I387-1</f>
        <v>2.7325286539521265E-2</v>
      </c>
      <c r="X387" s="542"/>
      <c r="Z387" s="738"/>
      <c r="AB387" s="738"/>
      <c r="AD387" s="738"/>
      <c r="AF387" s="744"/>
    </row>
    <row r="388" spans="1:32">
      <c r="A388" s="6"/>
      <c r="B388" s="58"/>
      <c r="C388" s="10"/>
      <c r="D388" s="58"/>
      <c r="E388" s="30"/>
      <c r="F388" s="58"/>
      <c r="G388" s="29"/>
      <c r="H388" s="58"/>
      <c r="I388" s="548"/>
      <c r="J388" s="539"/>
      <c r="K388" s="58"/>
      <c r="L388" s="534"/>
      <c r="M388" s="534"/>
      <c r="N388" s="534"/>
      <c r="O388" s="539"/>
      <c r="P388" s="539"/>
      <c r="Q388" s="538"/>
      <c r="R388" s="538"/>
      <c r="S388" s="539"/>
      <c r="T388" s="539"/>
      <c r="U388" s="539"/>
      <c r="V388" s="534"/>
      <c r="W388" s="534"/>
      <c r="X388" s="530"/>
      <c r="Z388" s="738"/>
      <c r="AB388" s="738"/>
      <c r="AD388" s="738"/>
      <c r="AF388" s="744"/>
    </row>
    <row r="389" spans="1:32" ht="12.95" thickBot="1">
      <c r="A389" s="6">
        <f>MAX(A$351:A388)+1</f>
        <v>183</v>
      </c>
      <c r="B389" s="58"/>
      <c r="C389" s="10" t="s">
        <v>332</v>
      </c>
      <c r="D389" s="58"/>
      <c r="E389" s="30"/>
      <c r="F389" s="58"/>
      <c r="G389" s="439">
        <f>G361</f>
        <v>929101.10525000002</v>
      </c>
      <c r="H389" s="58"/>
      <c r="I389" s="572">
        <f>J389/G389*100</f>
        <v>3.3183404734130164</v>
      </c>
      <c r="J389" s="627">
        <f>J366+J377+J382+J387</f>
        <v>30830.738014438422</v>
      </c>
      <c r="K389" s="539"/>
      <c r="L389" s="439">
        <f t="shared" ref="L389:T389" si="138">L366+L377+L382+L387</f>
        <v>1925.7154706035999</v>
      </c>
      <c r="M389" s="439">
        <f t="shared" si="138"/>
        <v>196.90344974972743</v>
      </c>
      <c r="N389" s="627">
        <f t="shared" si="138"/>
        <v>28708.119094085094</v>
      </c>
      <c r="O389" s="539"/>
      <c r="P389" s="439">
        <f t="shared" si="138"/>
        <v>784.45758025658404</v>
      </c>
      <c r="Q389" s="439">
        <f t="shared" si="138"/>
        <v>1314.4475566860162</v>
      </c>
      <c r="R389" s="439">
        <f t="shared" si="138"/>
        <v>191.4450208799899</v>
      </c>
      <c r="S389" s="539"/>
      <c r="T389" s="627">
        <f t="shared" si="138"/>
        <v>30998.469251907682</v>
      </c>
      <c r="U389" s="651">
        <f>T389/G389*100</f>
        <v>3.3363935395994062</v>
      </c>
      <c r="V389" s="571">
        <f>T389-J389</f>
        <v>167.73123746925921</v>
      </c>
      <c r="W389" s="573">
        <f>U389/I389-1</f>
        <v>5.4403899572792458E-3</v>
      </c>
      <c r="X389" s="542"/>
      <c r="Z389" s="738"/>
      <c r="AB389" s="738"/>
      <c r="AD389" s="738"/>
      <c r="AF389" s="744"/>
    </row>
    <row r="390" spans="1:32" ht="12.95" thickTop="1">
      <c r="A390" s="6"/>
      <c r="E390" s="30"/>
      <c r="G390" s="29"/>
      <c r="J390" s="567"/>
      <c r="L390" s="501"/>
      <c r="M390" s="501"/>
      <c r="N390" s="501"/>
      <c r="Q390" s="501"/>
      <c r="R390" s="501"/>
      <c r="V390" s="534"/>
      <c r="W390" s="501"/>
    </row>
    <row r="391" spans="1:32">
      <c r="A391" s="6"/>
      <c r="B391" s="58"/>
      <c r="C391" s="9" t="s">
        <v>143</v>
      </c>
      <c r="D391" s="58"/>
      <c r="E391" s="574"/>
      <c r="F391" s="58"/>
      <c r="G391" s="29"/>
      <c r="H391" s="58"/>
      <c r="I391" s="58"/>
      <c r="J391" s="58"/>
      <c r="K391" s="58"/>
      <c r="L391" s="501"/>
      <c r="M391" s="501"/>
      <c r="N391" s="501"/>
      <c r="O391" s="58"/>
      <c r="P391" s="58"/>
      <c r="Q391" s="501"/>
      <c r="R391" s="501"/>
      <c r="S391" s="58"/>
      <c r="T391" s="58"/>
      <c r="U391" s="58"/>
      <c r="V391" s="534"/>
      <c r="W391" s="501"/>
    </row>
    <row r="392" spans="1:32">
      <c r="A392" s="6">
        <f>MAX(A$351:A391)+1</f>
        <v>184</v>
      </c>
      <c r="B392" s="58"/>
      <c r="C392" s="12" t="s">
        <v>258</v>
      </c>
      <c r="D392" s="58"/>
      <c r="E392" s="574" t="s">
        <v>259</v>
      </c>
      <c r="F392" s="58"/>
      <c r="G392" s="29">
        <v>863.99999999999602</v>
      </c>
      <c r="H392" s="58"/>
      <c r="I392" s="537">
        <v>368.56</v>
      </c>
      <c r="J392" s="539">
        <f>G392*I392/1000</f>
        <v>318.43583999999851</v>
      </c>
      <c r="K392" s="58"/>
      <c r="L392" s="29">
        <v>0</v>
      </c>
      <c r="M392" s="29">
        <v>0</v>
      </c>
      <c r="N392" s="538">
        <f>J392-L392-M392</f>
        <v>318.43583999999851</v>
      </c>
      <c r="O392" s="564"/>
      <c r="P392" s="29">
        <v>8.7013505724531797</v>
      </c>
      <c r="Q392" s="29">
        <v>0</v>
      </c>
      <c r="R392" s="29">
        <v>0</v>
      </c>
      <c r="S392" s="539"/>
      <c r="T392" s="539">
        <f>N392+P392+Q392+R392</f>
        <v>327.13719057245169</v>
      </c>
      <c r="U392" s="540">
        <f>T392/G392*1000</f>
        <v>378.63100760700604</v>
      </c>
      <c r="V392" s="534">
        <f>T392-J392</f>
        <v>8.7013505724531797</v>
      </c>
      <c r="W392" s="541">
        <f>U392/I392-1</f>
        <v>2.7325286539521487E-2</v>
      </c>
      <c r="X392" s="542"/>
      <c r="Z392" s="738"/>
      <c r="AB392" s="738"/>
      <c r="AD392" s="738"/>
      <c r="AF392" s="739"/>
    </row>
    <row r="393" spans="1:32">
      <c r="A393" s="6">
        <f>MAX(A$351:A392)+1</f>
        <v>185</v>
      </c>
      <c r="B393" s="58"/>
      <c r="C393" s="12" t="s">
        <v>333</v>
      </c>
      <c r="D393" s="58"/>
      <c r="E393" s="522" t="s">
        <v>262</v>
      </c>
      <c r="F393" s="58"/>
      <c r="G393" s="29">
        <v>126830.75640999997</v>
      </c>
      <c r="H393" s="58"/>
      <c r="I393" s="547">
        <v>3.2197027215464296</v>
      </c>
      <c r="J393" s="539">
        <f>G393*I393/100</f>
        <v>4083.5733158906914</v>
      </c>
      <c r="K393" s="58"/>
      <c r="L393" s="29">
        <v>36.654088602489992</v>
      </c>
      <c r="M393" s="538"/>
      <c r="N393" s="538">
        <f t="shared" ref="N393:N395" si="139">J393-L393-M393</f>
        <v>4046.9192272882015</v>
      </c>
      <c r="O393" s="564"/>
      <c r="P393" s="29">
        <v>110.58322748794944</v>
      </c>
      <c r="Q393" s="29">
        <v>72.0634063970911</v>
      </c>
      <c r="R393" s="29">
        <v>0</v>
      </c>
      <c r="S393" s="539"/>
      <c r="T393" s="539">
        <f t="shared" ref="T393:T395" si="140">N393+P393+Q393+R393</f>
        <v>4229.5658611732424</v>
      </c>
      <c r="U393" s="680">
        <f>T393/G393*100</f>
        <v>3.3348108778130428</v>
      </c>
      <c r="V393" s="534">
        <f>T393-J393</f>
        <v>145.99254528255096</v>
      </c>
      <c r="W393" s="541">
        <f>U393/I393-1</f>
        <v>3.5751175254877809E-2</v>
      </c>
      <c r="X393" s="542"/>
      <c r="Z393" s="738"/>
      <c r="AB393" s="738"/>
      <c r="AD393" s="738"/>
      <c r="AF393" s="744"/>
    </row>
    <row r="394" spans="1:32">
      <c r="A394" s="6">
        <f>MAX(A$351:A393)+1</f>
        <v>186</v>
      </c>
      <c r="B394" s="58"/>
      <c r="C394" s="12" t="s">
        <v>480</v>
      </c>
      <c r="D394" s="58"/>
      <c r="E394" s="522" t="s">
        <v>262</v>
      </c>
      <c r="F394" s="58"/>
      <c r="G394" s="29">
        <v>12203.927079999999</v>
      </c>
      <c r="H394" s="58"/>
      <c r="I394" s="547">
        <v>3.4615432355431701</v>
      </c>
      <c r="J394" s="539">
        <f t="shared" ref="J394" si="141">G394*I394/100</f>
        <v>422.4442123083611</v>
      </c>
      <c r="K394" s="58"/>
      <c r="L394" s="29">
        <v>3.5269349261199996</v>
      </c>
      <c r="M394" s="538"/>
      <c r="N394" s="538">
        <f t="shared" si="139"/>
        <v>418.91727738224108</v>
      </c>
      <c r="O394" s="564"/>
      <c r="P394" s="29">
        <v>11.447034640825962</v>
      </c>
      <c r="Q394" s="29">
        <v>6.9340953385433295</v>
      </c>
      <c r="R394" s="29">
        <v>0</v>
      </c>
      <c r="S394" s="539"/>
      <c r="T394" s="539">
        <f t="shared" si="140"/>
        <v>437.29840736161037</v>
      </c>
      <c r="U394" s="680">
        <f>T394/G394*100</f>
        <v>3.5832597531516091</v>
      </c>
      <c r="V394" s="534">
        <f>T394-J394</f>
        <v>14.854195053249271</v>
      </c>
      <c r="W394" s="541">
        <f>U394/I394-1</f>
        <v>3.5162501036720251E-2</v>
      </c>
      <c r="X394" s="542"/>
      <c r="Z394" s="738"/>
      <c r="AB394" s="738"/>
      <c r="AD394" s="738"/>
      <c r="AF394" s="744"/>
    </row>
    <row r="395" spans="1:32">
      <c r="A395" s="6">
        <f>MAX(A$351:A394)+1</f>
        <v>187</v>
      </c>
      <c r="B395" s="58"/>
      <c r="C395" s="12" t="s">
        <v>322</v>
      </c>
      <c r="D395" s="58"/>
      <c r="E395" s="574" t="s">
        <v>259</v>
      </c>
      <c r="F395" s="58"/>
      <c r="G395" s="29">
        <v>167.99999999999986</v>
      </c>
      <c r="H395" s="58"/>
      <c r="I395" s="537">
        <v>248.07</v>
      </c>
      <c r="J395" s="539">
        <f>G395*I395/1000</f>
        <v>41.675759999999968</v>
      </c>
      <c r="K395" s="58"/>
      <c r="L395" s="29">
        <v>0</v>
      </c>
      <c r="M395" s="29">
        <v>0</v>
      </c>
      <c r="N395" s="538">
        <f t="shared" si="139"/>
        <v>41.675759999999968</v>
      </c>
      <c r="O395" s="564"/>
      <c r="P395" s="29">
        <v>1.1388020837523243</v>
      </c>
      <c r="Q395" s="29">
        <v>0</v>
      </c>
      <c r="R395" s="29">
        <v>0</v>
      </c>
      <c r="S395" s="539"/>
      <c r="T395" s="539">
        <f t="shared" si="140"/>
        <v>42.814562083752293</v>
      </c>
      <c r="U395" s="540">
        <f>T395/G395*1000</f>
        <v>254.84858383185909</v>
      </c>
      <c r="V395" s="534">
        <f>T395-J395</f>
        <v>1.1388020837523243</v>
      </c>
      <c r="W395" s="541"/>
      <c r="X395" s="542"/>
      <c r="Z395" s="738"/>
      <c r="AB395" s="738"/>
      <c r="AD395" s="738"/>
      <c r="AF395" s="739"/>
    </row>
    <row r="396" spans="1:32">
      <c r="A396" s="6">
        <f>MAX(A$351:A395)+1</f>
        <v>188</v>
      </c>
      <c r="B396" s="58"/>
      <c r="C396" s="10" t="s">
        <v>266</v>
      </c>
      <c r="D396" s="58"/>
      <c r="E396" s="30"/>
      <c r="F396" s="58"/>
      <c r="G396" s="131">
        <f>SUM(G392:G395)</f>
        <v>140066.68348999997</v>
      </c>
      <c r="H396" s="58"/>
      <c r="I396" s="556">
        <f>J396/G396*100</f>
        <v>3.4741517446912824</v>
      </c>
      <c r="J396" s="554">
        <f>SUM(J392:J395)</f>
        <v>4866.1291281990507</v>
      </c>
      <c r="K396" s="58"/>
      <c r="L396" s="555">
        <f>SUM(L392:L395)</f>
        <v>40.181023528609991</v>
      </c>
      <c r="M396" s="555">
        <f t="shared" ref="M396:N396" si="142">SUM(M392:M395)</f>
        <v>0</v>
      </c>
      <c r="N396" s="555">
        <f t="shared" si="142"/>
        <v>4825.9481046704414</v>
      </c>
      <c r="O396" s="564"/>
      <c r="P396" s="619">
        <f>SUM(P392:P395)</f>
        <v>131.87041478498091</v>
      </c>
      <c r="Q396" s="619">
        <f t="shared" ref="Q396:R396" si="143">SUM(Q392:Q395)</f>
        <v>78.99750173563443</v>
      </c>
      <c r="R396" s="619">
        <f t="shared" si="143"/>
        <v>0</v>
      </c>
      <c r="S396" s="539"/>
      <c r="T396" s="554">
        <f>SUM(T392:T395)</f>
        <v>5036.8160211910572</v>
      </c>
      <c r="U396" s="677">
        <f>T396/G396*100</f>
        <v>3.5960129102012037</v>
      </c>
      <c r="V396" s="552">
        <f>SUM(V392:V395)</f>
        <v>170.68689299200574</v>
      </c>
      <c r="W396" s="562">
        <f>U396/I396-1</f>
        <v>3.5076523556039962E-2</v>
      </c>
      <c r="X396" s="542"/>
      <c r="Z396" s="738"/>
      <c r="AB396" s="738"/>
      <c r="AD396" s="738"/>
      <c r="AF396" s="744"/>
    </row>
    <row r="397" spans="1:32">
      <c r="A397" s="6"/>
      <c r="G397" s="129"/>
      <c r="I397" s="632"/>
      <c r="J397" s="567"/>
      <c r="L397" s="538"/>
      <c r="M397" s="538"/>
      <c r="N397" s="538"/>
      <c r="O397" s="64"/>
      <c r="P397" s="64"/>
      <c r="Q397" s="538"/>
      <c r="R397" s="538"/>
      <c r="S397" s="567"/>
      <c r="T397" s="567"/>
      <c r="U397" s="567"/>
      <c r="V397" s="534"/>
      <c r="W397" s="534"/>
      <c r="X397" s="530"/>
      <c r="Z397" s="738"/>
      <c r="AB397" s="738"/>
      <c r="AD397" s="738"/>
      <c r="AF397" s="744"/>
    </row>
    <row r="398" spans="1:32">
      <c r="A398" s="6">
        <f>MAX(A$351:A397)+1</f>
        <v>189</v>
      </c>
      <c r="B398" s="58"/>
      <c r="C398" s="10" t="s">
        <v>268</v>
      </c>
      <c r="D398" s="58"/>
      <c r="E398" s="522" t="s">
        <v>262</v>
      </c>
      <c r="F398" s="58"/>
      <c r="G398" s="29">
        <v>5702.7569299999996</v>
      </c>
      <c r="H398" s="58"/>
      <c r="I398" s="620">
        <v>-0.23058294964126358</v>
      </c>
      <c r="J398" s="621">
        <f>G398*I398/100</f>
        <v>-13.149585140065566</v>
      </c>
      <c r="K398" s="58"/>
      <c r="L398" s="29">
        <v>0</v>
      </c>
      <c r="M398" s="29">
        <v>0</v>
      </c>
      <c r="N398" s="538">
        <f>J398-L398-M398</f>
        <v>-13.149585140065566</v>
      </c>
      <c r="O398" s="564"/>
      <c r="P398" s="564">
        <v>-0.35931618182812564</v>
      </c>
      <c r="Q398" s="29">
        <v>0</v>
      </c>
      <c r="R398" s="29">
        <v>0</v>
      </c>
      <c r="S398" s="539"/>
      <c r="T398" s="621">
        <f>N398+P398+Q398+R398</f>
        <v>-13.508901321893692</v>
      </c>
      <c r="U398" s="565">
        <f>T398/G398*100</f>
        <v>-0.23688369481133911</v>
      </c>
      <c r="V398" s="549">
        <f>T398-J398</f>
        <v>-0.35931618182812564</v>
      </c>
      <c r="W398" s="559">
        <f>U398/I398-1</f>
        <v>2.7325286539521265E-2</v>
      </c>
      <c r="X398" s="559"/>
      <c r="Z398" s="747"/>
      <c r="AB398" s="747"/>
      <c r="AD398" s="747"/>
      <c r="AF398" s="744"/>
    </row>
    <row r="399" spans="1:32">
      <c r="A399" s="6"/>
      <c r="B399" s="58"/>
      <c r="D399" s="58"/>
      <c r="E399" s="30"/>
      <c r="F399" s="58"/>
      <c r="G399" s="29"/>
      <c r="H399" s="58"/>
      <c r="I399" s="548"/>
      <c r="J399" s="539"/>
      <c r="K399" s="58"/>
      <c r="L399" s="538"/>
      <c r="M399" s="538"/>
      <c r="N399" s="538"/>
      <c r="O399" s="564"/>
      <c r="P399" s="564"/>
      <c r="Q399" s="538"/>
      <c r="R399" s="538"/>
      <c r="S399" s="539"/>
      <c r="T399" s="539"/>
      <c r="U399" s="539"/>
      <c r="V399" s="534"/>
      <c r="W399" s="534"/>
      <c r="X399" s="530"/>
      <c r="Z399" s="738"/>
      <c r="AB399" s="738"/>
      <c r="AD399" s="738"/>
      <c r="AF399" s="744"/>
    </row>
    <row r="400" spans="1:32">
      <c r="A400" s="6"/>
      <c r="B400" s="58"/>
      <c r="C400" s="10" t="s">
        <v>270</v>
      </c>
      <c r="D400" s="58"/>
      <c r="E400" s="30"/>
      <c r="F400" s="58"/>
      <c r="G400" s="29"/>
      <c r="H400" s="58"/>
      <c r="I400" s="548"/>
      <c r="J400" s="539"/>
      <c r="K400" s="58"/>
      <c r="L400" s="538"/>
      <c r="M400" s="538"/>
      <c r="N400" s="538"/>
      <c r="O400" s="564"/>
      <c r="P400" s="564"/>
      <c r="Q400" s="538"/>
      <c r="R400" s="538"/>
      <c r="S400" s="539"/>
      <c r="T400" s="539"/>
      <c r="U400" s="539"/>
      <c r="V400" s="534"/>
      <c r="W400" s="534"/>
      <c r="X400" s="530"/>
      <c r="Z400" s="738"/>
      <c r="AB400" s="738"/>
      <c r="AD400" s="738"/>
      <c r="AF400" s="744"/>
    </row>
    <row r="401" spans="1:32">
      <c r="A401" s="6">
        <f>MAX(A$351:A400)+1</f>
        <v>190</v>
      </c>
      <c r="B401" s="58"/>
      <c r="C401" s="12" t="s">
        <v>306</v>
      </c>
      <c r="D401" s="58"/>
      <c r="E401" s="522" t="s">
        <v>262</v>
      </c>
      <c r="F401" s="58"/>
      <c r="G401" s="29">
        <v>5109.6999900000001</v>
      </c>
      <c r="H401" s="58"/>
      <c r="I401" s="547">
        <v>0.20849999999999999</v>
      </c>
      <c r="J401" s="539">
        <f>G401*I401/100</f>
        <v>10.65372447915</v>
      </c>
      <c r="K401" s="58"/>
      <c r="L401" s="29">
        <v>0</v>
      </c>
      <c r="M401" s="29">
        <v>0</v>
      </c>
      <c r="N401" s="538">
        <f>J401-L401-M401</f>
        <v>10.65372447915</v>
      </c>
      <c r="O401" s="564"/>
      <c r="P401" s="29">
        <v>0.29111607410588825</v>
      </c>
      <c r="Q401" s="29">
        <v>0</v>
      </c>
      <c r="R401" s="29">
        <v>0</v>
      </c>
      <c r="S401" s="539"/>
      <c r="T401" s="539">
        <f>N401+P401+Q401+R401</f>
        <v>10.944840553255888</v>
      </c>
      <c r="U401" s="680">
        <f>T401/G401*100</f>
        <v>0.21419732224349022</v>
      </c>
      <c r="V401" s="534">
        <f>T401-J401</f>
        <v>0.29111607410588825</v>
      </c>
      <c r="W401" s="534"/>
      <c r="X401" s="530"/>
      <c r="Z401" s="738"/>
      <c r="AB401" s="738"/>
      <c r="AD401" s="738"/>
      <c r="AF401" s="744"/>
    </row>
    <row r="402" spans="1:32">
      <c r="A402" s="6">
        <f>MAX(A$351:A401)+1</f>
        <v>191</v>
      </c>
      <c r="B402" s="58"/>
      <c r="C402" s="12" t="s">
        <v>307</v>
      </c>
      <c r="D402" s="58"/>
      <c r="E402" s="522" t="s">
        <v>262</v>
      </c>
      <c r="F402" s="58"/>
      <c r="G402" s="29">
        <v>593.05693999999994</v>
      </c>
      <c r="H402" s="58"/>
      <c r="I402" s="547">
        <v>0.20849999999999999</v>
      </c>
      <c r="J402" s="539">
        <f>G402*I402/100</f>
        <v>1.2365237198999999</v>
      </c>
      <c r="K402" s="58"/>
      <c r="L402" s="29">
        <v>0</v>
      </c>
      <c r="M402" s="29">
        <v>0</v>
      </c>
      <c r="N402" s="538">
        <f>J402-L402-M402</f>
        <v>1.2365237198999999</v>
      </c>
      <c r="O402" s="564"/>
      <c r="P402" s="29">
        <v>3.3788364959182582E-2</v>
      </c>
      <c r="Q402" s="29">
        <v>0</v>
      </c>
      <c r="R402" s="29">
        <v>0</v>
      </c>
      <c r="S402" s="539"/>
      <c r="T402" s="539">
        <f>N402+P402+Q402+R402</f>
        <v>1.2703120848591825</v>
      </c>
      <c r="U402" s="680">
        <f>T402/G402*100</f>
        <v>0.21419732224349022</v>
      </c>
      <c r="V402" s="534">
        <f>T402-J402</f>
        <v>3.3788364959182582E-2</v>
      </c>
      <c r="W402" s="534"/>
      <c r="X402" s="530"/>
      <c r="Z402" s="738"/>
      <c r="AB402" s="738"/>
      <c r="AD402" s="738"/>
      <c r="AF402" s="744"/>
    </row>
    <row r="403" spans="1:32">
      <c r="A403" s="6">
        <f>MAX(A$351:A402)+1</f>
        <v>192</v>
      </c>
      <c r="B403" s="58"/>
      <c r="C403" s="10" t="s">
        <v>270</v>
      </c>
      <c r="D403" s="58"/>
      <c r="E403" s="30"/>
      <c r="F403" s="58"/>
      <c r="G403" s="131">
        <f>SUM(G401:G402)</f>
        <v>5702.7569299999996</v>
      </c>
      <c r="H403" s="58"/>
      <c r="I403" s="556">
        <f>J403/G403*100</f>
        <v>0.20850000000000002</v>
      </c>
      <c r="J403" s="554">
        <f>SUM(J401:J402)</f>
        <v>11.890248199049999</v>
      </c>
      <c r="K403" s="58"/>
      <c r="L403" s="555">
        <f>SUM(L401:L402)</f>
        <v>0</v>
      </c>
      <c r="M403" s="555">
        <f t="shared" ref="M403" si="144">SUM(M401:M402)</f>
        <v>0</v>
      </c>
      <c r="N403" s="555">
        <f>SUM(N401:N402)</f>
        <v>11.890248199049999</v>
      </c>
      <c r="O403" s="564"/>
      <c r="P403" s="619">
        <f>SUM(P401:P402)</f>
        <v>0.32490443906507083</v>
      </c>
      <c r="Q403" s="619">
        <f t="shared" ref="Q403:R403" si="145">SUM(Q401:Q402)</f>
        <v>0</v>
      </c>
      <c r="R403" s="619">
        <f t="shared" si="145"/>
        <v>0</v>
      </c>
      <c r="S403" s="539"/>
      <c r="T403" s="554">
        <f>SUM(T401:T402)</f>
        <v>12.215152638115072</v>
      </c>
      <c r="U403" s="677">
        <f>T403/G403*100</f>
        <v>0.21419732224349028</v>
      </c>
      <c r="V403" s="552">
        <f>SUM(V401:V402)</f>
        <v>0.32490443906507083</v>
      </c>
      <c r="W403" s="562">
        <f>U403/I403-1</f>
        <v>2.7325286539521709E-2</v>
      </c>
      <c r="X403" s="542"/>
      <c r="Z403" s="738"/>
      <c r="AB403" s="738"/>
      <c r="AD403" s="738"/>
      <c r="AF403" s="744"/>
    </row>
    <row r="404" spans="1:32">
      <c r="A404" s="6"/>
      <c r="B404" s="58"/>
      <c r="D404" s="58"/>
      <c r="E404" s="574"/>
      <c r="F404" s="58"/>
      <c r="G404" s="132"/>
      <c r="H404" s="58"/>
      <c r="I404" s="548"/>
      <c r="J404" s="58"/>
      <c r="K404" s="58"/>
      <c r="L404" s="538"/>
      <c r="M404" s="538"/>
      <c r="N404" s="538"/>
      <c r="O404" s="564"/>
      <c r="P404" s="564"/>
      <c r="Q404" s="538"/>
      <c r="R404" s="538"/>
      <c r="S404" s="539"/>
      <c r="T404" s="539"/>
      <c r="U404" s="539"/>
      <c r="V404" s="534"/>
      <c r="W404" s="534"/>
      <c r="X404" s="530"/>
      <c r="Z404" s="738"/>
      <c r="AB404" s="738"/>
      <c r="AD404" s="738"/>
    </row>
    <row r="405" spans="1:32" ht="13.5" thickBot="1">
      <c r="A405" s="6">
        <f>MAX(A$351:A404)+1</f>
        <v>193</v>
      </c>
      <c r="B405" s="58"/>
      <c r="C405" s="10" t="s">
        <v>335</v>
      </c>
      <c r="D405" s="58"/>
      <c r="E405" s="128"/>
      <c r="F405" s="58"/>
      <c r="G405" s="439">
        <f>G393</f>
        <v>126830.75640999997</v>
      </c>
      <c r="H405" s="58"/>
      <c r="I405" s="572">
        <f>J405/G405*100</f>
        <v>3.8357177146618864</v>
      </c>
      <c r="J405" s="627">
        <f>J396+J398+J401+J402</f>
        <v>4864.8697912580346</v>
      </c>
      <c r="K405" s="539"/>
      <c r="L405" s="628">
        <f t="shared" ref="L405:V405" si="146">L396+L398+L401+L402</f>
        <v>40.181023528609991</v>
      </c>
      <c r="M405" s="628">
        <f t="shared" si="146"/>
        <v>0</v>
      </c>
      <c r="N405" s="628">
        <f t="shared" si="146"/>
        <v>4824.6887677294253</v>
      </c>
      <c r="O405" s="564"/>
      <c r="P405" s="628">
        <f t="shared" si="146"/>
        <v>131.83600304221787</v>
      </c>
      <c r="Q405" s="628">
        <f t="shared" si="146"/>
        <v>78.99750173563443</v>
      </c>
      <c r="R405" s="628">
        <f t="shared" si="146"/>
        <v>0</v>
      </c>
      <c r="S405" s="539"/>
      <c r="T405" s="627">
        <f t="shared" si="146"/>
        <v>5035.5222725072781</v>
      </c>
      <c r="U405" s="651">
        <f>T405/G405*100</f>
        <v>3.9702690538477721</v>
      </c>
      <c r="V405" s="627">
        <f t="shared" si="146"/>
        <v>170.6524812492427</v>
      </c>
      <c r="W405" s="629">
        <f>U405/I405-1</f>
        <v>3.5078530067937042E-2</v>
      </c>
      <c r="X405" s="630"/>
      <c r="Z405" s="738"/>
      <c r="AB405" s="738"/>
      <c r="AD405" s="738"/>
      <c r="AF405" s="744"/>
    </row>
    <row r="406" spans="1:32" ht="13.5" thickTop="1">
      <c r="A406" s="6"/>
      <c r="B406" s="58"/>
      <c r="C406" s="10"/>
      <c r="D406" s="58"/>
      <c r="E406" s="128"/>
      <c r="F406" s="58"/>
      <c r="G406" s="132"/>
      <c r="H406" s="58"/>
      <c r="I406" s="548"/>
      <c r="J406" s="539"/>
      <c r="K406" s="539"/>
      <c r="L406" s="564"/>
      <c r="M406" s="564"/>
      <c r="N406" s="564"/>
      <c r="O406" s="564"/>
      <c r="P406" s="564"/>
      <c r="Q406" s="564"/>
      <c r="R406" s="564"/>
      <c r="S406" s="539"/>
      <c r="T406" s="539"/>
      <c r="U406" s="680"/>
      <c r="V406" s="539"/>
      <c r="W406" s="630"/>
      <c r="X406" s="630"/>
      <c r="Z406" s="738"/>
      <c r="AB406" s="738"/>
      <c r="AD406" s="738"/>
      <c r="AF406" s="744"/>
    </row>
    <row r="407" spans="1:32">
      <c r="L407" s="2"/>
      <c r="M407" s="2"/>
      <c r="N407" s="501"/>
      <c r="Q407" s="501"/>
      <c r="R407" s="501"/>
      <c r="V407" s="534"/>
      <c r="W407" s="501"/>
      <c r="Z407" s="738"/>
      <c r="AB407" s="738"/>
      <c r="AD407" s="738"/>
      <c r="AF407" s="744"/>
    </row>
    <row r="408" spans="1:32">
      <c r="L408" s="2"/>
      <c r="M408" s="2"/>
      <c r="N408" s="501"/>
      <c r="Q408" s="501"/>
      <c r="R408" s="501"/>
      <c r="V408" s="534"/>
      <c r="W408" s="501"/>
      <c r="Z408" s="738"/>
      <c r="AB408" s="738"/>
      <c r="AD408" s="738"/>
      <c r="AF408" s="744"/>
    </row>
    <row r="409" spans="1:32">
      <c r="L409" s="2"/>
      <c r="M409" s="2"/>
      <c r="N409" s="501"/>
      <c r="Q409" s="501"/>
      <c r="R409" s="501"/>
      <c r="V409" s="501"/>
      <c r="W409" s="501"/>
      <c r="Z409" s="738"/>
      <c r="AB409" s="738"/>
      <c r="AD409" s="738"/>
      <c r="AF409" s="744"/>
    </row>
    <row r="410" spans="1:32">
      <c r="A410" s="1156" t="s">
        <v>279</v>
      </c>
      <c r="B410" s="1156"/>
      <c r="C410" s="1156"/>
      <c r="D410" s="1156"/>
      <c r="E410" s="1156"/>
      <c r="F410" s="1156"/>
      <c r="G410" s="1156"/>
      <c r="H410" s="1156"/>
      <c r="I410" s="1156"/>
      <c r="J410" s="1156"/>
      <c r="K410" s="1156"/>
      <c r="L410" s="1156"/>
      <c r="M410" s="1156"/>
      <c r="N410" s="1156"/>
      <c r="O410" s="1156"/>
      <c r="P410" s="1156"/>
      <c r="Q410" s="1156"/>
      <c r="R410" s="1156"/>
      <c r="S410" s="1156"/>
      <c r="T410" s="1156"/>
      <c r="U410" s="1156"/>
      <c r="V410" s="1156"/>
      <c r="W410" s="1156"/>
      <c r="X410" s="531"/>
      <c r="Z410" s="738"/>
      <c r="AB410" s="738"/>
      <c r="AD410" s="738"/>
      <c r="AF410" s="744"/>
    </row>
    <row r="411" spans="1:32">
      <c r="A411" s="1156" t="s">
        <v>478</v>
      </c>
      <c r="B411" s="1156"/>
      <c r="C411" s="1156"/>
      <c r="D411" s="1156"/>
      <c r="E411" s="1156"/>
      <c r="F411" s="1156"/>
      <c r="G411" s="1156"/>
      <c r="H411" s="1156"/>
      <c r="I411" s="1156"/>
      <c r="J411" s="1156"/>
      <c r="K411" s="1156"/>
      <c r="L411" s="1156"/>
      <c r="M411" s="1156"/>
      <c r="N411" s="1156"/>
      <c r="O411" s="1156"/>
      <c r="P411" s="1156"/>
      <c r="Q411" s="1156"/>
      <c r="R411" s="1156"/>
      <c r="S411" s="1156"/>
      <c r="T411" s="1156"/>
      <c r="U411" s="1156"/>
      <c r="V411" s="1156"/>
      <c r="W411" s="1156"/>
      <c r="X411" s="737"/>
      <c r="Y411" s="737"/>
      <c r="Z411" s="738"/>
      <c r="AB411" s="738"/>
      <c r="AD411" s="738"/>
      <c r="AF411" s="744"/>
    </row>
    <row r="412" spans="1:32">
      <c r="A412" s="57"/>
      <c r="B412" s="57"/>
      <c r="C412" s="57"/>
      <c r="D412" s="57"/>
      <c r="E412" s="3"/>
      <c r="F412" s="57"/>
      <c r="G412" s="3"/>
      <c r="H412" s="57"/>
      <c r="I412" s="57"/>
      <c r="J412" s="57"/>
      <c r="K412" s="57"/>
      <c r="L412" s="57"/>
      <c r="M412" s="57"/>
      <c r="N412" s="501"/>
      <c r="O412" s="57"/>
      <c r="P412" s="57"/>
      <c r="Q412" s="501"/>
      <c r="R412" s="501"/>
      <c r="S412" s="57"/>
      <c r="T412" s="57"/>
      <c r="U412" s="57"/>
      <c r="V412" s="501"/>
      <c r="W412" s="501"/>
      <c r="Z412" s="738"/>
      <c r="AB412" s="738"/>
      <c r="AD412" s="738"/>
      <c r="AF412" s="744"/>
    </row>
    <row r="413" spans="1:32" ht="26.65" customHeight="1">
      <c r="A413" s="3"/>
      <c r="B413" s="3"/>
      <c r="C413" s="3"/>
      <c r="D413" s="3"/>
      <c r="E413" s="57"/>
      <c r="F413" s="1152" t="s">
        <v>231</v>
      </c>
      <c r="G413" s="1152"/>
      <c r="H413" s="1152"/>
      <c r="I413" s="1152"/>
      <c r="J413" s="1152"/>
      <c r="K413" s="3"/>
      <c r="L413" s="1157" t="s">
        <v>94</v>
      </c>
      <c r="M413" s="1157"/>
      <c r="N413" s="58"/>
      <c r="O413" s="3"/>
      <c r="P413" s="59"/>
      <c r="Q413" s="1157" t="s">
        <v>95</v>
      </c>
      <c r="R413" s="1157"/>
      <c r="S413" s="3"/>
      <c r="T413" s="1152" t="s">
        <v>472</v>
      </c>
      <c r="U413" s="1152"/>
      <c r="V413" s="1152"/>
      <c r="W413" s="1152"/>
      <c r="X413" s="6"/>
      <c r="Z413" s="738"/>
      <c r="AB413" s="738"/>
      <c r="AD413" s="738"/>
      <c r="AF413" s="744"/>
    </row>
    <row r="414" spans="1:32" ht="37.5">
      <c r="A414" s="5" t="s">
        <v>56</v>
      </c>
      <c r="B414" s="5"/>
      <c r="C414" s="5"/>
      <c r="D414" s="5"/>
      <c r="E414" s="6" t="s">
        <v>233</v>
      </c>
      <c r="F414" s="5"/>
      <c r="G414" s="17" t="s">
        <v>234</v>
      </c>
      <c r="H414" s="5"/>
      <c r="I414" s="17" t="s">
        <v>235</v>
      </c>
      <c r="J414" s="17" t="s">
        <v>101</v>
      </c>
      <c r="K414" s="5"/>
      <c r="L414" s="17" t="s">
        <v>106</v>
      </c>
      <c r="M414" s="17" t="s">
        <v>236</v>
      </c>
      <c r="N414" s="5" t="s">
        <v>239</v>
      </c>
      <c r="O414" s="5"/>
      <c r="P414" s="5" t="s">
        <v>240</v>
      </c>
      <c r="Q414" s="17" t="s">
        <v>106</v>
      </c>
      <c r="R414" s="17" t="s">
        <v>236</v>
      </c>
      <c r="S414" s="5"/>
      <c r="T414" s="17" t="s">
        <v>241</v>
      </c>
      <c r="U414" s="17" t="s">
        <v>242</v>
      </c>
      <c r="V414" s="17" t="s">
        <v>243</v>
      </c>
      <c r="W414" s="5" t="s">
        <v>244</v>
      </c>
      <c r="X414" s="5"/>
      <c r="Z414" s="738"/>
      <c r="AB414" s="738"/>
      <c r="AD414" s="738"/>
      <c r="AF414" s="744"/>
    </row>
    <row r="415" spans="1:32" ht="14.45">
      <c r="A415" s="237" t="s">
        <v>57</v>
      </c>
      <c r="B415" s="58"/>
      <c r="C415" s="59" t="s">
        <v>194</v>
      </c>
      <c r="D415" s="58"/>
      <c r="E415" s="237" t="s">
        <v>245</v>
      </c>
      <c r="F415" s="58"/>
      <c r="G415" s="237" t="s">
        <v>246</v>
      </c>
      <c r="H415" s="58"/>
      <c r="I415" s="237" t="s">
        <v>247</v>
      </c>
      <c r="J415" s="237" t="s">
        <v>248</v>
      </c>
      <c r="K415" s="58"/>
      <c r="L415" s="237" t="s">
        <v>248</v>
      </c>
      <c r="M415" s="237" t="s">
        <v>248</v>
      </c>
      <c r="N415" s="237" t="s">
        <v>248</v>
      </c>
      <c r="O415" s="58"/>
      <c r="P415" s="237" t="s">
        <v>248</v>
      </c>
      <c r="Q415" s="237" t="s">
        <v>248</v>
      </c>
      <c r="R415" s="237" t="s">
        <v>248</v>
      </c>
      <c r="S415" s="58"/>
      <c r="T415" s="237" t="s">
        <v>248</v>
      </c>
      <c r="U415" s="237" t="s">
        <v>247</v>
      </c>
      <c r="V415" s="237" t="s">
        <v>248</v>
      </c>
      <c r="W415" s="237" t="s">
        <v>249</v>
      </c>
      <c r="X415" s="6"/>
      <c r="Z415" s="738"/>
      <c r="AB415" s="738"/>
      <c r="AD415" s="738"/>
      <c r="AF415" s="744"/>
    </row>
    <row r="416" spans="1:32">
      <c r="A416" s="6"/>
      <c r="B416" s="58"/>
      <c r="C416" s="58"/>
      <c r="D416" s="58"/>
      <c r="E416" s="6"/>
      <c r="F416" s="58"/>
      <c r="G416" s="6" t="s">
        <v>9</v>
      </c>
      <c r="H416" s="6"/>
      <c r="I416" s="6" t="s">
        <v>10</v>
      </c>
      <c r="J416" s="6" t="s">
        <v>58</v>
      </c>
      <c r="K416" s="6"/>
      <c r="L416" s="123" t="s">
        <v>12</v>
      </c>
      <c r="M416" s="123" t="s">
        <v>13</v>
      </c>
      <c r="N416" s="6" t="s">
        <v>473</v>
      </c>
      <c r="O416" s="6"/>
      <c r="P416" s="6" t="s">
        <v>474</v>
      </c>
      <c r="Q416" s="6" t="s">
        <v>210</v>
      </c>
      <c r="R416" s="6" t="s">
        <v>118</v>
      </c>
      <c r="S416" s="6"/>
      <c r="T416" s="6" t="s">
        <v>475</v>
      </c>
      <c r="U416" s="6" t="s">
        <v>120</v>
      </c>
      <c r="V416" s="6" t="s">
        <v>476</v>
      </c>
      <c r="W416" s="6" t="s">
        <v>477</v>
      </c>
    </row>
    <row r="417" spans="1:32">
      <c r="A417" s="6"/>
      <c r="B417" s="58"/>
      <c r="C417" s="9" t="s">
        <v>129</v>
      </c>
      <c r="D417" s="58"/>
      <c r="E417" s="30"/>
      <c r="F417" s="58"/>
      <c r="G417" s="29"/>
      <c r="H417" s="58"/>
      <c r="I417" s="58"/>
      <c r="J417" s="58"/>
      <c r="K417" s="58"/>
      <c r="L417" s="501"/>
      <c r="M417" s="501"/>
      <c r="N417" s="501"/>
      <c r="O417" s="58"/>
      <c r="P417" s="58"/>
      <c r="Q417" s="501"/>
      <c r="R417" s="501"/>
      <c r="S417" s="58"/>
      <c r="T417" s="58"/>
      <c r="U417" s="58"/>
      <c r="V417" s="501"/>
      <c r="W417" s="501"/>
    </row>
    <row r="418" spans="1:32">
      <c r="A418" s="6">
        <v>194</v>
      </c>
      <c r="B418" s="58"/>
      <c r="C418" s="10" t="s">
        <v>258</v>
      </c>
      <c r="D418" s="58"/>
      <c r="E418" s="30" t="s">
        <v>259</v>
      </c>
      <c r="F418" s="58"/>
      <c r="G418" s="29">
        <v>144.00000000000003</v>
      </c>
      <c r="H418" s="58"/>
      <c r="I418" s="537">
        <v>1620.86</v>
      </c>
      <c r="J418" s="539">
        <f>G418*I418/1000</f>
        <v>233.40384000000003</v>
      </c>
      <c r="K418" s="58"/>
      <c r="L418" s="29">
        <v>0</v>
      </c>
      <c r="M418" s="29">
        <v>0</v>
      </c>
      <c r="N418" s="538">
        <f>J418-L418-M418</f>
        <v>233.40384000000003</v>
      </c>
      <c r="O418" s="564"/>
      <c r="P418" s="29">
        <v>6.3778268074246398</v>
      </c>
      <c r="Q418" s="29">
        <v>0</v>
      </c>
      <c r="R418" s="29">
        <v>0</v>
      </c>
      <c r="S418" s="539"/>
      <c r="T418" s="539">
        <f>N418+P418+Q418+R418</f>
        <v>239.78166680742467</v>
      </c>
      <c r="U418" s="540">
        <f>T418/G418*1000</f>
        <v>1665.1504639404488</v>
      </c>
      <c r="V418" s="534">
        <f>T418-J418</f>
        <v>6.3778268074246398</v>
      </c>
      <c r="W418" s="541">
        <f>U418/I418-1</f>
        <v>2.7325286539521487E-2</v>
      </c>
      <c r="X418" s="542"/>
      <c r="Z418" s="738"/>
      <c r="AB418" s="738"/>
      <c r="AD418" s="738"/>
      <c r="AF418" s="739"/>
    </row>
    <row r="419" spans="1:32">
      <c r="A419" s="6">
        <f>MAX(A$417:A418)+1</f>
        <v>195</v>
      </c>
      <c r="B419" s="58"/>
      <c r="C419" s="521" t="s">
        <v>280</v>
      </c>
      <c r="D419" s="58"/>
      <c r="E419" s="522" t="s">
        <v>281</v>
      </c>
      <c r="F419" s="58"/>
      <c r="G419" s="29">
        <v>42050.04</v>
      </c>
      <c r="H419" s="58"/>
      <c r="I419" s="547">
        <v>19.945999999999998</v>
      </c>
      <c r="J419" s="539">
        <f>G419*I419/100</f>
        <v>8387.3009783999987</v>
      </c>
      <c r="K419" s="58"/>
      <c r="L419" s="538">
        <v>909.03776471999993</v>
      </c>
      <c r="M419" s="29">
        <v>0</v>
      </c>
      <c r="N419" s="538">
        <f t="shared" ref="N419:N422" si="147">J419-L419-M419</f>
        <v>7478.2632136799984</v>
      </c>
      <c r="O419" s="564"/>
      <c r="P419" s="29">
        <v>204.34568513176873</v>
      </c>
      <c r="Q419" s="29">
        <v>679.09289964212871</v>
      </c>
      <c r="R419" s="29">
        <v>0</v>
      </c>
      <c r="S419" s="539"/>
      <c r="T419" s="539">
        <f t="shared" ref="T419:T422" si="148">N419+P419+Q419+R419</f>
        <v>8361.7017984538961</v>
      </c>
      <c r="U419" s="680">
        <f>T419/G419*100</f>
        <v>19.885122103222486</v>
      </c>
      <c r="V419" s="549">
        <f>T419-J419</f>
        <v>-25.599179946102595</v>
      </c>
      <c r="W419" s="541">
        <f>U419/I419-1</f>
        <v>-3.0521356050091653E-3</v>
      </c>
      <c r="X419" s="542"/>
      <c r="Z419" s="738"/>
      <c r="AB419" s="738"/>
      <c r="AD419" s="738"/>
      <c r="AF419" s="744"/>
    </row>
    <row r="420" spans="1:32">
      <c r="A420" s="6">
        <f>MAX(A$417:A419)+1</f>
        <v>196</v>
      </c>
      <c r="B420" s="58"/>
      <c r="C420" s="521" t="s">
        <v>260</v>
      </c>
      <c r="D420" s="58"/>
      <c r="E420" s="522" t="s">
        <v>262</v>
      </c>
      <c r="F420" s="58"/>
      <c r="G420" s="29">
        <v>1076377.9679700001</v>
      </c>
      <c r="H420" s="58"/>
      <c r="I420" s="547">
        <v>0.28500000000000003</v>
      </c>
      <c r="J420" s="539">
        <f t="shared" ref="J420:J421" si="149">G420*I420/100</f>
        <v>3067.6772087145009</v>
      </c>
      <c r="K420" s="58"/>
      <c r="L420" s="538">
        <v>307.84409883942004</v>
      </c>
      <c r="M420" s="538">
        <v>13.760700020675317</v>
      </c>
      <c r="N420" s="538">
        <f t="shared" si="147"/>
        <v>2746.0724098544056</v>
      </c>
      <c r="O420" s="564"/>
      <c r="P420" s="29">
        <v>75.037215457545699</v>
      </c>
      <c r="Q420" s="29">
        <v>220.60521502648581</v>
      </c>
      <c r="R420" s="29">
        <v>13.37923487947986</v>
      </c>
      <c r="S420" s="539"/>
      <c r="T420" s="539">
        <f t="shared" si="148"/>
        <v>3055.0940752179172</v>
      </c>
      <c r="U420" s="680">
        <f>T420/G420*100</f>
        <v>0.28383097444661431</v>
      </c>
      <c r="V420" s="549">
        <f>T420-J420</f>
        <v>-12.583133496583741</v>
      </c>
      <c r="W420" s="541">
        <f>U420/I420-1</f>
        <v>-4.1018440469674511E-3</v>
      </c>
      <c r="X420" s="542"/>
      <c r="Z420" s="738"/>
      <c r="AB420" s="738"/>
      <c r="AD420" s="738"/>
      <c r="AF420" s="744"/>
    </row>
    <row r="421" spans="1:32">
      <c r="A421" s="6">
        <f>MAX(A$417:A420)+1</f>
        <v>197</v>
      </c>
      <c r="B421" s="58"/>
      <c r="C421" s="521" t="s">
        <v>321</v>
      </c>
      <c r="D421" s="58"/>
      <c r="E421" s="522" t="s">
        <v>262</v>
      </c>
      <c r="F421" s="58"/>
      <c r="G421" s="29">
        <v>28099.753000000001</v>
      </c>
      <c r="H421" s="58"/>
      <c r="I421" s="547">
        <v>0.28500000000000003</v>
      </c>
      <c r="J421" s="539">
        <f t="shared" si="149"/>
        <v>80.084296050000006</v>
      </c>
      <c r="K421" s="58"/>
      <c r="L421" s="538">
        <v>8.036529358000001</v>
      </c>
      <c r="M421" s="29">
        <v>0</v>
      </c>
      <c r="N421" s="538">
        <f t="shared" si="147"/>
        <v>72.04776669200001</v>
      </c>
      <c r="O421" s="564"/>
      <c r="P421" s="29">
        <v>1.9687258693914913</v>
      </c>
      <c r="Q421" s="29">
        <v>5.7590848542237278</v>
      </c>
      <c r="R421" s="29">
        <v>0</v>
      </c>
      <c r="S421" s="539"/>
      <c r="T421" s="539">
        <f t="shared" si="148"/>
        <v>79.775577415615231</v>
      </c>
      <c r="U421" s="680">
        <f>T421/G421*100</f>
        <v>0.28390134751581353</v>
      </c>
      <c r="V421" s="534">
        <f>T421-J421</f>
        <v>-0.30871863438477476</v>
      </c>
      <c r="W421" s="541">
        <f>U421/I421-1</f>
        <v>-3.8549209971455722E-3</v>
      </c>
      <c r="X421" s="542"/>
      <c r="Z421" s="738"/>
      <c r="AB421" s="738"/>
      <c r="AD421" s="738"/>
      <c r="AF421" s="744"/>
    </row>
    <row r="422" spans="1:32">
      <c r="A422" s="6">
        <f>MAX(A$417:A421)+1</f>
        <v>198</v>
      </c>
      <c r="B422" s="58"/>
      <c r="C422" s="521" t="s">
        <v>322</v>
      </c>
      <c r="D422" s="58"/>
      <c r="E422" s="30" t="s">
        <v>259</v>
      </c>
      <c r="F422" s="58"/>
      <c r="G422" s="29">
        <v>143.99999999999989</v>
      </c>
      <c r="H422" s="58"/>
      <c r="I422" s="537">
        <v>248.07</v>
      </c>
      <c r="J422" s="539">
        <f>G422*I422/1000</f>
        <v>35.72207999999997</v>
      </c>
      <c r="K422" s="58"/>
      <c r="L422" s="29">
        <v>0</v>
      </c>
      <c r="M422" s="29">
        <v>0</v>
      </c>
      <c r="N422" s="538">
        <f t="shared" si="147"/>
        <v>35.72207999999997</v>
      </c>
      <c r="O422" s="564"/>
      <c r="P422" s="29">
        <v>0.97611607178770754</v>
      </c>
      <c r="Q422" s="29">
        <v>0</v>
      </c>
      <c r="R422" s="29">
        <v>0</v>
      </c>
      <c r="S422" s="539"/>
      <c r="T422" s="539">
        <f t="shared" si="148"/>
        <v>36.698196071787677</v>
      </c>
      <c r="U422" s="540">
        <f>T422/G422*1000</f>
        <v>254.84858383185909</v>
      </c>
      <c r="V422" s="534">
        <f>T422-J422</f>
        <v>0.97611607178770754</v>
      </c>
      <c r="W422" s="541">
        <f>U422/I422-1</f>
        <v>2.7325286539521487E-2</v>
      </c>
      <c r="X422" s="542"/>
      <c r="Z422" s="738"/>
      <c r="AB422" s="738"/>
      <c r="AD422" s="738"/>
      <c r="AF422" s="744"/>
    </row>
    <row r="423" spans="1:32">
      <c r="A423" s="6"/>
      <c r="B423" s="58"/>
      <c r="C423" s="10"/>
      <c r="D423" s="58"/>
      <c r="E423" s="30"/>
      <c r="F423" s="58"/>
      <c r="G423" s="132"/>
      <c r="H423" s="58"/>
      <c r="I423" s="58"/>
      <c r="J423" s="539"/>
      <c r="K423" s="58"/>
      <c r="L423" s="538"/>
      <c r="M423" s="538"/>
      <c r="N423" s="538"/>
      <c r="O423" s="564"/>
      <c r="P423" s="564"/>
      <c r="Q423" s="538"/>
      <c r="R423" s="538"/>
      <c r="S423" s="539"/>
      <c r="T423" s="539"/>
      <c r="U423" s="680"/>
      <c r="V423" s="534"/>
      <c r="W423" s="541"/>
      <c r="X423" s="542"/>
      <c r="Z423" s="738"/>
      <c r="AB423" s="738"/>
      <c r="AD423" s="738"/>
      <c r="AF423" s="744"/>
    </row>
    <row r="424" spans="1:32">
      <c r="A424" s="6">
        <f>MAX(A$417:A423)+1</f>
        <v>199</v>
      </c>
      <c r="B424" s="58"/>
      <c r="C424" s="10" t="s">
        <v>266</v>
      </c>
      <c r="D424" s="58"/>
      <c r="E424" s="30"/>
      <c r="F424" s="58"/>
      <c r="G424" s="411">
        <f>SUM(G418:G423)</f>
        <v>1146815.7609700002</v>
      </c>
      <c r="H424" s="58"/>
      <c r="I424" s="556">
        <f>J424/G424*100</f>
        <v>1.0293012011955851</v>
      </c>
      <c r="J424" s="554">
        <f>SUM(J418:J423)</f>
        <v>11804.1884031645</v>
      </c>
      <c r="K424" s="58"/>
      <c r="L424" s="555">
        <f>SUM(L418:L423)</f>
        <v>1224.9183929174201</v>
      </c>
      <c r="M424" s="555">
        <f t="shared" ref="M424:N424" si="150">SUM(M418:M423)</f>
        <v>13.760700020675317</v>
      </c>
      <c r="N424" s="555">
        <f t="shared" si="150"/>
        <v>10565.509310226404</v>
      </c>
      <c r="O424" s="564"/>
      <c r="P424" s="619">
        <f>SUM(P418:P423)</f>
        <v>288.70556933791829</v>
      </c>
      <c r="Q424" s="619">
        <f t="shared" ref="Q424:R424" si="151">SUM(Q418:Q423)</f>
        <v>905.45719952283821</v>
      </c>
      <c r="R424" s="619">
        <f t="shared" si="151"/>
        <v>13.37923487947986</v>
      </c>
      <c r="S424" s="539"/>
      <c r="T424" s="554">
        <f>SUM(T418:T423)</f>
        <v>11773.051313966642</v>
      </c>
      <c r="U424" s="677">
        <f>T424/G424*100</f>
        <v>1.0265861103974325</v>
      </c>
      <c r="V424" s="557">
        <f>SUM(V418:V423)</f>
        <v>-31.137089197858764</v>
      </c>
      <c r="W424" s="562">
        <f>U424/I424-1</f>
        <v>-2.6378000870871388E-3</v>
      </c>
      <c r="X424" s="542"/>
      <c r="Z424" s="738"/>
      <c r="AF424" s="744"/>
    </row>
    <row r="425" spans="1:32">
      <c r="A425" s="6"/>
      <c r="B425" s="58"/>
      <c r="C425" s="10"/>
      <c r="D425" s="58"/>
      <c r="E425" s="30"/>
      <c r="F425" s="58"/>
      <c r="G425" s="132"/>
      <c r="H425" s="58"/>
      <c r="I425" s="58"/>
      <c r="J425" s="539"/>
      <c r="K425" s="58"/>
      <c r="L425" s="534"/>
      <c r="M425" s="534"/>
      <c r="N425" s="534"/>
      <c r="O425" s="539"/>
      <c r="P425" s="539"/>
      <c r="Q425" s="534"/>
      <c r="R425" s="534"/>
      <c r="S425" s="539"/>
      <c r="T425" s="539"/>
      <c r="U425" s="539"/>
      <c r="V425" s="534"/>
      <c r="W425" s="534"/>
      <c r="X425" s="530"/>
      <c r="AF425" s="744"/>
    </row>
    <row r="426" spans="1:32">
      <c r="A426" s="6"/>
      <c r="C426" s="501" t="s">
        <v>323</v>
      </c>
      <c r="G426" s="129"/>
      <c r="L426" s="534"/>
      <c r="M426" s="534"/>
      <c r="N426" s="534"/>
      <c r="O426" s="567"/>
      <c r="P426" s="567"/>
      <c r="Q426" s="534"/>
      <c r="R426" s="534"/>
      <c r="S426" s="567"/>
      <c r="T426" s="567"/>
      <c r="U426" s="567"/>
      <c r="V426" s="534"/>
      <c r="W426" s="534"/>
      <c r="X426" s="530"/>
      <c r="AF426" s="744"/>
    </row>
    <row r="427" spans="1:32">
      <c r="A427" s="6">
        <f>MAX(A$417:A426)+1</f>
        <v>200</v>
      </c>
      <c r="B427" s="58"/>
      <c r="C427" s="526" t="s">
        <v>306</v>
      </c>
      <c r="D427" s="58"/>
      <c r="E427" s="522" t="s">
        <v>281</v>
      </c>
      <c r="F427" s="58"/>
      <c r="G427" s="130">
        <v>0</v>
      </c>
      <c r="H427" s="564"/>
      <c r="I427" s="547">
        <v>10.013400000000001</v>
      </c>
      <c r="J427" s="564">
        <f>G427*I427/100</f>
        <v>0</v>
      </c>
      <c r="K427" s="564"/>
      <c r="L427" s="29">
        <v>0</v>
      </c>
      <c r="M427" s="29">
        <v>0</v>
      </c>
      <c r="N427" s="538">
        <f>J427-L427-M427</f>
        <v>0</v>
      </c>
      <c r="O427" s="564"/>
      <c r="P427" s="29">
        <v>0</v>
      </c>
      <c r="Q427" s="29">
        <v>0</v>
      </c>
      <c r="R427" s="29">
        <v>0</v>
      </c>
      <c r="S427" s="564"/>
      <c r="T427" s="564">
        <f>N427+P427+Q427+R427</f>
        <v>0</v>
      </c>
      <c r="U427" s="547">
        <v>10.287019024234846</v>
      </c>
      <c r="V427" s="538">
        <f>T427-J427</f>
        <v>0</v>
      </c>
      <c r="W427" s="29"/>
      <c r="X427" s="563"/>
      <c r="AF427" s="744"/>
    </row>
    <row r="428" spans="1:32">
      <c r="A428" s="6">
        <f>MAX(A$417:A427)+1</f>
        <v>201</v>
      </c>
      <c r="B428" s="58"/>
      <c r="C428" s="526" t="s">
        <v>307</v>
      </c>
      <c r="D428" s="58"/>
      <c r="E428" s="522" t="s">
        <v>281</v>
      </c>
      <c r="F428" s="58"/>
      <c r="G428" s="29">
        <v>0</v>
      </c>
      <c r="H428" s="564"/>
      <c r="I428" s="547">
        <v>8.4962</v>
      </c>
      <c r="J428" s="564">
        <f t="shared" ref="J428:J434" si="152">G428*I428/100</f>
        <v>0</v>
      </c>
      <c r="K428" s="564"/>
      <c r="L428" s="29">
        <v>0</v>
      </c>
      <c r="M428" s="29">
        <v>0</v>
      </c>
      <c r="N428" s="538"/>
      <c r="O428" s="564"/>
      <c r="P428" s="29">
        <v>0</v>
      </c>
      <c r="Q428" s="29">
        <v>0</v>
      </c>
      <c r="R428" s="29">
        <v>0</v>
      </c>
      <c r="S428" s="564"/>
      <c r="T428" s="564">
        <f>N428+P428+Q428+R428</f>
        <v>0</v>
      </c>
      <c r="U428" s="547">
        <v>8.7283610994970822</v>
      </c>
      <c r="V428" s="538">
        <f>T428-J428</f>
        <v>0</v>
      </c>
      <c r="W428" s="29"/>
      <c r="X428" s="563"/>
      <c r="AF428" s="744"/>
    </row>
    <row r="429" spans="1:32">
      <c r="A429" s="6"/>
      <c r="B429" s="58"/>
      <c r="C429" s="501" t="s">
        <v>324</v>
      </c>
      <c r="D429" s="58"/>
      <c r="E429" s="30"/>
      <c r="F429" s="58"/>
      <c r="G429" s="29"/>
      <c r="H429" s="564"/>
      <c r="I429" s="547"/>
      <c r="J429" s="564"/>
      <c r="K429" s="564"/>
      <c r="L429" s="538"/>
      <c r="M429" s="538"/>
      <c r="N429" s="538"/>
      <c r="O429" s="564"/>
      <c r="P429" s="564"/>
      <c r="Q429" s="538"/>
      <c r="R429" s="538"/>
      <c r="S429" s="564"/>
      <c r="T429" s="564"/>
      <c r="U429" s="547"/>
      <c r="V429" s="538"/>
      <c r="W429" s="538"/>
      <c r="X429" s="563"/>
      <c r="AF429" s="744"/>
    </row>
    <row r="430" spans="1:32">
      <c r="A430" s="6">
        <f>MAX(A$417:A429)+1</f>
        <v>202</v>
      </c>
      <c r="B430" s="58"/>
      <c r="C430" s="526" t="s">
        <v>306</v>
      </c>
      <c r="D430" s="58"/>
      <c r="E430" s="522" t="s">
        <v>262</v>
      </c>
      <c r="F430" s="58"/>
      <c r="G430" s="132">
        <v>0</v>
      </c>
      <c r="H430" s="564"/>
      <c r="I430" s="547">
        <v>0.33329999999999999</v>
      </c>
      <c r="J430" s="564">
        <f t="shared" si="152"/>
        <v>0</v>
      </c>
      <c r="K430" s="564"/>
      <c r="L430" s="29">
        <v>0</v>
      </c>
      <c r="M430" s="29">
        <v>0</v>
      </c>
      <c r="N430" s="538">
        <f>J430-L430-M430</f>
        <v>0</v>
      </c>
      <c r="O430" s="564"/>
      <c r="P430" s="29">
        <v>0</v>
      </c>
      <c r="Q430" s="29">
        <v>0</v>
      </c>
      <c r="R430" s="29">
        <v>0</v>
      </c>
      <c r="S430" s="564"/>
      <c r="T430" s="564">
        <f t="shared" ref="T430:T434" si="153">N430+P430+Q430+R430</f>
        <v>0</v>
      </c>
      <c r="U430" s="547">
        <v>0.34240751800362251</v>
      </c>
      <c r="V430" s="538">
        <f>T430-J430</f>
        <v>0</v>
      </c>
      <c r="W430" s="29"/>
      <c r="X430" s="563"/>
      <c r="AF430" s="744"/>
    </row>
    <row r="431" spans="1:32">
      <c r="A431" s="6">
        <f>MAX(A$417:A430)+1</f>
        <v>203</v>
      </c>
      <c r="C431" s="526" t="s">
        <v>307</v>
      </c>
      <c r="E431" s="522" t="s">
        <v>262</v>
      </c>
      <c r="G431" s="29">
        <v>0</v>
      </c>
      <c r="H431" s="64"/>
      <c r="I431" s="547">
        <v>0.27150000000000002</v>
      </c>
      <c r="J431" s="564">
        <f t="shared" si="152"/>
        <v>0</v>
      </c>
      <c r="K431" s="64"/>
      <c r="L431" s="29">
        <v>0</v>
      </c>
      <c r="M431" s="29">
        <v>0</v>
      </c>
      <c r="N431" s="538">
        <f>J431-L431-M431</f>
        <v>0</v>
      </c>
      <c r="O431" s="64"/>
      <c r="P431" s="29">
        <v>0</v>
      </c>
      <c r="Q431" s="29">
        <v>0</v>
      </c>
      <c r="R431" s="29">
        <v>0</v>
      </c>
      <c r="S431" s="564"/>
      <c r="T431" s="564">
        <f t="shared" si="153"/>
        <v>0</v>
      </c>
      <c r="U431" s="547">
        <v>0.27891881529548013</v>
      </c>
      <c r="V431" s="538">
        <f>T431-J431</f>
        <v>0</v>
      </c>
      <c r="W431" s="29"/>
      <c r="X431" s="563"/>
      <c r="AF431" s="744"/>
    </row>
    <row r="432" spans="1:32">
      <c r="A432" s="6"/>
      <c r="B432" s="58"/>
      <c r="C432" s="501" t="s">
        <v>325</v>
      </c>
      <c r="D432" s="58"/>
      <c r="E432" s="574"/>
      <c r="F432" s="58"/>
      <c r="G432" s="29"/>
      <c r="H432" s="564"/>
      <c r="I432" s="564"/>
      <c r="J432" s="564"/>
      <c r="K432" s="564"/>
      <c r="L432" s="538"/>
      <c r="M432" s="538"/>
      <c r="N432" s="538"/>
      <c r="O432" s="564"/>
      <c r="P432" s="564"/>
      <c r="Q432" s="538"/>
      <c r="R432" s="538"/>
      <c r="S432" s="564"/>
      <c r="T432" s="564"/>
      <c r="V432" s="538"/>
      <c r="W432" s="538"/>
      <c r="X432" s="563"/>
      <c r="AF432" s="744"/>
    </row>
    <row r="433" spans="1:32">
      <c r="A433" s="6">
        <f>MAX(A$417:A432)+1</f>
        <v>204</v>
      </c>
      <c r="B433" s="58"/>
      <c r="C433" s="526" t="s">
        <v>306</v>
      </c>
      <c r="D433" s="58"/>
      <c r="E433" s="522" t="s">
        <v>262</v>
      </c>
      <c r="F433" s="58"/>
      <c r="G433" s="29">
        <v>0</v>
      </c>
      <c r="H433" s="564"/>
      <c r="I433" s="564">
        <v>0</v>
      </c>
      <c r="J433" s="564">
        <f t="shared" si="152"/>
        <v>0</v>
      </c>
      <c r="K433" s="564"/>
      <c r="L433" s="29">
        <v>0</v>
      </c>
      <c r="M433" s="29">
        <v>0</v>
      </c>
      <c r="N433" s="538">
        <f>J433-L433-M433</f>
        <v>0</v>
      </c>
      <c r="O433" s="564"/>
      <c r="P433" s="29">
        <v>0</v>
      </c>
      <c r="Q433" s="29">
        <v>0</v>
      </c>
      <c r="R433" s="29">
        <v>0</v>
      </c>
      <c r="S433" s="564"/>
      <c r="T433" s="564">
        <f t="shared" si="153"/>
        <v>0</v>
      </c>
      <c r="U433" s="132" t="str">
        <f>IFERROR(T433/G433*1000,"-")</f>
        <v>-</v>
      </c>
      <c r="V433" s="538">
        <f>T433-J433</f>
        <v>0</v>
      </c>
      <c r="W433" s="29"/>
      <c r="X433" s="563"/>
      <c r="AF433" s="744"/>
    </row>
    <row r="434" spans="1:32">
      <c r="A434" s="6">
        <f>MAX(A$417:A433)+1</f>
        <v>205</v>
      </c>
      <c r="B434" s="58"/>
      <c r="C434" s="526" t="s">
        <v>307</v>
      </c>
      <c r="D434" s="58"/>
      <c r="E434" s="522" t="s">
        <v>262</v>
      </c>
      <c r="F434" s="58"/>
      <c r="G434" s="29">
        <v>0</v>
      </c>
      <c r="H434" s="564"/>
      <c r="I434" s="564">
        <v>0</v>
      </c>
      <c r="J434" s="564">
        <f t="shared" si="152"/>
        <v>0</v>
      </c>
      <c r="K434" s="564"/>
      <c r="L434" s="29">
        <v>0</v>
      </c>
      <c r="M434" s="29">
        <v>0</v>
      </c>
      <c r="N434" s="538">
        <f>J434-L434-M434</f>
        <v>0</v>
      </c>
      <c r="O434" s="564"/>
      <c r="P434" s="29">
        <v>0</v>
      </c>
      <c r="Q434" s="29">
        <v>0</v>
      </c>
      <c r="R434" s="29">
        <v>0</v>
      </c>
      <c r="S434" s="564"/>
      <c r="T434" s="564">
        <f t="shared" si="153"/>
        <v>0</v>
      </c>
      <c r="U434" s="132" t="str">
        <f>IFERROR(T434/G434*1000,"-")</f>
        <v>-</v>
      </c>
      <c r="V434" s="538">
        <f>T434-J434</f>
        <v>0</v>
      </c>
      <c r="W434" s="29"/>
      <c r="X434" s="563"/>
      <c r="AF434" s="744"/>
    </row>
    <row r="435" spans="1:32">
      <c r="A435" s="6">
        <f>MAX(A$417:A434)+1</f>
        <v>206</v>
      </c>
      <c r="B435" s="58"/>
      <c r="C435" s="501" t="s">
        <v>326</v>
      </c>
      <c r="D435" s="58"/>
      <c r="E435" s="574"/>
      <c r="F435" s="58"/>
      <c r="G435" s="411">
        <f>SUM(G430:G434)</f>
        <v>0</v>
      </c>
      <c r="H435" s="411"/>
      <c r="I435" s="411"/>
      <c r="J435" s="411">
        <f t="shared" ref="J435" si="154">SUM(J430:J434)</f>
        <v>0</v>
      </c>
      <c r="K435" s="564"/>
      <c r="L435" s="555">
        <f>SUM(L427:L434)</f>
        <v>0</v>
      </c>
      <c r="M435" s="555">
        <f t="shared" ref="M435:N435" si="155">SUM(M427:M434)</f>
        <v>0</v>
      </c>
      <c r="N435" s="555">
        <f t="shared" si="155"/>
        <v>0</v>
      </c>
      <c r="O435" s="538"/>
      <c r="P435" s="555">
        <f t="shared" ref="P435:R435" si="156">SUM(P427:P434)</f>
        <v>0</v>
      </c>
      <c r="Q435" s="555">
        <f t="shared" si="156"/>
        <v>0</v>
      </c>
      <c r="R435" s="555">
        <f t="shared" si="156"/>
        <v>0</v>
      </c>
      <c r="S435" s="538"/>
      <c r="T435" s="555">
        <f t="shared" ref="T435:V435" si="157">SUM(T427:T434)</f>
        <v>0</v>
      </c>
      <c r="U435" s="555">
        <f t="shared" si="157"/>
        <v>19.636706457031032</v>
      </c>
      <c r="V435" s="555">
        <f t="shared" si="157"/>
        <v>0</v>
      </c>
      <c r="W435" s="555"/>
      <c r="X435" s="563"/>
      <c r="Z435" s="746"/>
      <c r="AB435" s="746"/>
      <c r="AD435" s="746"/>
      <c r="AF435" s="746"/>
    </row>
    <row r="436" spans="1:32">
      <c r="A436" s="6"/>
      <c r="B436" s="58"/>
      <c r="C436" s="526"/>
      <c r="D436" s="58"/>
      <c r="E436" s="574"/>
      <c r="F436" s="58"/>
      <c r="G436" s="29"/>
      <c r="H436" s="58"/>
      <c r="I436" s="58"/>
      <c r="J436" s="58"/>
      <c r="K436" s="58"/>
      <c r="L436" s="501"/>
      <c r="M436" s="501"/>
      <c r="N436" s="501"/>
      <c r="O436" s="58"/>
      <c r="P436" s="58"/>
      <c r="Q436" s="501"/>
      <c r="R436" s="501"/>
      <c r="S436" s="58"/>
      <c r="T436" s="58"/>
      <c r="U436" s="58"/>
      <c r="V436" s="501"/>
      <c r="W436" s="501"/>
      <c r="Z436" s="738"/>
      <c r="AB436" s="738"/>
      <c r="AD436" s="738"/>
      <c r="AF436" s="744"/>
    </row>
    <row r="437" spans="1:32">
      <c r="A437" s="6"/>
      <c r="B437" s="58"/>
      <c r="C437" s="501" t="s">
        <v>327</v>
      </c>
      <c r="D437" s="58"/>
      <c r="E437" s="30"/>
      <c r="F437" s="58"/>
      <c r="G437" s="132"/>
      <c r="H437" s="58"/>
      <c r="I437" s="58"/>
      <c r="J437" s="58"/>
      <c r="K437" s="58"/>
      <c r="L437" s="501"/>
      <c r="M437" s="501"/>
      <c r="N437" s="501"/>
      <c r="O437" s="58"/>
      <c r="P437" s="58"/>
      <c r="Q437" s="501"/>
      <c r="R437" s="501"/>
      <c r="S437" s="58"/>
      <c r="T437" s="58"/>
      <c r="U437" s="58"/>
      <c r="V437" s="501"/>
      <c r="W437" s="501"/>
      <c r="Z437" s="738"/>
      <c r="AB437" s="738"/>
      <c r="AD437" s="738"/>
      <c r="AF437" s="744"/>
    </row>
    <row r="438" spans="1:32">
      <c r="A438" s="6">
        <f>MAX(A$417:A437)+1</f>
        <v>207</v>
      </c>
      <c r="C438" s="526" t="s">
        <v>328</v>
      </c>
      <c r="E438" s="522" t="s">
        <v>329</v>
      </c>
      <c r="G438" s="130">
        <v>0</v>
      </c>
      <c r="H438" s="64"/>
      <c r="I438" s="547">
        <v>7.8860000000000001</v>
      </c>
      <c r="J438" s="64">
        <f>G438*I438/1000</f>
        <v>0</v>
      </c>
      <c r="K438" s="64"/>
      <c r="L438" s="29">
        <v>0</v>
      </c>
      <c r="M438" s="29">
        <v>0</v>
      </c>
      <c r="N438" s="538">
        <f>J438-L438-M438</f>
        <v>0</v>
      </c>
      <c r="O438" s="64"/>
      <c r="P438" s="29">
        <v>0</v>
      </c>
      <c r="Q438" s="29">
        <v>0</v>
      </c>
      <c r="R438" s="29">
        <v>0</v>
      </c>
      <c r="S438" s="29"/>
      <c r="T438" s="64">
        <f>N438+P438+Q438+R438</f>
        <v>0</v>
      </c>
      <c r="U438" s="547">
        <v>8.1014872096506672</v>
      </c>
      <c r="V438" s="538">
        <f>T438-J438</f>
        <v>0</v>
      </c>
      <c r="W438" s="538"/>
      <c r="X438" s="563"/>
      <c r="Z438" s="738"/>
      <c r="AB438" s="738"/>
      <c r="AD438" s="738"/>
      <c r="AF438" s="744"/>
    </row>
    <row r="439" spans="1:32">
      <c r="A439" s="6">
        <f>MAX(A$417:A438)+1</f>
        <v>208</v>
      </c>
      <c r="B439" s="58"/>
      <c r="C439" s="526" t="s">
        <v>330</v>
      </c>
      <c r="D439" s="58"/>
      <c r="E439" s="522" t="s">
        <v>331</v>
      </c>
      <c r="F439" s="58"/>
      <c r="G439" s="130">
        <v>0</v>
      </c>
      <c r="H439" s="564"/>
      <c r="I439" s="547">
        <v>0.14299999999999999</v>
      </c>
      <c r="J439" s="64">
        <f>G439*I439/1000</f>
        <v>0</v>
      </c>
      <c r="K439" s="564"/>
      <c r="L439" s="29">
        <v>0</v>
      </c>
      <c r="M439" s="29">
        <v>0</v>
      </c>
      <c r="N439" s="538">
        <f>J439-L439-M439</f>
        <v>0</v>
      </c>
      <c r="O439" s="564"/>
      <c r="P439" s="29">
        <v>0</v>
      </c>
      <c r="Q439" s="29">
        <v>0</v>
      </c>
      <c r="R439" s="29">
        <v>0</v>
      </c>
      <c r="S439" s="564"/>
      <c r="T439" s="64">
        <f>N439+P439+Q439+R439</f>
        <v>0</v>
      </c>
      <c r="U439" s="547">
        <v>0.14690751597515156</v>
      </c>
      <c r="V439" s="538">
        <f>T439-J439</f>
        <v>0</v>
      </c>
      <c r="W439" s="538"/>
      <c r="X439" s="563"/>
      <c r="Z439" s="738"/>
      <c r="AB439" s="738"/>
      <c r="AD439" s="738"/>
      <c r="AF439" s="744"/>
    </row>
    <row r="440" spans="1:32">
      <c r="A440" s="6">
        <f>MAX(A$417:A439)+1</f>
        <v>209</v>
      </c>
      <c r="B440" s="58"/>
      <c r="C440" s="501" t="s">
        <v>327</v>
      </c>
      <c r="D440" s="58"/>
      <c r="E440" s="30"/>
      <c r="F440" s="58"/>
      <c r="G440" s="411">
        <f>SUM(G438:G439)</f>
        <v>0</v>
      </c>
      <c r="H440" s="619"/>
      <c r="I440" s="619"/>
      <c r="J440" s="619">
        <f>SUM(J438:J439)</f>
        <v>0</v>
      </c>
      <c r="K440" s="564"/>
      <c r="L440" s="555">
        <f>SUM(L438:L439)</f>
        <v>0</v>
      </c>
      <c r="M440" s="555">
        <f t="shared" ref="M440:N440" si="158">SUM(M438:M439)</f>
        <v>0</v>
      </c>
      <c r="N440" s="555">
        <f t="shared" si="158"/>
        <v>0</v>
      </c>
      <c r="O440" s="538"/>
      <c r="P440" s="555">
        <f t="shared" ref="P440:R440" si="159">SUM(P438:P439)</f>
        <v>0</v>
      </c>
      <c r="Q440" s="555">
        <f t="shared" si="159"/>
        <v>0</v>
      </c>
      <c r="R440" s="555">
        <f t="shared" si="159"/>
        <v>0</v>
      </c>
      <c r="S440" s="538"/>
      <c r="T440" s="555">
        <f t="shared" ref="T440:V440" si="160">SUM(T438:T439)</f>
        <v>0</v>
      </c>
      <c r="U440" s="566">
        <v>1.8424453678720947</v>
      </c>
      <c r="V440" s="555">
        <f t="shared" si="160"/>
        <v>0</v>
      </c>
      <c r="W440" s="555"/>
      <c r="X440" s="563"/>
      <c r="Z440" s="746"/>
      <c r="AB440" s="746"/>
      <c r="AD440" s="746"/>
      <c r="AF440" s="746"/>
    </row>
    <row r="441" spans="1:32">
      <c r="A441" s="6"/>
      <c r="B441" s="58"/>
      <c r="C441" s="10"/>
      <c r="D441" s="58"/>
      <c r="E441" s="30"/>
      <c r="F441" s="58"/>
      <c r="G441" s="132"/>
      <c r="H441" s="564"/>
      <c r="I441" s="564"/>
      <c r="J441" s="564"/>
      <c r="K441" s="564"/>
      <c r="L441" s="538"/>
      <c r="M441" s="538"/>
      <c r="N441" s="538"/>
      <c r="O441" s="564"/>
      <c r="P441" s="564"/>
      <c r="Q441" s="538"/>
      <c r="R441" s="538"/>
      <c r="S441" s="564"/>
      <c r="T441" s="564"/>
      <c r="U441" s="564"/>
      <c r="V441" s="538"/>
      <c r="W441" s="538"/>
      <c r="X441" s="563"/>
    </row>
    <row r="442" spans="1:32" ht="12.95" thickBot="1">
      <c r="A442" s="6">
        <f>MAX(A$417:A441)+1</f>
        <v>210</v>
      </c>
      <c r="B442" s="58"/>
      <c r="C442" s="10" t="s">
        <v>282</v>
      </c>
      <c r="D442" s="58"/>
      <c r="E442" s="591"/>
      <c r="F442" s="58"/>
      <c r="G442" s="439">
        <f>G420</f>
        <v>1076377.9679700001</v>
      </c>
      <c r="H442" s="564"/>
      <c r="I442" s="590">
        <f>J442/G442*100</f>
        <v>1.0966583072511846</v>
      </c>
      <c r="J442" s="628">
        <f>J424+J435+J440</f>
        <v>11804.1884031645</v>
      </c>
      <c r="K442" s="564"/>
      <c r="L442" s="628">
        <f t="shared" ref="L442:V442" si="161">L424+L435+L440</f>
        <v>1224.9183929174201</v>
      </c>
      <c r="M442" s="628">
        <f t="shared" si="161"/>
        <v>13.760700020675317</v>
      </c>
      <c r="N442" s="628">
        <f t="shared" si="161"/>
        <v>10565.509310226404</v>
      </c>
      <c r="O442" s="564"/>
      <c r="P442" s="628">
        <f t="shared" si="161"/>
        <v>288.70556933791829</v>
      </c>
      <c r="Q442" s="628">
        <f t="shared" si="161"/>
        <v>905.45719952283821</v>
      </c>
      <c r="R442" s="628">
        <f t="shared" si="161"/>
        <v>13.37923487947986</v>
      </c>
      <c r="S442" s="539"/>
      <c r="T442" s="627">
        <f t="shared" si="161"/>
        <v>11773.051313966642</v>
      </c>
      <c r="U442" s="651">
        <f>T442/G442*100</f>
        <v>1.0937655418728127</v>
      </c>
      <c r="V442" s="638">
        <f t="shared" si="161"/>
        <v>-31.137089197858764</v>
      </c>
      <c r="W442" s="629">
        <f>U442/I442-1</f>
        <v>-2.6378000870870277E-3</v>
      </c>
      <c r="X442" s="630"/>
      <c r="Z442" s="738"/>
      <c r="AB442" s="738"/>
      <c r="AD442" s="738"/>
      <c r="AF442" s="744"/>
    </row>
    <row r="443" spans="1:32" ht="12.95" thickTop="1">
      <c r="A443" s="6"/>
      <c r="L443" s="501"/>
      <c r="M443" s="501"/>
      <c r="N443" s="501"/>
      <c r="Q443" s="501"/>
      <c r="R443" s="501"/>
      <c r="V443" s="534"/>
      <c r="W443" s="501"/>
    </row>
    <row r="444" spans="1:32">
      <c r="A444" s="6"/>
      <c r="B444" s="581"/>
      <c r="C444" s="652" t="s">
        <v>145</v>
      </c>
      <c r="D444" s="581"/>
      <c r="E444" s="581"/>
      <c r="F444" s="581"/>
      <c r="G444" s="581"/>
      <c r="H444" s="581"/>
      <c r="I444" s="581"/>
      <c r="J444" s="581"/>
      <c r="K444" s="581"/>
      <c r="L444" s="501"/>
      <c r="M444" s="501"/>
      <c r="N444" s="501"/>
      <c r="O444" s="581"/>
      <c r="P444" s="581"/>
      <c r="Q444" s="501"/>
      <c r="R444" s="501"/>
      <c r="S444" s="581"/>
      <c r="T444" s="581"/>
      <c r="U444" s="581"/>
      <c r="V444" s="501"/>
      <c r="W444" s="501"/>
    </row>
    <row r="445" spans="1:32">
      <c r="A445" s="6"/>
      <c r="B445" s="57"/>
      <c r="C445" s="9" t="s">
        <v>146</v>
      </c>
      <c r="D445" s="57"/>
      <c r="E445" s="3"/>
      <c r="F445" s="57"/>
      <c r="G445" s="3"/>
      <c r="H445" s="57"/>
      <c r="I445" s="57"/>
      <c r="J445" s="57"/>
      <c r="K445" s="57"/>
      <c r="L445" s="501"/>
      <c r="M445" s="501"/>
      <c r="N445" s="501"/>
      <c r="O445" s="57"/>
      <c r="P445" s="57"/>
      <c r="Q445" s="501"/>
      <c r="R445" s="501"/>
      <c r="S445" s="57"/>
      <c r="T445" s="57"/>
      <c r="U445" s="57"/>
      <c r="V445" s="501"/>
      <c r="W445" s="501"/>
    </row>
    <row r="446" spans="1:32">
      <c r="A446" s="6">
        <f>MAX(A$417:A445)+1</f>
        <v>211</v>
      </c>
      <c r="B446" s="3"/>
      <c r="C446" s="10" t="s">
        <v>258</v>
      </c>
      <c r="D446" s="3"/>
      <c r="E446" s="57" t="s">
        <v>259</v>
      </c>
      <c r="F446" s="3"/>
      <c r="G446" s="536">
        <v>14450119.000000004</v>
      </c>
      <c r="H446" s="616"/>
      <c r="I446" s="537">
        <v>22.98</v>
      </c>
      <c r="J446" s="624">
        <f>G446*I446/1000</f>
        <v>332063.73462000006</v>
      </c>
      <c r="K446" s="616"/>
      <c r="L446" s="29">
        <v>0</v>
      </c>
      <c r="M446" s="29">
        <v>0</v>
      </c>
      <c r="N446" s="538">
        <f>J446-L446-M446</f>
        <v>332063.73462000006</v>
      </c>
      <c r="O446" s="584"/>
      <c r="P446" s="29">
        <v>9073.7366978751379</v>
      </c>
      <c r="Q446" s="29">
        <v>32546.953093803524</v>
      </c>
      <c r="R446" s="29">
        <v>0</v>
      </c>
      <c r="S446" s="616"/>
      <c r="T446" s="624">
        <f>N446+P446+Q446+R446</f>
        <v>373684.42441167874</v>
      </c>
      <c r="U446" s="682">
        <f>T446/G446*1000</f>
        <v>25.86030083293284</v>
      </c>
      <c r="V446" s="534">
        <f>T446-J446</f>
        <v>41620.689791678684</v>
      </c>
      <c r="W446" s="541">
        <f>U446/I446-1</f>
        <v>0.1253394618334569</v>
      </c>
      <c r="X446" s="542"/>
      <c r="Z446" s="738"/>
      <c r="AB446" s="738"/>
      <c r="AD446" s="738"/>
      <c r="AF446" s="739"/>
    </row>
    <row r="447" spans="1:32">
      <c r="A447" s="6"/>
      <c r="B447" s="5"/>
      <c r="C447" s="521" t="s">
        <v>260</v>
      </c>
      <c r="D447" s="5"/>
      <c r="E447" s="6"/>
      <c r="F447" s="5"/>
      <c r="G447" s="536"/>
      <c r="H447" s="659"/>
      <c r="I447" s="637"/>
      <c r="J447" s="659"/>
      <c r="K447" s="659"/>
      <c r="L447" s="538"/>
      <c r="M447" s="538"/>
      <c r="N447" s="538"/>
      <c r="O447" s="585"/>
      <c r="P447" s="675"/>
      <c r="Q447" s="538"/>
      <c r="R447" s="538"/>
      <c r="S447" s="659"/>
      <c r="T447" s="624"/>
      <c r="U447" s="683"/>
      <c r="V447" s="534"/>
      <c r="W447" s="541"/>
      <c r="X447" s="542"/>
      <c r="Z447" s="738"/>
      <c r="AB447" s="738"/>
      <c r="AD447" s="738"/>
    </row>
    <row r="448" spans="1:32">
      <c r="A448" s="6">
        <f>MAX(A$417:A447)+1</f>
        <v>212</v>
      </c>
      <c r="B448" s="58"/>
      <c r="C448" s="526" t="s">
        <v>336</v>
      </c>
      <c r="D448" s="58"/>
      <c r="E448" s="522" t="s">
        <v>262</v>
      </c>
      <c r="F448" s="58"/>
      <c r="G448" s="536">
        <v>1046589.5733471487</v>
      </c>
      <c r="H448" s="539"/>
      <c r="I448" s="684">
        <v>6.3948999999999998</v>
      </c>
      <c r="J448" s="539">
        <f>G448*I448/100</f>
        <v>66928.356625976812</v>
      </c>
      <c r="K448" s="539"/>
      <c r="L448" s="29">
        <v>10200.061981841312</v>
      </c>
      <c r="M448" s="29">
        <v>2516.2061097543501</v>
      </c>
      <c r="N448" s="538">
        <f>J448-L448-M448</f>
        <v>54212.088534381153</v>
      </c>
      <c r="O448" s="564"/>
      <c r="P448" s="29">
        <v>1481.3608531078717</v>
      </c>
      <c r="Q448" s="29">
        <v>2187.6249311468928</v>
      </c>
      <c r="R448" s="29">
        <v>2446.4217884023064</v>
      </c>
      <c r="S448" s="539"/>
      <c r="T448" s="624">
        <f t="shared" ref="T448:T450" si="162">N448+P448+Q448+R448</f>
        <v>60327.496107038227</v>
      </c>
      <c r="U448" s="680">
        <f>T448/G448*100</f>
        <v>5.7641980814028129</v>
      </c>
      <c r="V448" s="549">
        <f>T448-J448</f>
        <v>-6600.8605189385853</v>
      </c>
      <c r="W448" s="541"/>
      <c r="X448" s="542"/>
      <c r="Z448" s="738"/>
      <c r="AB448" s="738"/>
      <c r="AD448" s="738"/>
      <c r="AF448" s="744"/>
    </row>
    <row r="449" spans="1:32">
      <c r="A449" s="6">
        <f>MAX(A$417:A448)+1</f>
        <v>213</v>
      </c>
      <c r="B449" s="58"/>
      <c r="C449" s="526" t="s">
        <v>337</v>
      </c>
      <c r="D449" s="58"/>
      <c r="E449" s="522" t="s">
        <v>262</v>
      </c>
      <c r="F449" s="58"/>
      <c r="G449" s="536">
        <v>935574.92126953974</v>
      </c>
      <c r="H449" s="539"/>
      <c r="I449" s="684">
        <v>6.0808</v>
      </c>
      <c r="J449" s="539">
        <f t="shared" ref="J449:J450" si="163">G449*I449/100</f>
        <v>56890.439812558172</v>
      </c>
      <c r="K449" s="539"/>
      <c r="L449" s="29">
        <v>8656.8747465070519</v>
      </c>
      <c r="M449" s="29">
        <v>2249.3051650635143</v>
      </c>
      <c r="N449" s="538">
        <f>J449-L449-M449</f>
        <v>45984.259900987599</v>
      </c>
      <c r="O449" s="564"/>
      <c r="P449" s="29">
        <v>1256.5330781023149</v>
      </c>
      <c r="Q449" s="29">
        <v>1955.577501292534</v>
      </c>
      <c r="R449" s="29">
        <v>2186.9230597784554</v>
      </c>
      <c r="S449" s="539"/>
      <c r="T449" s="624">
        <f t="shared" si="162"/>
        <v>51383.293540160907</v>
      </c>
      <c r="U449" s="680">
        <f>T449/G449*100</f>
        <v>5.492162345527146</v>
      </c>
      <c r="V449" s="549">
        <f>T449-J449</f>
        <v>-5507.1462723972654</v>
      </c>
      <c r="W449" s="541"/>
      <c r="X449" s="542"/>
      <c r="Z449" s="738"/>
      <c r="AB449" s="738"/>
      <c r="AD449" s="738"/>
      <c r="AF449" s="744"/>
    </row>
    <row r="450" spans="1:32">
      <c r="A450" s="6">
        <f>MAX(A$417:A449)+1</f>
        <v>214</v>
      </c>
      <c r="B450" s="58"/>
      <c r="C450" s="526" t="s">
        <v>338</v>
      </c>
      <c r="D450" s="58"/>
      <c r="E450" s="522" t="s">
        <v>262</v>
      </c>
      <c r="F450" s="58"/>
      <c r="G450" s="536">
        <v>1256700.005050699</v>
      </c>
      <c r="H450" s="539"/>
      <c r="I450" s="684">
        <v>5.2693000000000003</v>
      </c>
      <c r="J450" s="539">
        <f t="shared" si="163"/>
        <v>66219.29336613648</v>
      </c>
      <c r="K450" s="539"/>
      <c r="L450" s="29">
        <v>10027.209340299527</v>
      </c>
      <c r="M450" s="29">
        <v>3021.3526977189108</v>
      </c>
      <c r="N450" s="538">
        <f>J450-L450-M450</f>
        <v>53170.731328118047</v>
      </c>
      <c r="O450" s="564"/>
      <c r="P450" s="29">
        <v>1452.9054690567355</v>
      </c>
      <c r="Q450" s="29">
        <v>2626.8064693488427</v>
      </c>
      <c r="R450" s="29">
        <v>2937.5586687806117</v>
      </c>
      <c r="S450" s="539"/>
      <c r="T450" s="624">
        <f t="shared" si="162"/>
        <v>60188.001935304237</v>
      </c>
      <c r="U450" s="680">
        <f>T450/G450*100</f>
        <v>4.7893691170054602</v>
      </c>
      <c r="V450" s="549">
        <f>T450-J450</f>
        <v>-6031.2914308322433</v>
      </c>
      <c r="W450" s="541"/>
      <c r="X450" s="542"/>
      <c r="Z450" s="738"/>
      <c r="AB450" s="738"/>
      <c r="AD450" s="738"/>
      <c r="AF450" s="744"/>
    </row>
    <row r="451" spans="1:32" ht="12.95">
      <c r="A451" s="6">
        <f>MAX(A$417:A450)+1</f>
        <v>215</v>
      </c>
      <c r="B451" s="58"/>
      <c r="C451" s="521" t="s">
        <v>260</v>
      </c>
      <c r="D451" s="58"/>
      <c r="E451" s="128"/>
      <c r="F451" s="58"/>
      <c r="G451" s="550">
        <f>SUM(G448:G450)</f>
        <v>3238864.4996673875</v>
      </c>
      <c r="H451" s="539"/>
      <c r="I451" s="556">
        <f>J451/G451*100</f>
        <v>5.8674294594351588</v>
      </c>
      <c r="J451" s="554">
        <f>SUM(J448:J450)</f>
        <v>190038.08980467147</v>
      </c>
      <c r="K451" s="539"/>
      <c r="L451" s="555">
        <f>SUM(L448:L450)</f>
        <v>28884.146068647893</v>
      </c>
      <c r="M451" s="555">
        <f t="shared" ref="M451:N451" si="164">SUM(M448:M450)</f>
        <v>7786.8639725367757</v>
      </c>
      <c r="N451" s="555">
        <f t="shared" si="164"/>
        <v>153367.07976348681</v>
      </c>
      <c r="O451" s="538"/>
      <c r="P451" s="619">
        <f>SUM(P448:P450)</f>
        <v>4190.799400266922</v>
      </c>
      <c r="Q451" s="619">
        <f t="shared" ref="Q451:R451" si="165">SUM(Q448:Q450)</f>
        <v>6770.0089017882692</v>
      </c>
      <c r="R451" s="619">
        <f t="shared" si="165"/>
        <v>7570.9035169613735</v>
      </c>
      <c r="S451" s="539"/>
      <c r="T451" s="554">
        <f>SUM(T448:T450)</f>
        <v>171898.79158250336</v>
      </c>
      <c r="U451" s="677">
        <f>T451/G451*100</f>
        <v>5.3073782987882439</v>
      </c>
      <c r="V451" s="557">
        <f>SUM(V447:V450)</f>
        <v>-18139.298222168094</v>
      </c>
      <c r="W451" s="558">
        <f>U451/I451-1</f>
        <v>-9.5450855356483455E-2</v>
      </c>
      <c r="X451" s="559"/>
      <c r="Z451" s="738"/>
      <c r="AB451" s="738"/>
      <c r="AD451" s="738"/>
      <c r="AF451" s="744"/>
    </row>
    <row r="452" spans="1:32">
      <c r="A452" s="6"/>
      <c r="B452" s="58"/>
      <c r="C452" s="10"/>
      <c r="D452" s="58"/>
      <c r="E452" s="30"/>
      <c r="F452" s="58"/>
      <c r="G452" s="536"/>
      <c r="H452" s="539"/>
      <c r="I452" s="548"/>
      <c r="J452" s="539"/>
      <c r="K452" s="539"/>
      <c r="L452" s="538"/>
      <c r="M452" s="538"/>
      <c r="N452" s="538"/>
      <c r="O452" s="564"/>
      <c r="P452" s="564"/>
      <c r="Q452" s="538"/>
      <c r="R452" s="538"/>
      <c r="S452" s="539"/>
      <c r="T452" s="539"/>
      <c r="U452" s="539"/>
      <c r="V452" s="534"/>
      <c r="W452" s="534"/>
      <c r="X452" s="530"/>
      <c r="Z452" s="738"/>
      <c r="AB452" s="738"/>
      <c r="AD452" s="738"/>
      <c r="AF452" s="744"/>
    </row>
    <row r="453" spans="1:32">
      <c r="A453" s="6">
        <f>MAX(A$417:A452)+1</f>
        <v>216</v>
      </c>
      <c r="B453" s="58"/>
      <c r="C453" s="10" t="s">
        <v>266</v>
      </c>
      <c r="D453" s="58"/>
      <c r="E453" s="30"/>
      <c r="F453" s="58"/>
      <c r="G453" s="553">
        <f>G451</f>
        <v>3238864.4996673875</v>
      </c>
      <c r="H453" s="539"/>
      <c r="I453" s="556">
        <f>J453/G453*100</f>
        <v>16.119903270985507</v>
      </c>
      <c r="J453" s="554">
        <f>J446+J451</f>
        <v>522101.82442467153</v>
      </c>
      <c r="K453" s="539"/>
      <c r="L453" s="619">
        <f t="shared" ref="L453:V453" si="166">L446+L451</f>
        <v>28884.146068647893</v>
      </c>
      <c r="M453" s="619">
        <f t="shared" si="166"/>
        <v>7786.8639725367757</v>
      </c>
      <c r="N453" s="619">
        <f t="shared" si="166"/>
        <v>485430.81438348687</v>
      </c>
      <c r="O453" s="564"/>
      <c r="P453" s="619">
        <f t="shared" si="166"/>
        <v>13264.53609814206</v>
      </c>
      <c r="Q453" s="619">
        <f t="shared" si="166"/>
        <v>39316.961995591795</v>
      </c>
      <c r="R453" s="619">
        <f t="shared" si="166"/>
        <v>7570.9035169613735</v>
      </c>
      <c r="S453" s="539"/>
      <c r="T453" s="554">
        <f t="shared" si="166"/>
        <v>545583.21599418204</v>
      </c>
      <c r="U453" s="677">
        <f>T453/G453*100</f>
        <v>16.844891660339918</v>
      </c>
      <c r="V453" s="554">
        <f t="shared" si="166"/>
        <v>23481.39156951059</v>
      </c>
      <c r="W453" s="656">
        <f>U453/I453-1</f>
        <v>4.497473571440902E-2</v>
      </c>
      <c r="X453" s="630"/>
      <c r="Z453" s="738"/>
      <c r="AB453" s="738"/>
      <c r="AD453" s="738"/>
      <c r="AF453" s="744"/>
    </row>
    <row r="454" spans="1:32">
      <c r="A454" s="6"/>
      <c r="B454" s="58"/>
      <c r="C454" s="526"/>
      <c r="D454" s="58"/>
      <c r="E454" s="522"/>
      <c r="F454" s="58"/>
      <c r="G454" s="536"/>
      <c r="H454" s="539"/>
      <c r="I454" s="548"/>
      <c r="J454" s="539"/>
      <c r="K454" s="539"/>
      <c r="L454" s="538"/>
      <c r="M454" s="538"/>
      <c r="N454" s="538"/>
      <c r="O454" s="564"/>
      <c r="P454" s="564"/>
      <c r="Q454" s="538"/>
      <c r="R454" s="538"/>
      <c r="S454" s="539"/>
      <c r="T454" s="539"/>
      <c r="U454" s="539"/>
      <c r="V454" s="534"/>
      <c r="W454" s="534"/>
      <c r="X454" s="530"/>
      <c r="Z454" s="738"/>
      <c r="AB454" s="738"/>
      <c r="AD454" s="738"/>
      <c r="AF454" s="744"/>
    </row>
    <row r="455" spans="1:32">
      <c r="A455" s="6">
        <f>MAX(A$417:A454)+1</f>
        <v>217</v>
      </c>
      <c r="B455" s="58"/>
      <c r="C455" s="521" t="s">
        <v>339</v>
      </c>
      <c r="D455" s="58"/>
      <c r="E455" s="522" t="s">
        <v>262</v>
      </c>
      <c r="F455" s="58"/>
      <c r="G455" s="536">
        <v>3238864.4996673875</v>
      </c>
      <c r="H455" s="539"/>
      <c r="I455" s="684">
        <v>0.8518</v>
      </c>
      <c r="J455" s="539">
        <f>G455*I455/100</f>
        <v>27588.647808166806</v>
      </c>
      <c r="K455" s="539"/>
      <c r="L455" s="29">
        <v>0</v>
      </c>
      <c r="M455" s="29">
        <v>0</v>
      </c>
      <c r="N455" s="538">
        <f>J455-L455-M455</f>
        <v>27588.647808166806</v>
      </c>
      <c r="O455" s="564"/>
      <c r="P455" s="29">
        <v>753.86770659609829</v>
      </c>
      <c r="Q455" s="29">
        <v>0</v>
      </c>
      <c r="R455" s="29">
        <v>0</v>
      </c>
      <c r="S455" s="539"/>
      <c r="T455" s="539">
        <f>N455+P455+Q455+R455</f>
        <v>28342.515514762905</v>
      </c>
      <c r="U455" s="680">
        <f>T455/G455*100</f>
        <v>0.87507567907436445</v>
      </c>
      <c r="V455" s="534">
        <f>T455-J455</f>
        <v>753.86770659609829</v>
      </c>
      <c r="W455" s="541">
        <f>U455/I455-1</f>
        <v>2.7325286539521487E-2</v>
      </c>
      <c r="X455" s="542"/>
      <c r="Z455" s="738"/>
      <c r="AB455" s="738"/>
      <c r="AD455" s="738"/>
      <c r="AF455" s="744"/>
    </row>
    <row r="456" spans="1:32">
      <c r="A456" s="6"/>
      <c r="B456" s="58"/>
      <c r="C456" s="10"/>
      <c r="D456" s="58"/>
      <c r="E456" s="30"/>
      <c r="F456" s="58"/>
      <c r="G456" s="624"/>
      <c r="H456" s="539"/>
      <c r="I456" s="548"/>
      <c r="J456" s="539"/>
      <c r="K456" s="539"/>
      <c r="L456" s="538"/>
      <c r="M456" s="538"/>
      <c r="N456" s="538"/>
      <c r="O456" s="564"/>
      <c r="P456" s="564"/>
      <c r="Q456" s="538"/>
      <c r="R456" s="538"/>
      <c r="S456" s="539"/>
      <c r="T456" s="539"/>
      <c r="U456" s="680"/>
      <c r="V456" s="534"/>
      <c r="W456" s="541"/>
      <c r="X456" s="542"/>
      <c r="Z456" s="738"/>
      <c r="AB456" s="738"/>
      <c r="AD456" s="738"/>
      <c r="AF456" s="744"/>
    </row>
    <row r="457" spans="1:32">
      <c r="A457" s="6">
        <f>MAX(A$417:A456)+1</f>
        <v>218</v>
      </c>
      <c r="B457" s="58"/>
      <c r="C457" s="10" t="s">
        <v>270</v>
      </c>
      <c r="D457" s="58"/>
      <c r="E457" s="522" t="s">
        <v>262</v>
      </c>
      <c r="F457" s="58"/>
      <c r="G457" s="536">
        <v>3057016.7994900364</v>
      </c>
      <c r="H457" s="539"/>
      <c r="I457" s="689">
        <v>-7.3899999999999993E-2</v>
      </c>
      <c r="J457" s="621">
        <f t="shared" ref="J457" si="167">G457*I457/100</f>
        <v>-2259.1354148231367</v>
      </c>
      <c r="K457" s="539"/>
      <c r="L457" s="29">
        <v>0</v>
      </c>
      <c r="M457" s="29">
        <v>0</v>
      </c>
      <c r="N457" s="538">
        <f>J457-L457-M457</f>
        <v>-2259.1354148231367</v>
      </c>
      <c r="O457" s="564"/>
      <c r="P457" s="29">
        <v>-61.73152254162278</v>
      </c>
      <c r="Q457" s="29">
        <v>0</v>
      </c>
      <c r="R457" s="29">
        <v>0</v>
      </c>
      <c r="S457" s="539"/>
      <c r="T457" s="621">
        <f>N457+P457+Q457+R457</f>
        <v>-2320.8669373647595</v>
      </c>
      <c r="U457" s="565">
        <f>T457/G457*100</f>
        <v>-7.591933867527062E-2</v>
      </c>
      <c r="V457" s="549">
        <f>T457-J457</f>
        <v>-61.73152254162278</v>
      </c>
      <c r="W457" s="541">
        <f>U457/I457-1</f>
        <v>2.7325286539521265E-2</v>
      </c>
      <c r="X457" s="542"/>
      <c r="Z457" s="738"/>
      <c r="AB457" s="738"/>
      <c r="AD457" s="738"/>
      <c r="AF457" s="744"/>
    </row>
    <row r="458" spans="1:32">
      <c r="A458" s="6"/>
      <c r="B458" s="58"/>
      <c r="C458" s="10"/>
      <c r="D458" s="58"/>
      <c r="E458" s="30"/>
      <c r="F458" s="58"/>
      <c r="G458" s="536"/>
      <c r="H458" s="539"/>
      <c r="I458" s="539"/>
      <c r="J458" s="539"/>
      <c r="K458" s="539"/>
      <c r="L458" s="538"/>
      <c r="M458" s="538"/>
      <c r="N458" s="538"/>
      <c r="O458" s="564"/>
      <c r="P458" s="564"/>
      <c r="Q458" s="538"/>
      <c r="R458" s="538"/>
      <c r="S458" s="539"/>
      <c r="T458" s="539"/>
      <c r="U458" s="539"/>
      <c r="V458" s="534"/>
      <c r="W458" s="534"/>
      <c r="X458" s="530"/>
      <c r="Z458" s="738"/>
      <c r="AB458" s="738"/>
      <c r="AD458" s="738"/>
      <c r="AF458" s="744"/>
    </row>
    <row r="459" spans="1:32" ht="12.95" thickBot="1">
      <c r="A459" s="6">
        <f>MAX(A$417:A458)+1</f>
        <v>219</v>
      </c>
      <c r="B459" s="58"/>
      <c r="C459" s="10" t="s">
        <v>340</v>
      </c>
      <c r="D459" s="58"/>
      <c r="E459" s="30"/>
      <c r="F459" s="58"/>
      <c r="G459" s="588">
        <f>G451</f>
        <v>3238864.4996673875</v>
      </c>
      <c r="H459" s="539"/>
      <c r="I459" s="651">
        <f>J459/G459*100</f>
        <v>16.901952424197837</v>
      </c>
      <c r="J459" s="627">
        <f>J453+J455+J457</f>
        <v>547431.3368180152</v>
      </c>
      <c r="K459" s="539"/>
      <c r="L459" s="628">
        <f t="shared" ref="L459:T459" si="168">L453+L455+L457</f>
        <v>28884.146068647893</v>
      </c>
      <c r="M459" s="628">
        <f t="shared" si="168"/>
        <v>7786.8639725367757</v>
      </c>
      <c r="N459" s="628">
        <f t="shared" si="168"/>
        <v>510760.32677683054</v>
      </c>
      <c r="O459" s="564"/>
      <c r="P459" s="628">
        <f t="shared" si="168"/>
        <v>13956.672282196536</v>
      </c>
      <c r="Q459" s="628">
        <f t="shared" si="168"/>
        <v>39316.961995591795</v>
      </c>
      <c r="R459" s="628">
        <f t="shared" si="168"/>
        <v>7570.9035169613735</v>
      </c>
      <c r="S459" s="539"/>
      <c r="T459" s="627">
        <f t="shared" si="168"/>
        <v>571604.8645715802</v>
      </c>
      <c r="U459" s="651">
        <f>T459/G459*100</f>
        <v>17.648310530751772</v>
      </c>
      <c r="V459" s="627">
        <f>V453+V455+V457</f>
        <v>24173.527753565064</v>
      </c>
      <c r="W459" s="629">
        <f>U459/I459-1</f>
        <v>4.4158100071646444E-2</v>
      </c>
      <c r="X459" s="630"/>
      <c r="Z459" s="738"/>
      <c r="AB459" s="738"/>
      <c r="AD459" s="738"/>
      <c r="AF459" s="744"/>
    </row>
    <row r="460" spans="1:32" ht="12.95" thickTop="1">
      <c r="A460" s="6"/>
      <c r="B460" s="58"/>
      <c r="C460" s="10"/>
      <c r="D460" s="58"/>
      <c r="E460" s="30"/>
      <c r="F460" s="58"/>
      <c r="G460" s="536"/>
      <c r="H460" s="539"/>
      <c r="I460" s="680"/>
      <c r="J460" s="539"/>
      <c r="K460" s="539"/>
      <c r="L460" s="564"/>
      <c r="M460" s="564"/>
      <c r="N460" s="564"/>
      <c r="O460" s="564"/>
      <c r="P460" s="564"/>
      <c r="Q460" s="564"/>
      <c r="R460" s="564"/>
      <c r="S460" s="539"/>
      <c r="T460" s="539"/>
      <c r="U460" s="680"/>
      <c r="V460" s="539"/>
      <c r="W460" s="630"/>
      <c r="X460" s="630"/>
      <c r="Z460" s="738"/>
      <c r="AB460" s="738"/>
      <c r="AD460" s="738"/>
      <c r="AF460" s="744"/>
    </row>
    <row r="461" spans="1:32">
      <c r="L461" s="2"/>
      <c r="M461" s="2"/>
      <c r="N461" s="501"/>
      <c r="Q461" s="501"/>
      <c r="R461" s="501"/>
      <c r="V461" s="534"/>
      <c r="W461" s="501"/>
      <c r="Z461" s="738"/>
      <c r="AB461" s="738"/>
      <c r="AD461" s="738"/>
      <c r="AF461" s="744"/>
    </row>
    <row r="462" spans="1:32">
      <c r="L462" s="2"/>
      <c r="M462" s="2"/>
      <c r="N462" s="501"/>
      <c r="Q462" s="501"/>
      <c r="R462" s="501"/>
      <c r="V462" s="534"/>
      <c r="W462" s="501"/>
      <c r="Z462" s="738"/>
      <c r="AB462" s="738"/>
      <c r="AD462" s="738"/>
      <c r="AF462" s="744"/>
    </row>
    <row r="463" spans="1:32">
      <c r="L463" s="2"/>
      <c r="M463" s="2"/>
      <c r="N463" s="501"/>
      <c r="Q463" s="501"/>
      <c r="R463" s="501"/>
      <c r="V463" s="501"/>
      <c r="W463" s="501"/>
      <c r="Z463" s="738"/>
      <c r="AB463" s="738"/>
      <c r="AD463" s="738"/>
      <c r="AF463" s="744"/>
    </row>
    <row r="464" spans="1:32">
      <c r="A464" s="1156" t="s">
        <v>279</v>
      </c>
      <c r="B464" s="1156"/>
      <c r="C464" s="1156"/>
      <c r="D464" s="1156"/>
      <c r="E464" s="1156"/>
      <c r="F464" s="1156"/>
      <c r="G464" s="1156"/>
      <c r="H464" s="1156"/>
      <c r="I464" s="1156"/>
      <c r="J464" s="1156"/>
      <c r="K464" s="1156"/>
      <c r="L464" s="1156"/>
      <c r="M464" s="1156"/>
      <c r="N464" s="1156"/>
      <c r="O464" s="1156"/>
      <c r="P464" s="1156"/>
      <c r="Q464" s="1156"/>
      <c r="R464" s="1156"/>
      <c r="S464" s="1156"/>
      <c r="T464" s="1156"/>
      <c r="U464" s="1156"/>
      <c r="V464" s="1156"/>
      <c r="W464" s="1156"/>
      <c r="X464" s="531"/>
      <c r="Z464" s="738"/>
      <c r="AB464" s="738"/>
      <c r="AD464" s="738"/>
      <c r="AF464" s="744"/>
    </row>
    <row r="465" spans="1:32">
      <c r="A465" s="1156" t="s">
        <v>478</v>
      </c>
      <c r="B465" s="1156"/>
      <c r="C465" s="1156"/>
      <c r="D465" s="1156"/>
      <c r="E465" s="1156"/>
      <c r="F465" s="1156"/>
      <c r="G465" s="1156"/>
      <c r="H465" s="1156"/>
      <c r="I465" s="1156"/>
      <c r="J465" s="1156"/>
      <c r="K465" s="1156"/>
      <c r="L465" s="1156"/>
      <c r="M465" s="1156"/>
      <c r="N465" s="1156"/>
      <c r="O465" s="1156"/>
      <c r="P465" s="1156"/>
      <c r="Q465" s="1156"/>
      <c r="R465" s="1156"/>
      <c r="S465" s="1156"/>
      <c r="T465" s="1156"/>
      <c r="U465" s="1156"/>
      <c r="V465" s="1156"/>
      <c r="W465" s="1156"/>
      <c r="X465" s="737"/>
      <c r="Y465" s="737"/>
      <c r="Z465" s="738"/>
      <c r="AB465" s="738"/>
      <c r="AD465" s="738"/>
      <c r="AF465" s="744"/>
    </row>
    <row r="466" spans="1:32">
      <c r="A466" s="57"/>
      <c r="B466" s="57"/>
      <c r="C466" s="57"/>
      <c r="D466" s="57"/>
      <c r="E466" s="3"/>
      <c r="F466" s="57"/>
      <c r="G466" s="3"/>
      <c r="H466" s="57"/>
      <c r="I466" s="57"/>
      <c r="J466" s="57"/>
      <c r="K466" s="57"/>
      <c r="L466" s="57"/>
      <c r="M466" s="57"/>
      <c r="N466" s="501"/>
      <c r="O466" s="57"/>
      <c r="P466" s="57"/>
      <c r="Q466" s="501"/>
      <c r="R466" s="501"/>
      <c r="S466" s="57"/>
      <c r="T466" s="57"/>
      <c r="U466" s="57"/>
      <c r="V466" s="501"/>
      <c r="W466" s="501"/>
      <c r="Z466" s="738"/>
      <c r="AB466" s="738"/>
      <c r="AD466" s="738"/>
      <c r="AF466" s="744"/>
    </row>
    <row r="467" spans="1:32" ht="26.65" customHeight="1">
      <c r="A467" s="3"/>
      <c r="B467" s="3"/>
      <c r="C467" s="3"/>
      <c r="D467" s="3"/>
      <c r="E467" s="57"/>
      <c r="F467" s="1152" t="s">
        <v>231</v>
      </c>
      <c r="G467" s="1152"/>
      <c r="H467" s="1152"/>
      <c r="I467" s="1152"/>
      <c r="J467" s="1152"/>
      <c r="K467" s="3"/>
      <c r="L467" s="1157" t="s">
        <v>94</v>
      </c>
      <c r="M467" s="1157"/>
      <c r="N467" s="58"/>
      <c r="O467" s="3"/>
      <c r="P467" s="59"/>
      <c r="Q467" s="1157" t="s">
        <v>95</v>
      </c>
      <c r="R467" s="1157"/>
      <c r="S467" s="3"/>
      <c r="T467" s="1152" t="s">
        <v>472</v>
      </c>
      <c r="U467" s="1152"/>
      <c r="V467" s="1152"/>
      <c r="W467" s="1152"/>
      <c r="X467" s="6"/>
      <c r="Z467" s="738"/>
      <c r="AB467" s="738"/>
      <c r="AD467" s="738"/>
      <c r="AF467" s="744"/>
    </row>
    <row r="468" spans="1:32" ht="37.5">
      <c r="A468" s="5" t="s">
        <v>56</v>
      </c>
      <c r="B468" s="5"/>
      <c r="C468" s="5"/>
      <c r="D468" s="5"/>
      <c r="E468" s="6" t="s">
        <v>233</v>
      </c>
      <c r="F468" s="5"/>
      <c r="G468" s="17" t="s">
        <v>234</v>
      </c>
      <c r="H468" s="5"/>
      <c r="I468" s="17" t="s">
        <v>235</v>
      </c>
      <c r="J468" s="17" t="s">
        <v>101</v>
      </c>
      <c r="K468" s="5"/>
      <c r="L468" s="17" t="s">
        <v>106</v>
      </c>
      <c r="M468" s="17" t="s">
        <v>236</v>
      </c>
      <c r="N468" s="5" t="s">
        <v>239</v>
      </c>
      <c r="O468" s="5"/>
      <c r="P468" s="5" t="s">
        <v>240</v>
      </c>
      <c r="Q468" s="17" t="s">
        <v>106</v>
      </c>
      <c r="R468" s="17" t="s">
        <v>236</v>
      </c>
      <c r="S468" s="5"/>
      <c r="T468" s="17" t="s">
        <v>241</v>
      </c>
      <c r="U468" s="17" t="s">
        <v>242</v>
      </c>
      <c r="V468" s="17" t="s">
        <v>243</v>
      </c>
      <c r="W468" s="5" t="s">
        <v>244</v>
      </c>
      <c r="X468" s="5"/>
      <c r="Z468" s="738"/>
      <c r="AB468" s="738"/>
      <c r="AD468" s="738"/>
      <c r="AF468" s="744"/>
    </row>
    <row r="469" spans="1:32" ht="14.45">
      <c r="A469" s="237" t="s">
        <v>57</v>
      </c>
      <c r="B469" s="58"/>
      <c r="C469" s="59" t="s">
        <v>194</v>
      </c>
      <c r="D469" s="58"/>
      <c r="E469" s="237" t="s">
        <v>245</v>
      </c>
      <c r="F469" s="58"/>
      <c r="G469" s="237" t="s">
        <v>246</v>
      </c>
      <c r="H469" s="58"/>
      <c r="I469" s="237" t="s">
        <v>247</v>
      </c>
      <c r="J469" s="237" t="s">
        <v>248</v>
      </c>
      <c r="K469" s="58"/>
      <c r="L469" s="237" t="s">
        <v>248</v>
      </c>
      <c r="M469" s="237" t="s">
        <v>248</v>
      </c>
      <c r="N469" s="237" t="s">
        <v>248</v>
      </c>
      <c r="O469" s="58"/>
      <c r="P469" s="237" t="s">
        <v>248</v>
      </c>
      <c r="Q469" s="237" t="s">
        <v>248</v>
      </c>
      <c r="R469" s="237" t="s">
        <v>248</v>
      </c>
      <c r="S469" s="58"/>
      <c r="T469" s="237" t="s">
        <v>248</v>
      </c>
      <c r="U469" s="237" t="s">
        <v>247</v>
      </c>
      <c r="V469" s="237" t="s">
        <v>248</v>
      </c>
      <c r="W469" s="237" t="s">
        <v>249</v>
      </c>
      <c r="X469" s="6"/>
      <c r="Z469" s="738"/>
      <c r="AB469" s="738"/>
      <c r="AD469" s="738"/>
      <c r="AF469" s="744"/>
    </row>
    <row r="470" spans="1:32">
      <c r="A470" s="6"/>
      <c r="B470" s="58"/>
      <c r="C470" s="58"/>
      <c r="D470" s="58"/>
      <c r="E470" s="6"/>
      <c r="F470" s="58"/>
      <c r="G470" s="6" t="s">
        <v>9</v>
      </c>
      <c r="H470" s="6"/>
      <c r="I470" s="6" t="s">
        <v>10</v>
      </c>
      <c r="J470" s="6" t="s">
        <v>58</v>
      </c>
      <c r="K470" s="6"/>
      <c r="L470" s="123" t="s">
        <v>12</v>
      </c>
      <c r="M470" s="123" t="s">
        <v>13</v>
      </c>
      <c r="N470" s="6" t="s">
        <v>473</v>
      </c>
      <c r="O470" s="6"/>
      <c r="P470" s="6" t="s">
        <v>474</v>
      </c>
      <c r="Q470" s="6" t="s">
        <v>210</v>
      </c>
      <c r="R470" s="6" t="s">
        <v>118</v>
      </c>
      <c r="S470" s="6"/>
      <c r="T470" s="6" t="s">
        <v>475</v>
      </c>
      <c r="U470" s="6" t="s">
        <v>120</v>
      </c>
      <c r="V470" s="6" t="s">
        <v>476</v>
      </c>
      <c r="W470" s="6" t="s">
        <v>477</v>
      </c>
    </row>
    <row r="471" spans="1:32">
      <c r="A471" s="6"/>
      <c r="B471" s="58"/>
      <c r="C471" s="58"/>
      <c r="D471" s="58"/>
      <c r="E471" s="6"/>
      <c r="F471" s="58"/>
      <c r="G471" s="6"/>
      <c r="H471" s="6"/>
      <c r="I471" s="6"/>
      <c r="J471" s="6"/>
      <c r="K471" s="6"/>
      <c r="L471" s="123"/>
      <c r="M471" s="123"/>
      <c r="N471" s="6"/>
      <c r="O471" s="6"/>
      <c r="P471" s="6"/>
      <c r="Q471" s="6"/>
      <c r="R471" s="6"/>
      <c r="S471" s="6"/>
      <c r="T471" s="6"/>
      <c r="U471" s="6"/>
      <c r="V471" s="6"/>
      <c r="W471" s="6"/>
    </row>
    <row r="472" spans="1:32">
      <c r="A472" s="6"/>
      <c r="B472" s="58"/>
      <c r="C472" s="9" t="s">
        <v>147</v>
      </c>
      <c r="D472" s="58"/>
      <c r="E472" s="30"/>
      <c r="F472" s="58"/>
      <c r="G472" s="536"/>
      <c r="H472" s="58"/>
      <c r="I472" s="58"/>
      <c r="J472" s="58"/>
      <c r="K472" s="58"/>
      <c r="L472" s="538"/>
      <c r="M472" s="538"/>
      <c r="N472" s="538"/>
      <c r="O472" s="564"/>
      <c r="P472" s="564"/>
      <c r="Q472" s="538"/>
      <c r="R472" s="538"/>
      <c r="S472" s="58"/>
      <c r="T472" s="58"/>
      <c r="U472" s="58"/>
      <c r="V472" s="501"/>
      <c r="W472" s="501"/>
    </row>
    <row r="473" spans="1:32">
      <c r="A473" s="6">
        <v>220</v>
      </c>
      <c r="B473" s="58"/>
      <c r="C473" s="10" t="s">
        <v>258</v>
      </c>
      <c r="D473" s="58"/>
      <c r="E473" s="57" t="s">
        <v>259</v>
      </c>
      <c r="F473" s="58"/>
      <c r="G473" s="536">
        <v>96924.000000000073</v>
      </c>
      <c r="H473" s="616"/>
      <c r="I473" s="537">
        <v>76.58</v>
      </c>
      <c r="J473" s="624">
        <f>G473*I473/1000</f>
        <v>7422.4399200000053</v>
      </c>
      <c r="K473" s="616"/>
      <c r="L473" s="29">
        <v>0</v>
      </c>
      <c r="M473" s="29">
        <v>0</v>
      </c>
      <c r="N473" s="538">
        <f>J473-L473-M473</f>
        <v>7422.4399200000053</v>
      </c>
      <c r="O473" s="584"/>
      <c r="P473" s="29">
        <v>202.82029763638275</v>
      </c>
      <c r="Q473" s="29">
        <v>0</v>
      </c>
      <c r="R473" s="29">
        <v>0</v>
      </c>
      <c r="S473" s="616"/>
      <c r="T473" s="624">
        <f>N473+P473+Q473+R473</f>
        <v>7625.260217636388</v>
      </c>
      <c r="U473" s="682">
        <f>T473/G473*1000</f>
        <v>78.672570443196548</v>
      </c>
      <c r="V473" s="534">
        <f>T473-J473</f>
        <v>202.82029763638275</v>
      </c>
      <c r="W473" s="541">
        <f>U473/I473-1</f>
        <v>2.7325286539521487E-2</v>
      </c>
      <c r="X473" s="542"/>
      <c r="Z473" s="738"/>
      <c r="AB473" s="738"/>
      <c r="AD473" s="738"/>
      <c r="AF473" s="739"/>
    </row>
    <row r="474" spans="1:32">
      <c r="A474" s="6"/>
      <c r="B474" s="58"/>
      <c r="C474" s="521" t="s">
        <v>260</v>
      </c>
      <c r="D474" s="58"/>
      <c r="E474" s="30"/>
      <c r="F474" s="58"/>
      <c r="G474" s="536"/>
      <c r="H474" s="659"/>
      <c r="I474" s="637"/>
      <c r="J474" s="659"/>
      <c r="K474" s="659"/>
      <c r="L474" s="538"/>
      <c r="M474" s="538"/>
      <c r="N474" s="538"/>
      <c r="O474" s="585"/>
      <c r="P474" s="675"/>
      <c r="Q474" s="538"/>
      <c r="R474" s="538"/>
      <c r="S474" s="659"/>
      <c r="T474" s="624"/>
      <c r="U474" s="683"/>
      <c r="V474" s="534"/>
      <c r="W474" s="541"/>
      <c r="X474" s="542"/>
      <c r="Z474" s="738"/>
      <c r="AB474" s="738"/>
      <c r="AD474" s="738"/>
      <c r="AF474" s="744"/>
    </row>
    <row r="475" spans="1:32">
      <c r="A475" s="6">
        <f>MAX(A$472:A474)+1</f>
        <v>221</v>
      </c>
      <c r="B475" s="58"/>
      <c r="C475" s="526" t="s">
        <v>341</v>
      </c>
      <c r="D475" s="58"/>
      <c r="E475" s="522" t="s">
        <v>262</v>
      </c>
      <c r="F475" s="58"/>
      <c r="G475" s="536">
        <v>89658.492055731243</v>
      </c>
      <c r="H475" s="539"/>
      <c r="I475" s="684">
        <v>6.1420000000000003</v>
      </c>
      <c r="J475" s="539">
        <f>G475*I475/100</f>
        <v>5506.8245820630136</v>
      </c>
      <c r="K475" s="539"/>
      <c r="L475" s="29">
        <v>875.694491908327</v>
      </c>
      <c r="M475" s="29">
        <v>177.24151179358938</v>
      </c>
      <c r="N475" s="538">
        <f t="shared" ref="N475:N478" si="169">J475-L475-M475</f>
        <v>4453.8885783610967</v>
      </c>
      <c r="O475" s="564"/>
      <c r="P475" s="29">
        <v>121.70378161881854</v>
      </c>
      <c r="Q475" s="29">
        <v>511.15731549004573</v>
      </c>
      <c r="R475" s="29">
        <v>172.28932370878272</v>
      </c>
      <c r="S475" s="539"/>
      <c r="T475" s="624">
        <f t="shared" ref="T475:T478" si="170">N475+P475+Q475+R475</f>
        <v>5259.0389991787442</v>
      </c>
      <c r="U475" s="680">
        <f>T475/G475*100</f>
        <v>5.8656340058783876</v>
      </c>
      <c r="V475" s="549">
        <f>T475-J475</f>
        <v>-247.78558288426939</v>
      </c>
      <c r="W475" s="541"/>
      <c r="X475" s="542"/>
      <c r="Z475" s="738"/>
      <c r="AB475" s="738"/>
      <c r="AD475" s="738"/>
      <c r="AF475" s="744"/>
    </row>
    <row r="476" spans="1:32">
      <c r="A476" s="6">
        <f>MAX(A$472:A475)+1</f>
        <v>222</v>
      </c>
      <c r="B476" s="58"/>
      <c r="C476" s="526" t="s">
        <v>342</v>
      </c>
      <c r="D476" s="58"/>
      <c r="E476" s="522" t="s">
        <v>262</v>
      </c>
      <c r="F476" s="58"/>
      <c r="G476" s="536">
        <v>391300.86243960465</v>
      </c>
      <c r="H476" s="539"/>
      <c r="I476" s="684">
        <v>6.0324000000000009</v>
      </c>
      <c r="J476" s="539">
        <f t="shared" ref="J476:J478" si="171">G476*I476/100</f>
        <v>23604.833225806713</v>
      </c>
      <c r="K476" s="539"/>
      <c r="L476" s="29">
        <v>3751.4013682084897</v>
      </c>
      <c r="M476" s="29">
        <v>773.54364137443145</v>
      </c>
      <c r="N476" s="538">
        <f t="shared" si="169"/>
        <v>19079.888216223793</v>
      </c>
      <c r="O476" s="564"/>
      <c r="P476" s="29">
        <v>521.36341265035298</v>
      </c>
      <c r="Q476" s="29">
        <v>2191.0600209773543</v>
      </c>
      <c r="R476" s="29">
        <v>751.93056910300106</v>
      </c>
      <c r="S476" s="539"/>
      <c r="T476" s="624">
        <f t="shared" si="170"/>
        <v>22544.242218954503</v>
      </c>
      <c r="U476" s="680">
        <f>T476/G476*100</f>
        <v>5.7613576618257767</v>
      </c>
      <c r="V476" s="549">
        <f>T476-J476</f>
        <v>-1060.5910068522098</v>
      </c>
      <c r="W476" s="541"/>
      <c r="X476" s="542"/>
      <c r="Z476" s="738"/>
      <c r="AB476" s="738"/>
      <c r="AD476" s="738"/>
      <c r="AF476" s="744"/>
    </row>
    <row r="477" spans="1:32">
      <c r="A477" s="6">
        <f>MAX(A$472:A476)+1</f>
        <v>223</v>
      </c>
      <c r="B477" s="58"/>
      <c r="C477" s="526" t="s">
        <v>343</v>
      </c>
      <c r="D477" s="58"/>
      <c r="E477" s="522" t="s">
        <v>262</v>
      </c>
      <c r="F477" s="58"/>
      <c r="G477" s="536">
        <v>373385.94021697668</v>
      </c>
      <c r="H477" s="539"/>
      <c r="I477" s="684">
        <v>5.6587000000000005</v>
      </c>
      <c r="J477" s="539">
        <f t="shared" si="171"/>
        <v>21128.790199058061</v>
      </c>
      <c r="K477" s="539"/>
      <c r="L477" s="29">
        <v>3357.4863744310546</v>
      </c>
      <c r="M477" s="29">
        <v>738.12850304677124</v>
      </c>
      <c r="N477" s="538">
        <f t="shared" si="169"/>
        <v>17033.175321580238</v>
      </c>
      <c r="O477" s="564"/>
      <c r="P477" s="29">
        <v>465.4363963400865</v>
      </c>
      <c r="Q477" s="29">
        <v>1961.2274763357125</v>
      </c>
      <c r="R477" s="29">
        <v>717.50494177800169</v>
      </c>
      <c r="S477" s="539"/>
      <c r="T477" s="624">
        <f t="shared" si="170"/>
        <v>20177.34413603404</v>
      </c>
      <c r="U477" s="680">
        <f>T477/G477*100</f>
        <v>5.4038842823885842</v>
      </c>
      <c r="V477" s="549">
        <f>T477-J477</f>
        <v>-951.44606302402099</v>
      </c>
      <c r="W477" s="541"/>
      <c r="X477" s="542"/>
      <c r="Z477" s="738"/>
      <c r="AB477" s="738"/>
      <c r="AD477" s="738"/>
      <c r="AF477" s="744"/>
    </row>
    <row r="478" spans="1:32">
      <c r="A478" s="6">
        <f>MAX(A$472:A477)+1</f>
        <v>224</v>
      </c>
      <c r="B478" s="58"/>
      <c r="C478" s="526" t="s">
        <v>344</v>
      </c>
      <c r="D478" s="58"/>
      <c r="E478" s="522" t="s">
        <v>262</v>
      </c>
      <c r="F478" s="58"/>
      <c r="G478" s="536">
        <v>488968.96402614162</v>
      </c>
      <c r="H478" s="539"/>
      <c r="I478" s="684">
        <v>5.2688000000000006</v>
      </c>
      <c r="J478" s="539">
        <f t="shared" si="171"/>
        <v>25762.79677660935</v>
      </c>
      <c r="K478" s="539"/>
      <c r="L478" s="29">
        <v>4083.3798185823084</v>
      </c>
      <c r="M478" s="29">
        <v>966.61896064756138</v>
      </c>
      <c r="N478" s="538">
        <f t="shared" si="169"/>
        <v>20712.797997379483</v>
      </c>
      <c r="O478" s="564"/>
      <c r="P478" s="29">
        <v>565.98314031361951</v>
      </c>
      <c r="Q478" s="29">
        <v>2391.3676282228366</v>
      </c>
      <c r="R478" s="29">
        <v>939.61129832835377</v>
      </c>
      <c r="S478" s="539"/>
      <c r="T478" s="624">
        <f t="shared" si="170"/>
        <v>24609.760064244292</v>
      </c>
      <c r="U478" s="680">
        <f>T478/G478*100</f>
        <v>5.0329902048606474</v>
      </c>
      <c r="V478" s="549">
        <f>T478-J478</f>
        <v>-1153.0367123650576</v>
      </c>
      <c r="W478" s="541"/>
      <c r="X478" s="542"/>
      <c r="Z478" s="738"/>
      <c r="AB478" s="738"/>
      <c r="AD478" s="738"/>
      <c r="AF478" s="744"/>
    </row>
    <row r="479" spans="1:32">
      <c r="A479" s="6">
        <f>MAX(A$472:A478)+1</f>
        <v>225</v>
      </c>
      <c r="C479" s="521" t="s">
        <v>260</v>
      </c>
      <c r="G479" s="550">
        <f>SUM(G475:G478)</f>
        <v>1343314.2587384542</v>
      </c>
      <c r="H479" s="539"/>
      <c r="I479" s="556">
        <f>J479/G479*100</f>
        <v>5.6578901243044957</v>
      </c>
      <c r="J479" s="554">
        <f>SUM(J475:J478)</f>
        <v>76003.244783537142</v>
      </c>
      <c r="K479" s="539"/>
      <c r="L479" s="555">
        <f t="shared" ref="L479:M479" si="172">SUM(L475:L478)</f>
        <v>12067.962053130181</v>
      </c>
      <c r="M479" s="555">
        <f t="shared" si="172"/>
        <v>2655.5326168623533</v>
      </c>
      <c r="N479" s="555">
        <f>SUM(N475:N478)</f>
        <v>61279.750113544607</v>
      </c>
      <c r="O479" s="538"/>
      <c r="P479" s="555">
        <f t="shared" ref="P479:R479" si="173">SUM(P475:P478)</f>
        <v>1674.4867309228775</v>
      </c>
      <c r="Q479" s="555">
        <f t="shared" si="173"/>
        <v>7054.8124410259497</v>
      </c>
      <c r="R479" s="555">
        <f t="shared" si="173"/>
        <v>2581.3361329181394</v>
      </c>
      <c r="S479" s="538"/>
      <c r="T479" s="554">
        <f>SUM(T475:T478)</f>
        <v>72590.385418411577</v>
      </c>
      <c r="U479" s="677">
        <f>T479/G479*100</f>
        <v>5.4038275069441557</v>
      </c>
      <c r="V479" s="557">
        <f>SUM(V475:V478)</f>
        <v>-3412.8593651255578</v>
      </c>
      <c r="W479" s="558">
        <f>U479/I479-1</f>
        <v>-4.490412711780456E-2</v>
      </c>
      <c r="X479" s="559"/>
      <c r="Z479" s="738"/>
      <c r="AB479" s="738"/>
      <c r="AD479" s="738"/>
      <c r="AF479" s="744"/>
    </row>
    <row r="480" spans="1:32">
      <c r="A480" s="6"/>
      <c r="B480" s="58"/>
      <c r="C480" s="10"/>
      <c r="D480" s="58"/>
      <c r="E480" s="30"/>
      <c r="F480" s="58"/>
      <c r="G480" s="536"/>
      <c r="H480" s="539"/>
      <c r="I480" s="548"/>
      <c r="J480" s="539"/>
      <c r="K480" s="539"/>
      <c r="L480" s="538"/>
      <c r="M480" s="538"/>
      <c r="N480" s="538"/>
      <c r="O480" s="564"/>
      <c r="P480" s="564"/>
      <c r="Q480" s="538"/>
      <c r="R480" s="538"/>
      <c r="S480" s="539"/>
      <c r="T480" s="539"/>
      <c r="U480" s="539"/>
      <c r="V480" s="534"/>
      <c r="W480" s="534"/>
      <c r="X480" s="530"/>
      <c r="Z480" s="738"/>
      <c r="AB480" s="738"/>
      <c r="AD480" s="738"/>
      <c r="AF480" s="744"/>
    </row>
    <row r="481" spans="1:32">
      <c r="A481" s="6">
        <f>MAX(A$472:A480)+1</f>
        <v>226</v>
      </c>
      <c r="B481" s="58"/>
      <c r="C481" s="10" t="s">
        <v>266</v>
      </c>
      <c r="D481" s="58"/>
      <c r="E481" s="522"/>
      <c r="F481" s="58"/>
      <c r="G481" s="553">
        <f>G479</f>
        <v>1343314.2587384542</v>
      </c>
      <c r="H481" s="539"/>
      <c r="I481" s="556">
        <f>J481/G481*100</f>
        <v>6.2104369220263207</v>
      </c>
      <c r="J481" s="554">
        <f>J473+J479</f>
        <v>83425.684703537147</v>
      </c>
      <c r="K481" s="539"/>
      <c r="L481" s="619">
        <f>L473+L479</f>
        <v>12067.962053130181</v>
      </c>
      <c r="M481" s="619">
        <f t="shared" ref="M481:R481" si="174">M473+M479</f>
        <v>2655.5326168623533</v>
      </c>
      <c r="N481" s="619">
        <f>N473+N479</f>
        <v>68702.190033544612</v>
      </c>
      <c r="O481" s="564"/>
      <c r="P481" s="619">
        <f>P473+P479</f>
        <v>1877.3070285592603</v>
      </c>
      <c r="Q481" s="619">
        <f>Q473+Q479</f>
        <v>7054.8124410259497</v>
      </c>
      <c r="R481" s="619">
        <f t="shared" si="174"/>
        <v>2581.3361329181394</v>
      </c>
      <c r="S481" s="539"/>
      <c r="T481" s="554">
        <f>T473+T479</f>
        <v>80215.645636047964</v>
      </c>
      <c r="U481" s="677">
        <f>T481/G481*100</f>
        <v>5.971472804240225</v>
      </c>
      <c r="V481" s="685">
        <f>V473+V479</f>
        <v>-3210.0390674891751</v>
      </c>
      <c r="W481" s="558">
        <f>U481/I481-1</f>
        <v>-3.8477827049264612E-2</v>
      </c>
      <c r="X481" s="559"/>
      <c r="Z481" s="738"/>
      <c r="AB481" s="738"/>
      <c r="AD481" s="738"/>
      <c r="AF481" s="744"/>
    </row>
    <row r="482" spans="1:32">
      <c r="A482" s="6"/>
      <c r="B482" s="58"/>
      <c r="C482" s="526"/>
      <c r="D482" s="58"/>
      <c r="E482" s="522"/>
      <c r="F482" s="58"/>
      <c r="G482" s="29"/>
      <c r="H482" s="58"/>
      <c r="I482" s="58"/>
      <c r="J482" s="58"/>
      <c r="K482" s="58"/>
      <c r="L482" s="538"/>
      <c r="M482" s="538"/>
      <c r="N482" s="538"/>
      <c r="O482" s="564"/>
      <c r="P482" s="564"/>
      <c r="Q482" s="538"/>
      <c r="R482" s="538"/>
      <c r="S482" s="58"/>
      <c r="T482" s="58"/>
      <c r="U482" s="58"/>
      <c r="V482" s="501"/>
      <c r="W482" s="501"/>
      <c r="Z482" s="738"/>
      <c r="AB482" s="738"/>
      <c r="AD482" s="738"/>
      <c r="AF482" s="744"/>
    </row>
    <row r="483" spans="1:32">
      <c r="A483" s="6">
        <f>MAX(A$472:A482)+1</f>
        <v>227</v>
      </c>
      <c r="B483" s="58"/>
      <c r="C483" s="521" t="s">
        <v>339</v>
      </c>
      <c r="D483" s="58"/>
      <c r="E483" s="522" t="s">
        <v>262</v>
      </c>
      <c r="F483" s="58"/>
      <c r="G483" s="536">
        <v>1343314.2587384542</v>
      </c>
      <c r="H483" s="539"/>
      <c r="I483" s="684">
        <v>0.80449999999999999</v>
      </c>
      <c r="J483" s="539">
        <f>G483*I483/100</f>
        <v>10806.963211550865</v>
      </c>
      <c r="K483" s="539"/>
      <c r="L483" s="29">
        <v>0</v>
      </c>
      <c r="M483" s="29">
        <v>0</v>
      </c>
      <c r="N483" s="538">
        <f>J483-L483-M483</f>
        <v>10806.963211550865</v>
      </c>
      <c r="O483" s="564"/>
      <c r="P483" s="29">
        <v>295.30336637769506</v>
      </c>
      <c r="Q483" s="29">
        <v>0</v>
      </c>
      <c r="R483" s="29">
        <v>0</v>
      </c>
      <c r="S483" s="539"/>
      <c r="T483" s="539">
        <f>N483+P483+Q483+R483</f>
        <v>11102.26657792856</v>
      </c>
      <c r="U483" s="680">
        <f>T483/G483*100</f>
        <v>0.826483193021045</v>
      </c>
      <c r="V483" s="534">
        <f>T483-J483</f>
        <v>295.30336637769506</v>
      </c>
      <c r="W483" s="541">
        <f>U483/I483-1</f>
        <v>2.7325286539521487E-2</v>
      </c>
      <c r="X483" s="542"/>
      <c r="Z483" s="738"/>
      <c r="AB483" s="738"/>
      <c r="AD483" s="738"/>
      <c r="AF483" s="744"/>
    </row>
    <row r="484" spans="1:32">
      <c r="A484" s="6"/>
      <c r="B484" s="58"/>
      <c r="C484" s="10"/>
      <c r="D484" s="58"/>
      <c r="E484" s="30"/>
      <c r="F484" s="58"/>
      <c r="G484" s="624"/>
      <c r="H484" s="539"/>
      <c r="I484" s="548"/>
      <c r="J484" s="539"/>
      <c r="K484" s="539"/>
      <c r="L484" s="538"/>
      <c r="M484" s="538"/>
      <c r="N484" s="538"/>
      <c r="O484" s="564"/>
      <c r="P484" s="564"/>
      <c r="Q484" s="538"/>
      <c r="R484" s="538"/>
      <c r="S484" s="539"/>
      <c r="T484" s="539"/>
      <c r="U484" s="680"/>
      <c r="V484" s="534"/>
      <c r="W484" s="541"/>
      <c r="X484" s="542"/>
      <c r="Z484" s="738"/>
      <c r="AB484" s="738"/>
      <c r="AD484" s="738"/>
      <c r="AF484" s="744"/>
    </row>
    <row r="485" spans="1:32">
      <c r="A485" s="6">
        <f>MAX(A$472:A484)+1</f>
        <v>228</v>
      </c>
      <c r="B485" s="58"/>
      <c r="C485" s="10" t="s">
        <v>270</v>
      </c>
      <c r="D485" s="58"/>
      <c r="E485" s="522" t="s">
        <v>262</v>
      </c>
      <c r="F485" s="58"/>
      <c r="G485" s="536">
        <v>712317.1393682817</v>
      </c>
      <c r="H485" s="539"/>
      <c r="I485" s="689">
        <v>-7.3899999999999993E-2</v>
      </c>
      <c r="J485" s="621">
        <f t="shared" ref="J485" si="175">G485*I485/100</f>
        <v>-526.40236599316017</v>
      </c>
      <c r="K485" s="539"/>
      <c r="L485" s="29">
        <v>0</v>
      </c>
      <c r="M485" s="29">
        <v>0</v>
      </c>
      <c r="N485" s="538">
        <f>J485-L485-M485</f>
        <v>-526.40236599316017</v>
      </c>
      <c r="O485" s="564"/>
      <c r="P485" s="29">
        <v>-14.384095485845137</v>
      </c>
      <c r="Q485" s="29">
        <v>0</v>
      </c>
      <c r="R485" s="29">
        <v>0</v>
      </c>
      <c r="S485" s="539"/>
      <c r="T485" s="621">
        <f>N485+P485+Q485+R485</f>
        <v>-540.78646147900531</v>
      </c>
      <c r="U485" s="565">
        <f>T485/G485*100</f>
        <v>-7.5919338675270634E-2</v>
      </c>
      <c r="V485" s="549">
        <f>T485-J485</f>
        <v>-14.384095485845137</v>
      </c>
      <c r="W485" s="541">
        <f>U485/I485-1</f>
        <v>2.7325286539521487E-2</v>
      </c>
      <c r="X485" s="542"/>
      <c r="Z485" s="738"/>
      <c r="AB485" s="738"/>
      <c r="AD485" s="738"/>
      <c r="AF485" s="744"/>
    </row>
    <row r="486" spans="1:32">
      <c r="A486" s="6"/>
      <c r="B486" s="58"/>
      <c r="C486" s="10"/>
      <c r="D486" s="58"/>
      <c r="E486" s="30"/>
      <c r="F486" s="58"/>
      <c r="G486" s="536"/>
      <c r="H486" s="539"/>
      <c r="I486" s="539"/>
      <c r="J486" s="539"/>
      <c r="K486" s="539"/>
      <c r="L486" s="538"/>
      <c r="M486" s="538"/>
      <c r="N486" s="538"/>
      <c r="O486" s="564"/>
      <c r="P486" s="29"/>
      <c r="Q486" s="538"/>
      <c r="R486" s="538"/>
      <c r="S486" s="539"/>
      <c r="T486" s="539"/>
      <c r="U486" s="539"/>
      <c r="V486" s="534"/>
      <c r="W486" s="534"/>
      <c r="X486" s="530"/>
      <c r="Z486" s="738"/>
      <c r="AB486" s="738"/>
      <c r="AD486" s="738"/>
    </row>
    <row r="487" spans="1:32" ht="12.95" thickBot="1">
      <c r="A487" s="6">
        <f>MAX(A$472:A486)+1</f>
        <v>229</v>
      </c>
      <c r="B487" s="58"/>
      <c r="C487" s="10" t="s">
        <v>345</v>
      </c>
      <c r="D487" s="58"/>
      <c r="E487" s="30"/>
      <c r="F487" s="58"/>
      <c r="G487" s="588">
        <f>G479</f>
        <v>1343314.2587384542</v>
      </c>
      <c r="H487" s="539"/>
      <c r="I487" s="651">
        <f>J487/G487*100</f>
        <v>6.9757500852478964</v>
      </c>
      <c r="J487" s="627">
        <f>J481+J483+J485</f>
        <v>93706.245549094863</v>
      </c>
      <c r="K487" s="539"/>
      <c r="L487" s="628">
        <f>L481+L483+L485</f>
        <v>12067.962053130181</v>
      </c>
      <c r="M487" s="628">
        <f t="shared" ref="M487:R487" si="176">M481+M483+M485</f>
        <v>2655.5326168623533</v>
      </c>
      <c r="N487" s="628">
        <f t="shared" si="176"/>
        <v>78982.750879102328</v>
      </c>
      <c r="O487" s="564"/>
      <c r="P487" s="589">
        <f>SUM(P481+P483+P485)</f>
        <v>2158.2262994511102</v>
      </c>
      <c r="Q487" s="628">
        <f>Q481+Q483+Q485</f>
        <v>7054.8124410259497</v>
      </c>
      <c r="R487" s="628">
        <f t="shared" si="176"/>
        <v>2581.3361329181394</v>
      </c>
      <c r="S487" s="539"/>
      <c r="T487" s="627">
        <f>T481+T483+T485</f>
        <v>90777.125752497523</v>
      </c>
      <c r="U487" s="651">
        <f>T487/G487*100</f>
        <v>6.7576983689392964</v>
      </c>
      <c r="V487" s="638">
        <f t="shared" ref="V487" si="177">V481+V483+V485</f>
        <v>-2929.1197965973251</v>
      </c>
      <c r="W487" s="602">
        <f>U487/I487-1</f>
        <v>-3.1258533296616986E-2</v>
      </c>
      <c r="X487" s="559"/>
      <c r="Z487" s="738"/>
      <c r="AB487" s="738"/>
      <c r="AD487" s="738"/>
      <c r="AF487" s="744"/>
    </row>
    <row r="488" spans="1:32" ht="12.95" thickTop="1">
      <c r="A488" s="6"/>
      <c r="L488" s="2"/>
      <c r="M488" s="2"/>
      <c r="N488" s="501"/>
      <c r="Q488" s="501"/>
      <c r="R488" s="501"/>
      <c r="V488" s="534"/>
      <c r="W488" s="501"/>
    </row>
    <row r="489" spans="1:32">
      <c r="A489" s="6"/>
      <c r="B489" s="58"/>
      <c r="C489" s="9" t="s">
        <v>148</v>
      </c>
      <c r="D489" s="58"/>
      <c r="E489" s="30"/>
      <c r="F489" s="58"/>
      <c r="G489" s="29"/>
      <c r="H489" s="58"/>
      <c r="I489" s="58"/>
      <c r="J489" s="58"/>
      <c r="K489" s="58"/>
      <c r="L489" s="538"/>
      <c r="M489" s="538"/>
      <c r="N489" s="538"/>
      <c r="O489" s="564"/>
      <c r="P489" s="564"/>
      <c r="Q489" s="538"/>
      <c r="R489" s="538"/>
      <c r="S489" s="58"/>
      <c r="T489" s="58"/>
      <c r="U489" s="58"/>
      <c r="V489" s="501"/>
      <c r="W489" s="501"/>
    </row>
    <row r="490" spans="1:32">
      <c r="A490" s="6"/>
      <c r="B490" s="58"/>
      <c r="C490" s="521" t="s">
        <v>280</v>
      </c>
      <c r="D490" s="58"/>
      <c r="E490" s="30"/>
      <c r="F490" s="58"/>
      <c r="G490" s="29"/>
      <c r="H490" s="58"/>
      <c r="I490" s="58"/>
      <c r="J490" s="58"/>
      <c r="K490" s="58"/>
      <c r="L490" s="538"/>
      <c r="M490" s="538"/>
      <c r="N490" s="538"/>
      <c r="O490" s="564"/>
      <c r="P490" s="564"/>
      <c r="Q490" s="538"/>
      <c r="R490" s="538"/>
      <c r="S490" s="58"/>
      <c r="T490" s="58"/>
      <c r="U490" s="58"/>
      <c r="V490" s="501"/>
      <c r="W490" s="501"/>
    </row>
    <row r="491" spans="1:32">
      <c r="A491" s="6">
        <f>MAX(A$472:A490)+1</f>
        <v>230</v>
      </c>
      <c r="B491" s="58"/>
      <c r="C491" s="526" t="s">
        <v>346</v>
      </c>
      <c r="D491" s="58"/>
      <c r="E491" s="522" t="s">
        <v>281</v>
      </c>
      <c r="F491" s="58"/>
      <c r="G491" s="29">
        <v>20879.34</v>
      </c>
      <c r="H491" s="58"/>
      <c r="I491" s="684">
        <v>69.394599999999997</v>
      </c>
      <c r="J491" s="539">
        <f>G491*I491/100</f>
        <v>14489.134475639999</v>
      </c>
      <c r="K491" s="58"/>
      <c r="L491" s="29">
        <v>1995.4594031400002</v>
      </c>
      <c r="M491" s="29">
        <v>0</v>
      </c>
      <c r="N491" s="538">
        <f>J491-L491-M491</f>
        <v>12493.675072499998</v>
      </c>
      <c r="O491" s="564"/>
      <c r="P491" s="29">
        <v>341.39325128773999</v>
      </c>
      <c r="Q491" s="29">
        <v>2105.7548294816397</v>
      </c>
      <c r="R491" s="29">
        <v>0</v>
      </c>
      <c r="S491" s="539"/>
      <c r="T491" s="564">
        <f>N491+P491+Q491+R491</f>
        <v>14940.823153269379</v>
      </c>
      <c r="U491" s="548">
        <f>T491/G491*100</f>
        <v>71.55792833140022</v>
      </c>
      <c r="V491" s="534">
        <f>T491-J491</f>
        <v>451.68867762937953</v>
      </c>
      <c r="W491" s="541"/>
      <c r="X491" s="542"/>
      <c r="Z491" s="738"/>
      <c r="AB491" s="738"/>
      <c r="AD491" s="738"/>
      <c r="AF491" s="744"/>
    </row>
    <row r="492" spans="1:32">
      <c r="A492" s="6">
        <f>MAX(A$472:A491)+1</f>
        <v>231</v>
      </c>
      <c r="B492" s="58"/>
      <c r="C492" s="526" t="s">
        <v>347</v>
      </c>
      <c r="D492" s="58"/>
      <c r="E492" s="522" t="s">
        <v>281</v>
      </c>
      <c r="F492" s="58"/>
      <c r="G492" s="29">
        <v>20175.232</v>
      </c>
      <c r="H492" s="58"/>
      <c r="I492" s="684">
        <v>33.057699999999997</v>
      </c>
      <c r="J492" s="539">
        <f t="shared" ref="J492:J493" si="178">G492*I492/100</f>
        <v>6669.4676688639993</v>
      </c>
      <c r="K492" s="58"/>
      <c r="L492" s="29">
        <v>864.54904166400001</v>
      </c>
      <c r="M492" s="29">
        <v>0</v>
      </c>
      <c r="N492" s="538">
        <f t="shared" ref="N492:N493" si="179">J492-L492-M492</f>
        <v>5804.9186271999988</v>
      </c>
      <c r="O492" s="564"/>
      <c r="P492" s="29">
        <v>158.62106482684612</v>
      </c>
      <c r="Q492" s="29">
        <v>969.29625281579604</v>
      </c>
      <c r="R492" s="29">
        <v>0</v>
      </c>
      <c r="S492" s="539"/>
      <c r="T492" s="564">
        <f t="shared" ref="T492:T493" si="180">N492+P492+Q492+R492</f>
        <v>6932.8359448426409</v>
      </c>
      <c r="U492" s="548">
        <f>T492/G492*100</f>
        <v>34.363103952621913</v>
      </c>
      <c r="V492" s="534">
        <f>T492-J492</f>
        <v>263.36827597864158</v>
      </c>
      <c r="W492" s="541"/>
      <c r="X492" s="542"/>
      <c r="Z492" s="738"/>
      <c r="AB492" s="738"/>
      <c r="AD492" s="738"/>
      <c r="AF492" s="744"/>
    </row>
    <row r="493" spans="1:32">
      <c r="A493" s="6">
        <f>MAX(A$472:A492)+1</f>
        <v>232</v>
      </c>
      <c r="C493" s="526" t="s">
        <v>348</v>
      </c>
      <c r="E493" s="522" t="s">
        <v>281</v>
      </c>
      <c r="G493" s="29">
        <v>5781.4719999999998</v>
      </c>
      <c r="I493" s="684">
        <v>28.335999999999999</v>
      </c>
      <c r="J493" s="539">
        <f t="shared" si="178"/>
        <v>1638.2379059199998</v>
      </c>
      <c r="L493" s="29">
        <v>208.138773472</v>
      </c>
      <c r="M493" s="29">
        <v>0</v>
      </c>
      <c r="N493" s="538">
        <f t="shared" si="179"/>
        <v>1430.0991324479999</v>
      </c>
      <c r="O493" s="64"/>
      <c r="P493" s="29">
        <v>39.077868574062677</v>
      </c>
      <c r="Q493" s="29">
        <v>238.09064565111296</v>
      </c>
      <c r="R493" s="29">
        <v>0</v>
      </c>
      <c r="S493" s="567"/>
      <c r="T493" s="564">
        <f t="shared" si="180"/>
        <v>1707.2676466731755</v>
      </c>
      <c r="U493" s="548">
        <f>T493/G493*100</f>
        <v>29.529982099250425</v>
      </c>
      <c r="V493" s="534">
        <f>T493-J493</f>
        <v>69.029740753175702</v>
      </c>
      <c r="W493" s="541"/>
      <c r="X493" s="542"/>
      <c r="Z493" s="738"/>
      <c r="AB493" s="738"/>
      <c r="AD493" s="738"/>
      <c r="AF493" s="744"/>
    </row>
    <row r="494" spans="1:32">
      <c r="A494" s="6">
        <f>MAX(A$472:A493)+1</f>
        <v>233</v>
      </c>
      <c r="B494" s="58"/>
      <c r="C494" s="521" t="s">
        <v>280</v>
      </c>
      <c r="D494" s="58"/>
      <c r="E494" s="574"/>
      <c r="F494" s="58"/>
      <c r="G494" s="411">
        <f>SUM(G491:G493)</f>
        <v>46836.044000000002</v>
      </c>
      <c r="H494" s="58"/>
      <c r="I494" s="556">
        <f>J494/G494*100</f>
        <v>48.673709612246498</v>
      </c>
      <c r="J494" s="554">
        <f>SUM(J491:J493)</f>
        <v>22796.840050423998</v>
      </c>
      <c r="K494" s="58"/>
      <c r="L494" s="619">
        <f>SUM(L491:L493)</f>
        <v>3068.1472182760003</v>
      </c>
      <c r="M494" s="619">
        <f t="shared" ref="M494:N494" si="181">SUM(M491:M493)</f>
        <v>0</v>
      </c>
      <c r="N494" s="619">
        <f t="shared" si="181"/>
        <v>19728.692832147994</v>
      </c>
      <c r="O494" s="564"/>
      <c r="P494" s="619">
        <f>SUM(P491:P493)</f>
        <v>539.09218468864879</v>
      </c>
      <c r="Q494" s="619">
        <f t="shared" ref="Q494:R494" si="182">SUM(Q491:Q493)</f>
        <v>3313.1417279485486</v>
      </c>
      <c r="R494" s="619">
        <f t="shared" si="182"/>
        <v>0</v>
      </c>
      <c r="S494" s="686"/>
      <c r="T494" s="619">
        <f>SUM(T491:T493)</f>
        <v>23580.926744785196</v>
      </c>
      <c r="U494" s="556">
        <f>T494/G494*100</f>
        <v>50.347819181280975</v>
      </c>
      <c r="V494" s="552">
        <f>SUM(V491:V493)</f>
        <v>784.08669436119681</v>
      </c>
      <c r="W494" s="562">
        <f>U494/I494-1</f>
        <v>3.4394534182232706E-2</v>
      </c>
      <c r="X494" s="542"/>
      <c r="Z494" s="738"/>
      <c r="AB494" s="738"/>
      <c r="AD494" s="738"/>
      <c r="AF494" s="744"/>
    </row>
    <row r="495" spans="1:32">
      <c r="A495" s="6"/>
      <c r="B495" s="58"/>
      <c r="C495" s="10"/>
      <c r="D495" s="58"/>
      <c r="E495" s="30"/>
      <c r="F495" s="58"/>
      <c r="G495" s="129"/>
      <c r="H495" s="58"/>
      <c r="I495" s="548"/>
      <c r="J495" s="539"/>
      <c r="K495" s="58"/>
      <c r="L495" s="501"/>
      <c r="M495" s="501"/>
      <c r="N495" s="534"/>
      <c r="O495" s="58"/>
      <c r="P495" s="539"/>
      <c r="Q495" s="534"/>
      <c r="R495" s="534"/>
      <c r="S495" s="539"/>
      <c r="T495" s="539"/>
      <c r="U495" s="548"/>
      <c r="V495" s="534"/>
      <c r="W495" s="541"/>
      <c r="X495" s="542"/>
      <c r="Z495" s="738"/>
      <c r="AB495" s="738"/>
      <c r="AD495" s="738"/>
      <c r="AF495" s="744"/>
    </row>
    <row r="496" spans="1:32">
      <c r="A496" s="6"/>
      <c r="B496" s="58"/>
      <c r="C496" s="521" t="s">
        <v>260</v>
      </c>
      <c r="D496" s="58"/>
      <c r="E496" s="30"/>
      <c r="F496" s="58"/>
      <c r="G496" s="29"/>
      <c r="H496" s="58"/>
      <c r="I496" s="548"/>
      <c r="J496" s="539"/>
      <c r="K496" s="58"/>
      <c r="L496" s="534"/>
      <c r="M496" s="534"/>
      <c r="N496" s="534"/>
      <c r="O496" s="539"/>
      <c r="P496" s="539"/>
      <c r="Q496" s="534"/>
      <c r="R496" s="534"/>
      <c r="S496" s="539"/>
      <c r="T496" s="539"/>
      <c r="U496" s="548"/>
      <c r="V496" s="534"/>
      <c r="W496" s="541"/>
      <c r="X496" s="542"/>
      <c r="Z496" s="738"/>
      <c r="AB496" s="738"/>
      <c r="AD496" s="738"/>
      <c r="AF496" s="744"/>
    </row>
    <row r="497" spans="1:32">
      <c r="A497" s="6">
        <f>MAX(A$472:A496)+1</f>
        <v>234</v>
      </c>
      <c r="B497" s="58"/>
      <c r="C497" s="526" t="s">
        <v>349</v>
      </c>
      <c r="D497" s="58"/>
      <c r="E497" s="522" t="s">
        <v>262</v>
      </c>
      <c r="F497" s="58"/>
      <c r="G497" s="29">
        <v>592384.97535999969</v>
      </c>
      <c r="H497" s="58"/>
      <c r="I497" s="684">
        <v>1.8164</v>
      </c>
      <c r="J497" s="539">
        <f>G497*I497/100</f>
        <v>10760.080692439034</v>
      </c>
      <c r="K497" s="58"/>
      <c r="L497" s="29">
        <v>1883.7842216447991</v>
      </c>
      <c r="M497" s="29">
        <v>353.88968430340589</v>
      </c>
      <c r="N497" s="538">
        <f>J497-L497-M497</f>
        <v>8522.4067864908302</v>
      </c>
      <c r="O497" s="564"/>
      <c r="P497" s="29">
        <v>232.87720744722355</v>
      </c>
      <c r="Q497" s="29">
        <v>2009.0744229661855</v>
      </c>
      <c r="R497" s="29">
        <v>344.07938554043716</v>
      </c>
      <c r="S497" s="564"/>
      <c r="T497" s="564">
        <f>N497+P497+Q497+R497</f>
        <v>11108.437802444676</v>
      </c>
      <c r="U497" s="548">
        <f>T497/G497*100</f>
        <v>1.8752058651882488</v>
      </c>
      <c r="V497" s="539">
        <f>T497-J497</f>
        <v>348.35711000564152</v>
      </c>
      <c r="W497" s="541"/>
      <c r="X497" s="542"/>
      <c r="Z497" s="738"/>
      <c r="AB497" s="738"/>
      <c r="AD497" s="738"/>
      <c r="AF497" s="744"/>
    </row>
    <row r="498" spans="1:32">
      <c r="A498" s="6">
        <f>MAX(A$472:A497)+1</f>
        <v>235</v>
      </c>
      <c r="B498" s="58"/>
      <c r="C498" s="526" t="s">
        <v>350</v>
      </c>
      <c r="D498" s="58"/>
      <c r="E498" s="522" t="s">
        <v>262</v>
      </c>
      <c r="F498" s="58"/>
      <c r="G498" s="132">
        <v>0</v>
      </c>
      <c r="H498" s="58"/>
      <c r="I498" s="684">
        <v>0.65500000000000003</v>
      </c>
      <c r="J498" s="132">
        <f>G498*I498/100</f>
        <v>0</v>
      </c>
      <c r="K498" s="58"/>
      <c r="L498" s="538">
        <v>0</v>
      </c>
      <c r="M498" s="538">
        <v>0</v>
      </c>
      <c r="N498" s="538">
        <f>J498-L498-M498</f>
        <v>0</v>
      </c>
      <c r="O498" s="564"/>
      <c r="P498" s="564">
        <v>0</v>
      </c>
      <c r="Q498" s="538">
        <v>0</v>
      </c>
      <c r="R498" s="538">
        <v>0</v>
      </c>
      <c r="S498" s="564"/>
      <c r="T498" s="564">
        <f>N498+P498+Q498+R498</f>
        <v>0</v>
      </c>
      <c r="U498" s="597" t="str">
        <f>IFERROR(T498/G498*100,"-")</f>
        <v>-</v>
      </c>
      <c r="V498" s="538">
        <f>T498-J498</f>
        <v>0</v>
      </c>
      <c r="W498" s="541"/>
      <c r="X498" s="542"/>
      <c r="Z498" s="738"/>
      <c r="AB498" s="738"/>
      <c r="AD498" s="738"/>
      <c r="AF498" s="744"/>
    </row>
    <row r="499" spans="1:32">
      <c r="A499" s="6">
        <f>MAX(A$472:A498)+1</f>
        <v>236</v>
      </c>
      <c r="B499" s="58"/>
      <c r="C499" s="521" t="s">
        <v>260</v>
      </c>
      <c r="D499" s="58"/>
      <c r="E499" s="574"/>
      <c r="F499" s="58"/>
      <c r="G499" s="411">
        <f>SUM(G497:G498)</f>
        <v>592384.97535999969</v>
      </c>
      <c r="H499" s="58"/>
      <c r="I499" s="556">
        <f>J499/G499*100</f>
        <v>1.8164</v>
      </c>
      <c r="J499" s="554">
        <f>SUM(J497:J498)</f>
        <v>10760.080692439034</v>
      </c>
      <c r="K499" s="58"/>
      <c r="L499" s="555">
        <f>SUM(L497:L498)</f>
        <v>1883.7842216447991</v>
      </c>
      <c r="M499" s="555">
        <f t="shared" ref="M499:N499" si="183">SUM(M497:M498)</f>
        <v>353.88968430340589</v>
      </c>
      <c r="N499" s="555">
        <f t="shared" si="183"/>
        <v>8522.4067864908302</v>
      </c>
      <c r="O499" s="564"/>
      <c r="P499" s="619">
        <f>SUM(P497:P498)</f>
        <v>232.87720744722355</v>
      </c>
      <c r="Q499" s="619">
        <f t="shared" ref="Q499:R499" si="184">SUM(Q497:Q498)</f>
        <v>2009.0744229661855</v>
      </c>
      <c r="R499" s="619">
        <f t="shared" si="184"/>
        <v>344.07938554043716</v>
      </c>
      <c r="S499" s="564"/>
      <c r="T499" s="619">
        <f>SUM(T497:T498)</f>
        <v>11108.437802444676</v>
      </c>
      <c r="U499" s="556">
        <f>T499/G499*100</f>
        <v>1.8752058651882488</v>
      </c>
      <c r="V499" s="554">
        <f>SUM(V497:V498)</f>
        <v>348.35711000564152</v>
      </c>
      <c r="W499" s="562">
        <f>U499/I499-1</f>
        <v>3.2374953307778398E-2</v>
      </c>
      <c r="X499" s="542"/>
      <c r="Z499" s="738"/>
      <c r="AB499" s="738"/>
      <c r="AD499" s="738"/>
      <c r="AF499" s="744"/>
    </row>
    <row r="500" spans="1:32">
      <c r="A500" s="6"/>
      <c r="B500" s="58"/>
      <c r="C500" s="10"/>
      <c r="D500" s="58"/>
      <c r="E500" s="30"/>
      <c r="F500" s="58"/>
      <c r="G500" s="129"/>
      <c r="H500" s="58"/>
      <c r="I500" s="548"/>
      <c r="J500" s="539"/>
      <c r="K500" s="58"/>
      <c r="L500" s="538"/>
      <c r="M500" s="538"/>
      <c r="N500" s="538"/>
      <c r="O500" s="564"/>
      <c r="P500" s="564"/>
      <c r="Q500" s="538"/>
      <c r="R500" s="538"/>
      <c r="S500" s="564"/>
      <c r="T500" s="564"/>
      <c r="U500" s="548"/>
      <c r="V500" s="538"/>
      <c r="W500" s="541"/>
      <c r="X500" s="542"/>
      <c r="Z500" s="738"/>
      <c r="AB500" s="738"/>
      <c r="AD500" s="738"/>
      <c r="AF500" s="744"/>
    </row>
    <row r="501" spans="1:32">
      <c r="A501" s="6">
        <f>MAX(A$472:A500)+1</f>
        <v>237</v>
      </c>
      <c r="B501" s="58"/>
      <c r="C501" s="526" t="s">
        <v>351</v>
      </c>
      <c r="D501" s="58"/>
      <c r="E501" s="522" t="s">
        <v>262</v>
      </c>
      <c r="F501" s="58"/>
      <c r="G501" s="29">
        <v>57602.159589999996</v>
      </c>
      <c r="H501" s="58"/>
      <c r="I501" s="684">
        <v>2.0249000000000001</v>
      </c>
      <c r="J501" s="539">
        <f>G501*I501/100</f>
        <v>1166.3861295379099</v>
      </c>
      <c r="K501" s="58"/>
      <c r="L501" s="29">
        <v>183.17486749619999</v>
      </c>
      <c r="M501" s="29">
        <v>34.411423179852598</v>
      </c>
      <c r="N501" s="538">
        <f>J501-L501-M501</f>
        <v>948.79983886185732</v>
      </c>
      <c r="O501" s="564"/>
      <c r="P501" s="29">
        <v>25.926227465552074</v>
      </c>
      <c r="Q501" s="29">
        <v>195.35780000084677</v>
      </c>
      <c r="R501" s="29">
        <v>33.457492174720862</v>
      </c>
      <c r="S501" s="564"/>
      <c r="T501" s="564">
        <f>N501+P501+Q501+R501</f>
        <v>1203.5413585029769</v>
      </c>
      <c r="U501" s="548">
        <f>T501/G501*100</f>
        <v>2.0894031874317385</v>
      </c>
      <c r="V501" s="539">
        <f>T501-J501</f>
        <v>37.155228965066954</v>
      </c>
      <c r="W501" s="541">
        <f>U501/I501-1</f>
        <v>3.185499897858568E-2</v>
      </c>
      <c r="X501" s="542"/>
      <c r="Z501" s="738"/>
      <c r="AB501" s="738"/>
      <c r="AD501" s="738"/>
      <c r="AF501" s="744"/>
    </row>
    <row r="502" spans="1:32">
      <c r="A502" s="6">
        <f>MAX(A$472:A501)+1</f>
        <v>238</v>
      </c>
      <c r="B502" s="58"/>
      <c r="C502" s="526" t="s">
        <v>352</v>
      </c>
      <c r="D502" s="58"/>
      <c r="E502" s="522" t="s">
        <v>262</v>
      </c>
      <c r="F502" s="58"/>
      <c r="G502" s="29">
        <v>1276.4049299999999</v>
      </c>
      <c r="H502" s="58"/>
      <c r="I502" s="684">
        <v>7.2466999999999997</v>
      </c>
      <c r="J502" s="539">
        <f>G502*I502/100</f>
        <v>92.49723606230998</v>
      </c>
      <c r="K502" s="58"/>
      <c r="L502" s="29">
        <v>4.0589676774000001</v>
      </c>
      <c r="M502" s="29">
        <v>0</v>
      </c>
      <c r="N502" s="538">
        <f>J502-L502-M502</f>
        <v>88.438268384909975</v>
      </c>
      <c r="O502" s="564"/>
      <c r="P502" s="29">
        <v>2.4166010246767655</v>
      </c>
      <c r="Q502" s="29">
        <v>4.328928998667684</v>
      </c>
      <c r="R502" s="29">
        <v>0</v>
      </c>
      <c r="S502" s="564"/>
      <c r="T502" s="564">
        <f>N502+P502+Q502+R502</f>
        <v>95.183798408254418</v>
      </c>
      <c r="U502" s="548">
        <f>T502/G502*100</f>
        <v>7.45717884435423</v>
      </c>
      <c r="V502" s="539">
        <f>T502-J502</f>
        <v>2.6865623459444379</v>
      </c>
      <c r="W502" s="541">
        <f>U502/I502-1</f>
        <v>2.9044785123467198E-2</v>
      </c>
      <c r="X502" s="542"/>
      <c r="Z502" s="738"/>
      <c r="AB502" s="738"/>
      <c r="AD502" s="738"/>
      <c r="AF502" s="744"/>
    </row>
    <row r="503" spans="1:32">
      <c r="A503" s="6"/>
      <c r="B503" s="58"/>
      <c r="C503" s="10"/>
      <c r="D503" s="58"/>
      <c r="E503" s="30"/>
      <c r="F503" s="58"/>
      <c r="G503" s="132"/>
      <c r="H503" s="58"/>
      <c r="I503" s="548"/>
      <c r="J503" s="539"/>
      <c r="K503" s="58"/>
      <c r="L503" s="538"/>
      <c r="M503" s="538"/>
      <c r="N503" s="538"/>
      <c r="O503" s="564"/>
      <c r="P503" s="564"/>
      <c r="Q503" s="538"/>
      <c r="R503" s="538"/>
      <c r="S503" s="564"/>
      <c r="T503" s="564"/>
      <c r="U503" s="548"/>
      <c r="V503" s="538"/>
      <c r="W503" s="541"/>
      <c r="X503" s="542"/>
      <c r="Z503" s="738"/>
      <c r="AB503" s="738"/>
      <c r="AD503" s="738"/>
      <c r="AF503" s="744"/>
    </row>
    <row r="504" spans="1:32">
      <c r="A504" s="6">
        <f>MAX(A$472:A503)+1</f>
        <v>239</v>
      </c>
      <c r="B504" s="58"/>
      <c r="C504" s="10" t="s">
        <v>353</v>
      </c>
      <c r="D504" s="58"/>
      <c r="E504" s="30"/>
      <c r="F504" s="58"/>
      <c r="G504" s="411">
        <f>G499</f>
        <v>592384.97535999969</v>
      </c>
      <c r="H504" s="58"/>
      <c r="I504" s="556">
        <f>J504/G504*100</f>
        <v>5.8772260534300775</v>
      </c>
      <c r="J504" s="554">
        <f>J494+J499+J501+J502</f>
        <v>34815.80410846325</v>
      </c>
      <c r="K504" s="539"/>
      <c r="L504" s="619">
        <f t="shared" ref="L504:R504" si="185">L494+L499+L501+L502</f>
        <v>5139.1652750943995</v>
      </c>
      <c r="M504" s="619">
        <f t="shared" si="185"/>
        <v>388.30110748325848</v>
      </c>
      <c r="N504" s="619">
        <f>N494+N499+N501+N502</f>
        <v>29288.337725885591</v>
      </c>
      <c r="O504" s="564"/>
      <c r="P504" s="619">
        <f>P494+P499+P501+P502</f>
        <v>800.31222062610118</v>
      </c>
      <c r="Q504" s="619">
        <f t="shared" si="185"/>
        <v>5521.9028799142479</v>
      </c>
      <c r="R504" s="619">
        <f t="shared" si="185"/>
        <v>377.53687771515803</v>
      </c>
      <c r="S504" s="564"/>
      <c r="T504" s="619">
        <f>T494+T499+T501+T502</f>
        <v>35988.089704141101</v>
      </c>
      <c r="U504" s="556">
        <f>T504/G504*100</f>
        <v>6.0751185801548546</v>
      </c>
      <c r="V504" s="554">
        <f t="shared" ref="V504" si="186">V494+V499+V501+V502</f>
        <v>1172.2855956778496</v>
      </c>
      <c r="W504" s="656">
        <f>U504/I504-1</f>
        <v>3.3671076274032874E-2</v>
      </c>
      <c r="X504" s="630"/>
      <c r="Z504" s="738"/>
      <c r="AB504" s="738"/>
      <c r="AD504" s="738"/>
      <c r="AF504" s="744"/>
    </row>
    <row r="505" spans="1:32">
      <c r="A505" s="6"/>
      <c r="B505" s="58"/>
      <c r="D505" s="58"/>
      <c r="E505" s="30"/>
      <c r="F505" s="58"/>
      <c r="G505" s="132"/>
      <c r="H505" s="58"/>
      <c r="I505" s="548"/>
      <c r="J505" s="539"/>
      <c r="K505" s="58"/>
      <c r="L505" s="538"/>
      <c r="M505" s="538"/>
      <c r="N505" s="538"/>
      <c r="O505" s="564"/>
      <c r="P505" s="564"/>
      <c r="Q505" s="538"/>
      <c r="R505" s="538"/>
      <c r="S505" s="564"/>
      <c r="T505" s="564"/>
      <c r="U505" s="548"/>
      <c r="V505" s="538"/>
      <c r="W505" s="541"/>
      <c r="X505" s="542"/>
      <c r="Z505" s="738"/>
      <c r="AB505" s="738"/>
      <c r="AD505" s="738"/>
      <c r="AF505" s="744"/>
    </row>
    <row r="506" spans="1:32">
      <c r="A506" s="6"/>
      <c r="B506" s="58"/>
      <c r="C506" s="10" t="s">
        <v>354</v>
      </c>
      <c r="D506" s="58"/>
      <c r="E506" s="574"/>
      <c r="F506" s="58"/>
      <c r="G506" s="132"/>
      <c r="H506" s="58"/>
      <c r="I506" s="548"/>
      <c r="J506" s="539"/>
      <c r="K506" s="58"/>
      <c r="L506" s="538"/>
      <c r="M506" s="538"/>
      <c r="N506" s="538"/>
      <c r="O506" s="564"/>
      <c r="P506" s="564"/>
      <c r="Q506" s="538"/>
      <c r="R506" s="538"/>
      <c r="S506" s="564"/>
      <c r="T506" s="564"/>
      <c r="U506" s="548"/>
      <c r="V506" s="538"/>
      <c r="W506" s="541"/>
      <c r="X506" s="542"/>
      <c r="Z506" s="738"/>
      <c r="AB506" s="738"/>
      <c r="AD506" s="738"/>
      <c r="AF506" s="744"/>
    </row>
    <row r="507" spans="1:32">
      <c r="A507" s="6">
        <f>MAX(A$472:A506)+1</f>
        <v>240</v>
      </c>
      <c r="B507" s="58"/>
      <c r="C507" s="12" t="s">
        <v>258</v>
      </c>
      <c r="D507" s="58"/>
      <c r="E507" s="6" t="s">
        <v>259</v>
      </c>
      <c r="F507" s="58"/>
      <c r="G507" s="29">
        <v>36.000000000000014</v>
      </c>
      <c r="H507" s="58"/>
      <c r="I507" s="537">
        <v>755.88</v>
      </c>
      <c r="J507" s="539">
        <f>G507*I507/1000</f>
        <v>27.211680000000012</v>
      </c>
      <c r="K507" s="58"/>
      <c r="L507" s="29">
        <v>0</v>
      </c>
      <c r="M507" s="29">
        <v>0</v>
      </c>
      <c r="N507" s="538">
        <f>J507-L507-M507</f>
        <v>27.211680000000012</v>
      </c>
      <c r="O507" s="564"/>
      <c r="P507" s="29">
        <v>0.74356695322176591</v>
      </c>
      <c r="Q507" s="29">
        <v>0</v>
      </c>
      <c r="R507" s="29">
        <v>0</v>
      </c>
      <c r="S507" s="564"/>
      <c r="T507" s="564">
        <f>N507+P507+Q507+R507</f>
        <v>27.955246953221778</v>
      </c>
      <c r="U507" s="540">
        <f>T507/G507*1000</f>
        <v>776.53463758949351</v>
      </c>
      <c r="V507" s="539">
        <f>T507-J507</f>
        <v>0.74356695322176591</v>
      </c>
      <c r="W507" s="541">
        <f>U507/I507-1</f>
        <v>2.7325286539521487E-2</v>
      </c>
      <c r="X507" s="542"/>
      <c r="Z507" s="738"/>
      <c r="AB507" s="738"/>
      <c r="AD507" s="738"/>
      <c r="AF507" s="744"/>
    </row>
    <row r="508" spans="1:32">
      <c r="A508" s="6">
        <f>MAX(A$472:A507)+1</f>
        <v>241</v>
      </c>
      <c r="B508" s="58"/>
      <c r="C508" s="526" t="s">
        <v>260</v>
      </c>
      <c r="D508" s="58"/>
      <c r="E508" s="522" t="s">
        <v>262</v>
      </c>
      <c r="F508" s="58"/>
      <c r="G508" s="29">
        <v>238.00964000000002</v>
      </c>
      <c r="H508" s="58"/>
      <c r="I508" s="684">
        <v>3.4451999999999998</v>
      </c>
      <c r="J508" s="539">
        <f>G508*I508/100</f>
        <v>8.1999081172799997</v>
      </c>
      <c r="K508" s="58"/>
      <c r="L508" s="29">
        <v>1.7641274516800001</v>
      </c>
      <c r="M508" s="29">
        <v>1.85773206127288</v>
      </c>
      <c r="N508" s="538">
        <f t="shared" ref="N508:N510" si="187">J508-L508-M508</f>
        <v>4.5780486043271189</v>
      </c>
      <c r="O508" s="564"/>
      <c r="P508" s="29">
        <v>0.12509648990509525</v>
      </c>
      <c r="Q508" s="29">
        <v>1.2722303705276734</v>
      </c>
      <c r="R508" s="29">
        <v>1.8062332260397864</v>
      </c>
      <c r="S508" s="564"/>
      <c r="T508" s="564">
        <f t="shared" ref="T508:T509" si="188">N508+P508+Q508+R508</f>
        <v>7.7816086907996738</v>
      </c>
      <c r="U508" s="684">
        <v>3.1122513795327795</v>
      </c>
      <c r="V508" s="564">
        <f>T508-J508</f>
        <v>-0.41829942648032592</v>
      </c>
      <c r="W508" s="559">
        <f>U508/I508-1</f>
        <v>-9.664130397864279E-2</v>
      </c>
      <c r="X508" s="559"/>
      <c r="Z508" s="738"/>
      <c r="AB508" s="738"/>
      <c r="AD508" s="738"/>
      <c r="AF508" s="744"/>
    </row>
    <row r="509" spans="1:32">
      <c r="A509" s="6">
        <f>MAX(A$472:A508)+1</f>
        <v>242</v>
      </c>
      <c r="B509" s="58"/>
      <c r="C509" s="12" t="s">
        <v>355</v>
      </c>
      <c r="D509" s="58"/>
      <c r="E509" s="522" t="s">
        <v>262</v>
      </c>
      <c r="F509" s="58"/>
      <c r="G509" s="29">
        <v>2278.64</v>
      </c>
      <c r="H509" s="58"/>
      <c r="I509" s="684">
        <v>3.6536999999999997</v>
      </c>
      <c r="J509" s="539">
        <f>G509*I509/100</f>
        <v>83.254669679999992</v>
      </c>
      <c r="K509" s="58"/>
      <c r="L509" s="29">
        <v>16.889279679999998</v>
      </c>
      <c r="M509" s="29">
        <v>17.785424926901428</v>
      </c>
      <c r="N509" s="538">
        <f t="shared" si="187"/>
        <v>48.579965073098563</v>
      </c>
      <c r="O509" s="564"/>
      <c r="P509" s="29">
        <v>1.3274614657023633</v>
      </c>
      <c r="Q509" s="29">
        <v>12.179989900825769</v>
      </c>
      <c r="R509" s="29">
        <v>17.292388989720326</v>
      </c>
      <c r="S509" s="564"/>
      <c r="T509" s="564">
        <f t="shared" si="188"/>
        <v>79.379805429347016</v>
      </c>
      <c r="U509" s="548">
        <f>T509/G509*100</f>
        <v>3.4836483792677662</v>
      </c>
      <c r="V509" s="754">
        <f>T509-J509</f>
        <v>-3.8748642506529762</v>
      </c>
      <c r="W509" s="559">
        <f>U509/I509-1</f>
        <v>-4.6542305261032313E-2</v>
      </c>
      <c r="X509" s="559"/>
      <c r="Z509" s="738"/>
      <c r="AB509" s="738"/>
      <c r="AD509" s="738"/>
      <c r="AF509" s="744"/>
    </row>
    <row r="510" spans="1:32">
      <c r="A510" s="6"/>
      <c r="B510" s="58"/>
      <c r="C510" s="10"/>
      <c r="D510" s="58"/>
      <c r="E510" s="30"/>
      <c r="F510" s="58"/>
      <c r="G510" s="29"/>
      <c r="H510" s="58"/>
      <c r="I510" s="548"/>
      <c r="J510" s="539"/>
      <c r="K510" s="58"/>
      <c r="L510" s="538"/>
      <c r="M510" s="538"/>
      <c r="N510" s="538">
        <f t="shared" si="187"/>
        <v>0</v>
      </c>
      <c r="O510" s="564"/>
      <c r="P510" s="564"/>
      <c r="Q510" s="538"/>
      <c r="R510" s="538"/>
      <c r="S510" s="564"/>
      <c r="T510" s="564"/>
      <c r="U510" s="548"/>
      <c r="V510" s="671"/>
      <c r="W510" s="541"/>
      <c r="X510" s="542"/>
      <c r="Z510" s="738"/>
      <c r="AB510" s="738"/>
      <c r="AD510" s="738"/>
      <c r="AF510" s="744"/>
    </row>
    <row r="511" spans="1:32">
      <c r="A511" s="6">
        <f>MAX(A$472:A510)+1</f>
        <v>243</v>
      </c>
      <c r="B511" s="58"/>
      <c r="C511" s="10" t="s">
        <v>356</v>
      </c>
      <c r="D511" s="58"/>
      <c r="E511" s="30"/>
      <c r="F511" s="58"/>
      <c r="G511" s="411">
        <f>G508</f>
        <v>238.00964000000002</v>
      </c>
      <c r="H511" s="58"/>
      <c r="I511" s="556">
        <f>J511/G511*100</f>
        <v>49.857752735258956</v>
      </c>
      <c r="J511" s="554">
        <f>J507+J508+J509</f>
        <v>118.66625779728</v>
      </c>
      <c r="K511" s="58"/>
      <c r="L511" s="555">
        <f>SUM(L507:L510)</f>
        <v>18.653407131679998</v>
      </c>
      <c r="M511" s="555">
        <f t="shared" ref="M511:N511" si="189">SUM(M507:M510)</f>
        <v>19.643156988174308</v>
      </c>
      <c r="N511" s="555">
        <f t="shared" si="189"/>
        <v>80.369693677425687</v>
      </c>
      <c r="O511" s="564"/>
      <c r="P511" s="619">
        <f>SUM(P507:P510)</f>
        <v>2.1961249088292245</v>
      </c>
      <c r="Q511" s="619">
        <f t="shared" ref="Q511:R511" si="190">SUM(Q507:Q510)</f>
        <v>13.452220271353442</v>
      </c>
      <c r="R511" s="619">
        <f t="shared" si="190"/>
        <v>19.098622215760113</v>
      </c>
      <c r="S511" s="564"/>
      <c r="T511" s="619">
        <f t="shared" ref="T511" si="191">SUM(T507:T510)</f>
        <v>115.11666107336848</v>
      </c>
      <c r="U511" s="556">
        <f>T511/G511*100</f>
        <v>48.366385946959319</v>
      </c>
      <c r="V511" s="555">
        <f>SUM(V507:V510)</f>
        <v>-3.5495967239115362</v>
      </c>
      <c r="W511" s="558">
        <f>U511/I511-1</f>
        <v>-2.9912435007223181E-2</v>
      </c>
      <c r="X511" s="559"/>
      <c r="Z511" s="738"/>
      <c r="AB511" s="738"/>
      <c r="AD511" s="738"/>
      <c r="AF511" s="744"/>
    </row>
    <row r="512" spans="1:32">
      <c r="A512" s="6"/>
      <c r="B512" s="58"/>
      <c r="D512" s="58"/>
      <c r="E512" s="30"/>
      <c r="F512" s="58"/>
      <c r="G512" s="132"/>
      <c r="H512" s="58"/>
      <c r="I512" s="548"/>
      <c r="J512" s="539"/>
      <c r="K512" s="58"/>
      <c r="L512" s="538"/>
      <c r="M512" s="538"/>
      <c r="N512" s="538"/>
      <c r="O512" s="564"/>
      <c r="P512" s="564"/>
      <c r="Q512" s="538"/>
      <c r="R512" s="538"/>
      <c r="S512" s="564"/>
      <c r="T512" s="564"/>
      <c r="U512" s="548"/>
      <c r="V512" s="538"/>
      <c r="W512" s="541"/>
      <c r="X512" s="542"/>
      <c r="Z512" s="738"/>
      <c r="AB512" s="738"/>
      <c r="AD512" s="738"/>
      <c r="AF512" s="744"/>
    </row>
    <row r="513" spans="1:32">
      <c r="A513" s="6">
        <f>MAX(A$472:A512)+1</f>
        <v>244</v>
      </c>
      <c r="B513" s="58"/>
      <c r="C513" s="10" t="s">
        <v>357</v>
      </c>
      <c r="D513" s="58"/>
      <c r="E513" s="522" t="s">
        <v>262</v>
      </c>
      <c r="F513" s="58"/>
      <c r="G513" s="29">
        <v>16020.952840000002</v>
      </c>
      <c r="H513" s="58"/>
      <c r="I513" s="684">
        <v>0.20849999999999999</v>
      </c>
      <c r="J513" s="539">
        <f>G513*I513/100</f>
        <v>33.403686671400003</v>
      </c>
      <c r="K513" s="58"/>
      <c r="L513" s="29">
        <v>0</v>
      </c>
      <c r="M513" s="29">
        <v>0</v>
      </c>
      <c r="N513" s="538">
        <f>J513-L513-M513</f>
        <v>33.403686671400003</v>
      </c>
      <c r="O513" s="564"/>
      <c r="P513" s="29">
        <v>0.91276530977239645</v>
      </c>
      <c r="Q513" s="29">
        <v>0</v>
      </c>
      <c r="R513" s="29">
        <v>0</v>
      </c>
      <c r="S513" s="564"/>
      <c r="T513" s="564">
        <f>N513+P513+Q513+R513</f>
        <v>34.316451981172399</v>
      </c>
      <c r="U513" s="548">
        <f>T513/G513*100</f>
        <v>0.21419732224349022</v>
      </c>
      <c r="V513" s="539">
        <f>T513-J513</f>
        <v>0.91276530977239645</v>
      </c>
      <c r="W513" s="541">
        <f>U513/I513-1</f>
        <v>2.7325286539521487E-2</v>
      </c>
      <c r="X513" s="542"/>
      <c r="Z513" s="738"/>
      <c r="AB513" s="738"/>
      <c r="AD513" s="738"/>
      <c r="AF513" s="744"/>
    </row>
    <row r="514" spans="1:32">
      <c r="A514" s="6">
        <f>MAX(A$472:A513)+1</f>
        <v>245</v>
      </c>
      <c r="B514" s="58"/>
      <c r="C514" s="10" t="s">
        <v>270</v>
      </c>
      <c r="D514" s="58"/>
      <c r="E514" s="522" t="s">
        <v>262</v>
      </c>
      <c r="F514" s="58"/>
      <c r="G514" s="29">
        <v>59361.556339999981</v>
      </c>
      <c r="H514" s="58"/>
      <c r="I514" s="689">
        <v>-7.3899999999999993E-2</v>
      </c>
      <c r="J514" s="621">
        <f>G514*I514/100</f>
        <v>-43.868190135259987</v>
      </c>
      <c r="K514" s="58"/>
      <c r="L514" s="29">
        <v>0</v>
      </c>
      <c r="M514" s="29">
        <v>0</v>
      </c>
      <c r="N514" s="538">
        <f>J514-L514-M514</f>
        <v>-43.868190135259987</v>
      </c>
      <c r="O514" s="564"/>
      <c r="P514" s="29">
        <v>-1.1987108654161887</v>
      </c>
      <c r="Q514" s="29">
        <v>0</v>
      </c>
      <c r="R514" s="29">
        <v>0</v>
      </c>
      <c r="S514" s="564"/>
      <c r="T514" s="564">
        <f>N514+P514+Q514+R514</f>
        <v>-45.066901000676175</v>
      </c>
      <c r="U514" s="750">
        <f>T514/G514*100</f>
        <v>-7.5919338675270634E-2</v>
      </c>
      <c r="V514" s="564">
        <f>T514-J514</f>
        <v>-1.1987108654161887</v>
      </c>
      <c r="W514" s="541">
        <f>U514/I514-1</f>
        <v>2.7325286539521487E-2</v>
      </c>
      <c r="X514" s="542"/>
      <c r="Z514" s="738"/>
      <c r="AB514" s="738"/>
      <c r="AD514" s="738"/>
      <c r="AF514" s="744"/>
    </row>
    <row r="515" spans="1:32">
      <c r="A515" s="6"/>
      <c r="B515" s="58"/>
      <c r="C515" s="10"/>
      <c r="D515" s="58"/>
      <c r="E515" s="574"/>
      <c r="F515" s="58"/>
      <c r="G515" s="132"/>
      <c r="H515" s="58"/>
      <c r="I515" s="684"/>
      <c r="J515" s="539"/>
      <c r="K515" s="58"/>
      <c r="L515" s="538"/>
      <c r="M515" s="538"/>
      <c r="N515" s="538"/>
      <c r="O515" s="564"/>
      <c r="P515" s="564"/>
      <c r="Q515" s="538"/>
      <c r="R515" s="538"/>
      <c r="S515" s="564"/>
      <c r="T515" s="564"/>
      <c r="U515" s="548"/>
      <c r="V515" s="539"/>
      <c r="W515" s="541"/>
      <c r="X515" s="542"/>
      <c r="Z515" s="738"/>
      <c r="AB515" s="738"/>
      <c r="AD515" s="738"/>
      <c r="AF515" s="744"/>
    </row>
    <row r="516" spans="1:32" ht="12.95" thickBot="1">
      <c r="A516" s="6">
        <v>246</v>
      </c>
      <c r="B516" s="58"/>
      <c r="C516" s="10" t="s">
        <v>358</v>
      </c>
      <c r="D516" s="58"/>
      <c r="E516" s="30"/>
      <c r="F516" s="58"/>
      <c r="G516" s="439">
        <f>G504+G511</f>
        <v>592622.98499999964</v>
      </c>
      <c r="H516" s="58"/>
      <c r="I516" s="572">
        <f>J516/G516*100</f>
        <v>5.8931237476043377</v>
      </c>
      <c r="J516" s="627">
        <f>J504+J511+J513+J514</f>
        <v>34924.005862796672</v>
      </c>
      <c r="K516" s="539"/>
      <c r="L516" s="628">
        <f t="shared" ref="L516:T516" si="192">L504+L511+L513+L514</f>
        <v>5157.8186822260795</v>
      </c>
      <c r="M516" s="628">
        <f t="shared" si="192"/>
        <v>407.9442644714328</v>
      </c>
      <c r="N516" s="628">
        <f t="shared" si="192"/>
        <v>29358.242916099156</v>
      </c>
      <c r="O516" s="564"/>
      <c r="P516" s="628">
        <f t="shared" si="192"/>
        <v>802.22239997928659</v>
      </c>
      <c r="Q516" s="628">
        <f t="shared" si="192"/>
        <v>5535.3551001856013</v>
      </c>
      <c r="R516" s="628">
        <f t="shared" si="192"/>
        <v>396.63549993091812</v>
      </c>
      <c r="S516" s="564"/>
      <c r="T516" s="628">
        <f t="shared" si="192"/>
        <v>36092.455916194966</v>
      </c>
      <c r="U516" s="572">
        <f>T516/G516*100</f>
        <v>6.0902895820341811</v>
      </c>
      <c r="V516" s="627">
        <f>V504+V511+V513+V514</f>
        <v>1168.4500533982944</v>
      </c>
      <c r="W516" s="573">
        <f>U516/I516-1</f>
        <v>3.3456930971455412E-2</v>
      </c>
      <c r="X516" s="542"/>
      <c r="Z516" s="738"/>
      <c r="AB516" s="738"/>
      <c r="AD516" s="738"/>
      <c r="AF516" s="744"/>
    </row>
    <row r="517" spans="1:32" ht="12.95" thickTop="1">
      <c r="A517" s="6"/>
      <c r="B517" s="58"/>
      <c r="C517" s="10"/>
      <c r="D517" s="58"/>
      <c r="E517" s="30"/>
      <c r="F517" s="58"/>
      <c r="G517" s="132"/>
      <c r="H517" s="58"/>
      <c r="I517" s="548"/>
      <c r="J517" s="539"/>
      <c r="K517" s="539"/>
      <c r="L517" s="564"/>
      <c r="M517" s="564"/>
      <c r="N517" s="564"/>
      <c r="O517" s="564"/>
      <c r="P517" s="564"/>
      <c r="Q517" s="564"/>
      <c r="R517" s="564"/>
      <c r="S517" s="564"/>
      <c r="T517" s="564"/>
      <c r="U517" s="548"/>
      <c r="V517" s="564"/>
      <c r="W517" s="541"/>
      <c r="X517" s="542"/>
      <c r="Z517" s="738"/>
      <c r="AB517" s="738"/>
      <c r="AD517" s="738"/>
      <c r="AF517" s="744"/>
    </row>
    <row r="518" spans="1:32">
      <c r="A518" s="6"/>
      <c r="B518" s="58"/>
      <c r="C518" s="10"/>
      <c r="D518" s="58"/>
      <c r="E518" s="30"/>
      <c r="F518" s="58"/>
      <c r="G518" s="132"/>
      <c r="H518" s="58"/>
      <c r="I518" s="548"/>
      <c r="J518" s="539"/>
      <c r="K518" s="539"/>
      <c r="L518" s="564"/>
      <c r="M518" s="564"/>
      <c r="N518" s="564"/>
      <c r="O518" s="564"/>
      <c r="P518" s="564"/>
      <c r="Q518" s="564"/>
      <c r="R518" s="564"/>
      <c r="S518" s="564"/>
      <c r="T518" s="564"/>
      <c r="U518" s="565"/>
      <c r="V518" s="538"/>
      <c r="W518" s="541"/>
      <c r="X518" s="542"/>
      <c r="Z518" s="738"/>
      <c r="AB518" s="738"/>
      <c r="AD518" s="738"/>
      <c r="AF518" s="744"/>
    </row>
    <row r="519" spans="1:32">
      <c r="L519" s="2"/>
      <c r="M519" s="2"/>
      <c r="N519" s="501"/>
      <c r="Q519" s="501"/>
      <c r="R519" s="501"/>
      <c r="V519" s="501"/>
      <c r="W519" s="501"/>
      <c r="Z519" s="738"/>
      <c r="AB519" s="738"/>
      <c r="AD519" s="738"/>
      <c r="AF519" s="744"/>
    </row>
    <row r="520" spans="1:32">
      <c r="L520" s="2"/>
      <c r="M520" s="2"/>
      <c r="N520" s="501"/>
      <c r="Q520" s="501"/>
      <c r="R520" s="501"/>
      <c r="V520" s="501"/>
      <c r="W520" s="501"/>
      <c r="Z520" s="738"/>
      <c r="AB520" s="738"/>
      <c r="AD520" s="738"/>
      <c r="AF520" s="744"/>
    </row>
    <row r="521" spans="1:32">
      <c r="A521" s="1156" t="s">
        <v>279</v>
      </c>
      <c r="B521" s="1156"/>
      <c r="C521" s="1156"/>
      <c r="D521" s="1156"/>
      <c r="E521" s="1156"/>
      <c r="F521" s="1156"/>
      <c r="G521" s="1156"/>
      <c r="H521" s="1156"/>
      <c r="I521" s="1156"/>
      <c r="J521" s="1156"/>
      <c r="K521" s="1156"/>
      <c r="L521" s="1156"/>
      <c r="M521" s="1156"/>
      <c r="N521" s="1156"/>
      <c r="O521" s="1156"/>
      <c r="P521" s="1156"/>
      <c r="Q521" s="1156"/>
      <c r="R521" s="1156"/>
      <c r="S521" s="1156"/>
      <c r="T521" s="1156"/>
      <c r="U521" s="1156"/>
      <c r="V521" s="1156"/>
      <c r="W521" s="1156"/>
      <c r="X521" s="531"/>
      <c r="Z521" s="738"/>
      <c r="AB521" s="738"/>
      <c r="AD521" s="738"/>
      <c r="AF521" s="744"/>
    </row>
    <row r="522" spans="1:32">
      <c r="A522" s="1156" t="s">
        <v>478</v>
      </c>
      <c r="B522" s="1156"/>
      <c r="C522" s="1156"/>
      <c r="D522" s="1156"/>
      <c r="E522" s="1156"/>
      <c r="F522" s="1156"/>
      <c r="G522" s="1156"/>
      <c r="H522" s="1156"/>
      <c r="I522" s="1156"/>
      <c r="J522" s="1156"/>
      <c r="K522" s="1156"/>
      <c r="L522" s="1156"/>
      <c r="M522" s="1156"/>
      <c r="N522" s="1156"/>
      <c r="O522" s="1156"/>
      <c r="P522" s="1156"/>
      <c r="Q522" s="1156"/>
      <c r="R522" s="1156"/>
      <c r="S522" s="1156"/>
      <c r="T522" s="1156"/>
      <c r="U522" s="1156"/>
      <c r="V522" s="1156"/>
      <c r="W522" s="1156"/>
      <c r="X522" s="737"/>
      <c r="Y522" s="737"/>
      <c r="Z522" s="738"/>
      <c r="AB522" s="738"/>
      <c r="AD522" s="738"/>
      <c r="AF522" s="744"/>
    </row>
    <row r="523" spans="1:32">
      <c r="A523" s="57"/>
      <c r="B523" s="57"/>
      <c r="C523" s="57"/>
      <c r="D523" s="57"/>
      <c r="E523" s="3"/>
      <c r="F523" s="57"/>
      <c r="G523" s="3"/>
      <c r="H523" s="57"/>
      <c r="I523" s="57"/>
      <c r="J523" s="57"/>
      <c r="K523" s="57"/>
      <c r="L523" s="57"/>
      <c r="M523" s="57"/>
      <c r="N523" s="501"/>
      <c r="O523" s="57"/>
      <c r="P523" s="57"/>
      <c r="Q523" s="501"/>
      <c r="R523" s="501"/>
      <c r="S523" s="57"/>
      <c r="T523" s="57"/>
      <c r="U523" s="57"/>
      <c r="V523" s="501"/>
      <c r="W523" s="501"/>
      <c r="Z523" s="738"/>
      <c r="AB523" s="738"/>
      <c r="AD523" s="738"/>
      <c r="AF523" s="744"/>
    </row>
    <row r="524" spans="1:32" ht="26.65" customHeight="1">
      <c r="A524" s="3"/>
      <c r="B524" s="3"/>
      <c r="C524" s="3"/>
      <c r="D524" s="3"/>
      <c r="E524" s="57"/>
      <c r="F524" s="1152" t="s">
        <v>231</v>
      </c>
      <c r="G524" s="1152"/>
      <c r="H524" s="1152"/>
      <c r="I524" s="1152"/>
      <c r="J524" s="1152"/>
      <c r="K524" s="3"/>
      <c r="L524" s="1157" t="s">
        <v>94</v>
      </c>
      <c r="M524" s="1157"/>
      <c r="N524" s="58"/>
      <c r="O524" s="3"/>
      <c r="P524" s="59"/>
      <c r="Q524" s="1157" t="s">
        <v>95</v>
      </c>
      <c r="R524" s="1157"/>
      <c r="S524" s="3"/>
      <c r="T524" s="1152" t="s">
        <v>472</v>
      </c>
      <c r="U524" s="1152"/>
      <c r="V524" s="1152"/>
      <c r="W524" s="1152"/>
      <c r="X524" s="6"/>
      <c r="Z524" s="738"/>
      <c r="AB524" s="738"/>
      <c r="AD524" s="738"/>
      <c r="AF524" s="744"/>
    </row>
    <row r="525" spans="1:32" ht="37.5">
      <c r="A525" s="5" t="s">
        <v>56</v>
      </c>
      <c r="B525" s="5"/>
      <c r="C525" s="5"/>
      <c r="D525" s="5"/>
      <c r="E525" s="6" t="s">
        <v>233</v>
      </c>
      <c r="F525" s="5"/>
      <c r="G525" s="17" t="s">
        <v>234</v>
      </c>
      <c r="H525" s="5"/>
      <c r="I525" s="17" t="s">
        <v>235</v>
      </c>
      <c r="J525" s="17" t="s">
        <v>101</v>
      </c>
      <c r="K525" s="5"/>
      <c r="L525" s="17" t="s">
        <v>106</v>
      </c>
      <c r="M525" s="17" t="s">
        <v>236</v>
      </c>
      <c r="N525" s="5" t="s">
        <v>239</v>
      </c>
      <c r="O525" s="5"/>
      <c r="P525" s="5" t="s">
        <v>240</v>
      </c>
      <c r="Q525" s="17" t="s">
        <v>106</v>
      </c>
      <c r="R525" s="17" t="s">
        <v>236</v>
      </c>
      <c r="S525" s="5"/>
      <c r="T525" s="17" t="s">
        <v>241</v>
      </c>
      <c r="U525" s="17" t="s">
        <v>242</v>
      </c>
      <c r="V525" s="17" t="s">
        <v>243</v>
      </c>
      <c r="W525" s="5" t="s">
        <v>244</v>
      </c>
      <c r="X525" s="5"/>
      <c r="Z525" s="738"/>
      <c r="AB525" s="738"/>
      <c r="AD525" s="738"/>
      <c r="AF525" s="744"/>
    </row>
    <row r="526" spans="1:32" ht="14.45">
      <c r="A526" s="237" t="s">
        <v>57</v>
      </c>
      <c r="B526" s="58"/>
      <c r="C526" s="59" t="s">
        <v>194</v>
      </c>
      <c r="D526" s="58"/>
      <c r="E526" s="237" t="s">
        <v>245</v>
      </c>
      <c r="F526" s="58"/>
      <c r="G526" s="237" t="s">
        <v>246</v>
      </c>
      <c r="H526" s="58"/>
      <c r="I526" s="237" t="s">
        <v>247</v>
      </c>
      <c r="J526" s="237" t="s">
        <v>248</v>
      </c>
      <c r="K526" s="58"/>
      <c r="L526" s="237" t="s">
        <v>248</v>
      </c>
      <c r="M526" s="237" t="s">
        <v>248</v>
      </c>
      <c r="N526" s="237" t="s">
        <v>248</v>
      </c>
      <c r="O526" s="58"/>
      <c r="P526" s="237" t="s">
        <v>248</v>
      </c>
      <c r="Q526" s="237" t="s">
        <v>248</v>
      </c>
      <c r="R526" s="237" t="s">
        <v>248</v>
      </c>
      <c r="S526" s="58"/>
      <c r="T526" s="237" t="s">
        <v>248</v>
      </c>
      <c r="U526" s="237" t="s">
        <v>247</v>
      </c>
      <c r="V526" s="237" t="s">
        <v>248</v>
      </c>
      <c r="W526" s="237" t="s">
        <v>249</v>
      </c>
      <c r="X526" s="6"/>
      <c r="Z526" s="738"/>
      <c r="AB526" s="738"/>
      <c r="AD526" s="738"/>
      <c r="AF526" s="744"/>
    </row>
    <row r="527" spans="1:32">
      <c r="A527" s="6"/>
      <c r="B527" s="58"/>
      <c r="C527" s="58"/>
      <c r="D527" s="58"/>
      <c r="E527" s="6"/>
      <c r="F527" s="58"/>
      <c r="G527" s="6" t="s">
        <v>9</v>
      </c>
      <c r="H527" s="6"/>
      <c r="I527" s="6" t="s">
        <v>10</v>
      </c>
      <c r="J527" s="6" t="s">
        <v>58</v>
      </c>
      <c r="K527" s="6"/>
      <c r="L527" s="123" t="s">
        <v>12</v>
      </c>
      <c r="M527" s="123" t="s">
        <v>13</v>
      </c>
      <c r="N527" s="6" t="s">
        <v>473</v>
      </c>
      <c r="O527" s="6"/>
      <c r="P527" s="6" t="s">
        <v>474</v>
      </c>
      <c r="Q527" s="6" t="s">
        <v>210</v>
      </c>
      <c r="R527" s="6" t="s">
        <v>118</v>
      </c>
      <c r="S527" s="6"/>
      <c r="T527" s="6" t="s">
        <v>475</v>
      </c>
      <c r="U527" s="6" t="s">
        <v>120</v>
      </c>
      <c r="V527" s="6" t="s">
        <v>476</v>
      </c>
      <c r="W527" s="6" t="s">
        <v>477</v>
      </c>
    </row>
    <row r="528" spans="1:32">
      <c r="A528" s="6"/>
      <c r="B528" s="58"/>
      <c r="C528" s="58"/>
      <c r="D528" s="58"/>
      <c r="E528" s="6"/>
      <c r="F528" s="58"/>
      <c r="G528" s="6"/>
      <c r="H528" s="6"/>
      <c r="I528" s="6"/>
      <c r="J528" s="6"/>
      <c r="K528" s="6"/>
      <c r="L528" s="123"/>
      <c r="M528" s="123"/>
      <c r="N528" s="6"/>
      <c r="O528" s="6"/>
      <c r="P528" s="6"/>
      <c r="Q528" s="6"/>
      <c r="R528" s="6"/>
      <c r="S528" s="6"/>
      <c r="T528" s="6"/>
      <c r="U528" s="6"/>
      <c r="V528" s="6"/>
      <c r="W528" s="6"/>
    </row>
    <row r="529" spans="1:32">
      <c r="A529" s="581"/>
      <c r="B529" s="581"/>
      <c r="C529" s="9" t="s">
        <v>149</v>
      </c>
      <c r="D529" s="581"/>
      <c r="E529" s="386"/>
      <c r="F529" s="581"/>
      <c r="G529" s="581"/>
      <c r="H529" s="581"/>
      <c r="I529" s="581"/>
      <c r="J529" s="611"/>
      <c r="K529" s="581"/>
      <c r="L529" s="538"/>
      <c r="M529" s="538"/>
      <c r="N529" s="538"/>
      <c r="O529" s="582"/>
      <c r="P529" s="582"/>
      <c r="Q529" s="538"/>
      <c r="R529" s="538"/>
      <c r="S529" s="582"/>
      <c r="T529" s="582"/>
      <c r="U529" s="582"/>
      <c r="V529" s="538"/>
      <c r="W529" s="599"/>
      <c r="X529" s="600"/>
    </row>
    <row r="530" spans="1:32">
      <c r="A530" s="58">
        <v>247</v>
      </c>
      <c r="B530" s="58"/>
      <c r="C530" s="10" t="s">
        <v>258</v>
      </c>
      <c r="D530" s="57"/>
      <c r="E530" s="6" t="s">
        <v>259</v>
      </c>
      <c r="F530" s="57"/>
      <c r="G530" s="29">
        <v>456.0000000000021</v>
      </c>
      <c r="H530" s="57"/>
      <c r="I530" s="537">
        <v>755.88</v>
      </c>
      <c r="J530" s="624">
        <f>G530*I530/1000</f>
        <v>344.68128000000161</v>
      </c>
      <c r="K530" s="57"/>
      <c r="L530" s="29">
        <v>0</v>
      </c>
      <c r="M530" s="687">
        <v>0</v>
      </c>
      <c r="N530" s="538">
        <f>J530-L530-M530</f>
        <v>344.68128000000161</v>
      </c>
      <c r="O530" s="583"/>
      <c r="P530" s="29">
        <v>9.418514740809087</v>
      </c>
      <c r="Q530" s="29">
        <v>0</v>
      </c>
      <c r="R530" s="687">
        <v>0</v>
      </c>
      <c r="S530" s="583"/>
      <c r="T530" s="132">
        <f>N530+P530+Q530+R530</f>
        <v>354.09979474081069</v>
      </c>
      <c r="U530" s="606">
        <f>T530/G530*1000</f>
        <v>776.53463758949363</v>
      </c>
      <c r="V530" s="538">
        <f>T530-G530</f>
        <v>-101.90020525919141</v>
      </c>
      <c r="W530" s="599">
        <f>U530/I530-1</f>
        <v>2.7325286539521709E-2</v>
      </c>
      <c r="X530" s="600"/>
      <c r="Z530" s="738"/>
      <c r="AB530" s="738"/>
      <c r="AD530" s="738"/>
      <c r="AF530" s="739"/>
    </row>
    <row r="531" spans="1:32">
      <c r="A531" s="58">
        <f>MAX(A$529:A530)+1</f>
        <v>248</v>
      </c>
      <c r="B531" s="58"/>
      <c r="C531" s="521" t="s">
        <v>260</v>
      </c>
      <c r="D531" s="3"/>
      <c r="E531" s="522" t="s">
        <v>262</v>
      </c>
      <c r="F531" s="3"/>
      <c r="G531" s="29">
        <v>55087.023449999993</v>
      </c>
      <c r="H531" s="3"/>
      <c r="I531" s="684">
        <v>3.3042824540554112</v>
      </c>
      <c r="J531" s="624">
        <f>G531*I531/100</f>
        <v>1820.2308503197396</v>
      </c>
      <c r="K531" s="3"/>
      <c r="L531" s="29">
        <v>408.30501781139998</v>
      </c>
      <c r="M531" s="29">
        <v>429.96968367817351</v>
      </c>
      <c r="N531" s="538">
        <f>J531-L531-M531</f>
        <v>981.95614883016617</v>
      </c>
      <c r="O531" s="584"/>
      <c r="P531" s="29">
        <v>26.832233136029345</v>
      </c>
      <c r="Q531" s="29">
        <v>294.45607436345904</v>
      </c>
      <c r="R531" s="29">
        <v>418.05034484747262</v>
      </c>
      <c r="S531" s="584"/>
      <c r="T531" s="132">
        <f t="shared" ref="T531:T534" si="193">N531+P531+Q531+R531</f>
        <v>1721.2948011771271</v>
      </c>
      <c r="U531" s="684">
        <v>3.1122513795327795</v>
      </c>
      <c r="V531" s="538">
        <f>T531-G531</f>
        <v>-53365.728648822864</v>
      </c>
      <c r="W531" s="559">
        <f>U531/I531-1</f>
        <v>-5.8115817032211692E-2</v>
      </c>
      <c r="X531" s="559"/>
      <c r="Z531" s="738"/>
      <c r="AB531" s="738"/>
      <c r="AD531" s="738"/>
      <c r="AF531" s="744"/>
    </row>
    <row r="532" spans="1:32">
      <c r="A532" s="58">
        <f>MAX(A$529:A531)+1</f>
        <v>249</v>
      </c>
      <c r="B532" s="688"/>
      <c r="C532" s="521" t="s">
        <v>355</v>
      </c>
      <c r="D532" s="5"/>
      <c r="E532" s="522" t="s">
        <v>262</v>
      </c>
      <c r="F532" s="5"/>
      <c r="G532" s="29">
        <v>4252.9598999999998</v>
      </c>
      <c r="H532" s="5"/>
      <c r="I532" s="684">
        <v>3.6536999999999997</v>
      </c>
      <c r="J532" s="624">
        <f t="shared" ref="J532:J533" si="194">G532*I532/100</f>
        <v>155.3903958663</v>
      </c>
      <c r="K532" s="5"/>
      <c r="L532" s="29">
        <v>31.522938778799997</v>
      </c>
      <c r="M532" s="29">
        <v>33.195546035605531</v>
      </c>
      <c r="N532" s="538">
        <f t="shared" ref="N532:N535" si="195">J532-L532-M532</f>
        <v>90.671911051894469</v>
      </c>
      <c r="O532" s="585"/>
      <c r="P532" s="29">
        <v>2.4776359505790282</v>
      </c>
      <c r="Q532" s="29">
        <v>22.733300842000922</v>
      </c>
      <c r="R532" s="29">
        <v>32.275320782783609</v>
      </c>
      <c r="S532" s="585"/>
      <c r="T532" s="132">
        <f t="shared" si="193"/>
        <v>148.15816862725802</v>
      </c>
      <c r="U532" s="755">
        <f>T532/G532*100</f>
        <v>3.4836483792677666</v>
      </c>
      <c r="V532" s="538">
        <f>T532-G532</f>
        <v>-4104.8017313727414</v>
      </c>
      <c r="W532" s="559">
        <f>U532/I532-1</f>
        <v>-4.6542305261032091E-2</v>
      </c>
      <c r="X532" s="559"/>
      <c r="Z532" s="738"/>
      <c r="AB532" s="738"/>
      <c r="AD532" s="738"/>
      <c r="AF532" s="744"/>
    </row>
    <row r="533" spans="1:32">
      <c r="A533" s="58">
        <f>MAX(A$529:A532)+1</f>
        <v>250</v>
      </c>
      <c r="B533" s="58"/>
      <c r="C533" s="521" t="s">
        <v>359</v>
      </c>
      <c r="D533" s="58"/>
      <c r="E533" s="522" t="s">
        <v>262</v>
      </c>
      <c r="F533" s="58"/>
      <c r="G533" s="29">
        <v>12766.517779999998</v>
      </c>
      <c r="H533" s="58"/>
      <c r="I533" s="689">
        <v>-5.2999999999999999E-2</v>
      </c>
      <c r="J533" s="642">
        <f t="shared" si="194"/>
        <v>-6.7662544233999986</v>
      </c>
      <c r="K533" s="58"/>
      <c r="L533" s="687">
        <v>0</v>
      </c>
      <c r="M533" s="687">
        <v>0</v>
      </c>
      <c r="N533" s="538">
        <f t="shared" si="195"/>
        <v>-6.7662544233999986</v>
      </c>
      <c r="O533" s="564"/>
      <c r="P533" s="29">
        <v>-0.18488984091870986</v>
      </c>
      <c r="Q533" s="29">
        <v>0</v>
      </c>
      <c r="R533" s="687">
        <v>0</v>
      </c>
      <c r="S533" s="564"/>
      <c r="T533" s="132">
        <f t="shared" si="193"/>
        <v>-6.9511442643187085</v>
      </c>
      <c r="U533" s="689">
        <f>I533</f>
        <v>-5.2999999999999999E-2</v>
      </c>
      <c r="V533" s="538">
        <f>T533-G533</f>
        <v>-12773.468924264316</v>
      </c>
      <c r="W533" s="599" t="str">
        <f>IF(U533/I533-1,"0","-")</f>
        <v>-</v>
      </c>
      <c r="X533" s="600"/>
      <c r="Z533" s="738"/>
      <c r="AB533" s="738"/>
      <c r="AD533" s="738"/>
      <c r="AF533" s="744"/>
    </row>
    <row r="534" spans="1:32">
      <c r="A534" s="58">
        <f>MAX(A$529:A533)+1</f>
        <v>251</v>
      </c>
      <c r="B534" s="58"/>
      <c r="C534" s="521" t="s">
        <v>360</v>
      </c>
      <c r="D534" s="58"/>
      <c r="E534" s="522" t="s">
        <v>262</v>
      </c>
      <c r="F534" s="58"/>
      <c r="G534" s="29">
        <v>12450.358</v>
      </c>
      <c r="H534" s="58"/>
      <c r="I534" s="690">
        <v>-2.1199999999999999E-3</v>
      </c>
      <c r="J534" s="642">
        <f>G534*I534/100</f>
        <v>-0.26394758960000003</v>
      </c>
      <c r="K534" s="58"/>
      <c r="L534" s="687">
        <v>0</v>
      </c>
      <c r="M534" s="687">
        <v>0</v>
      </c>
      <c r="N534" s="538">
        <f t="shared" si="195"/>
        <v>-0.26394758960000003</v>
      </c>
      <c r="O534" s="564"/>
      <c r="P534" s="29">
        <v>-7.2124435172360446E-3</v>
      </c>
      <c r="Q534" s="687">
        <v>0</v>
      </c>
      <c r="R534" s="687">
        <v>0</v>
      </c>
      <c r="S534" s="564"/>
      <c r="T534" s="132">
        <f t="shared" si="193"/>
        <v>-0.27116003311723608</v>
      </c>
      <c r="U534" s="690">
        <f>I534</f>
        <v>-2.1199999999999999E-3</v>
      </c>
      <c r="V534" s="538">
        <f>T534-G534</f>
        <v>-12450.629160033117</v>
      </c>
      <c r="W534" s="599" t="str">
        <f>IF(U534/I534-1,"0","-")</f>
        <v>-</v>
      </c>
      <c r="X534" s="600"/>
      <c r="Z534" s="738"/>
      <c r="AB534" s="738"/>
      <c r="AD534" s="738"/>
      <c r="AF534" s="744"/>
    </row>
    <row r="535" spans="1:32">
      <c r="A535" s="58"/>
      <c r="B535" s="58"/>
      <c r="C535" s="10"/>
      <c r="D535" s="58"/>
      <c r="E535" s="574"/>
      <c r="F535" s="58"/>
      <c r="G535" s="29"/>
      <c r="H535" s="58"/>
      <c r="I535" s="58"/>
      <c r="J535" s="539"/>
      <c r="K535" s="58"/>
      <c r="L535" s="538"/>
      <c r="M535" s="538"/>
      <c r="N535" s="538">
        <f t="shared" si="195"/>
        <v>0</v>
      </c>
      <c r="O535" s="564"/>
      <c r="P535" s="29"/>
      <c r="Q535" s="538"/>
      <c r="R535" s="538"/>
      <c r="S535" s="564"/>
      <c r="T535" s="132"/>
      <c r="U535" s="756"/>
      <c r="V535" s="538"/>
      <c r="W535" s="599"/>
      <c r="X535" s="600"/>
      <c r="Z535" s="738"/>
      <c r="AB535" s="738"/>
      <c r="AD535" s="738"/>
      <c r="AF535" s="744"/>
    </row>
    <row r="536" spans="1:32" ht="12.95">
      <c r="A536" s="58">
        <f>MAX(A$529:A535)+1</f>
        <v>252</v>
      </c>
      <c r="B536" s="58"/>
      <c r="C536" s="10" t="s">
        <v>356</v>
      </c>
      <c r="D536" s="58"/>
      <c r="E536" s="128"/>
      <c r="F536" s="58"/>
      <c r="G536" s="131">
        <f>G531</f>
        <v>55087.023449999993</v>
      </c>
      <c r="H536" s="58"/>
      <c r="I536" s="556">
        <f>J536/G536*100</f>
        <v>4.1993053523262045</v>
      </c>
      <c r="J536" s="554">
        <f>SUM(J530:J535)</f>
        <v>2313.2723241730414</v>
      </c>
      <c r="K536" s="539"/>
      <c r="L536" s="619">
        <f>SUM(L530:L535)</f>
        <v>439.82795659019996</v>
      </c>
      <c r="M536" s="619">
        <f>SUM(M530:M535)</f>
        <v>463.16522971377901</v>
      </c>
      <c r="N536" s="619">
        <f>SUM(N530:N535)</f>
        <v>1410.2791378690622</v>
      </c>
      <c r="O536" s="564"/>
      <c r="P536" s="619">
        <f>SUM(P530:P535)</f>
        <v>38.53628154298152</v>
      </c>
      <c r="Q536" s="619">
        <f>SUM(Q530:Q535)</f>
        <v>317.18937520545995</v>
      </c>
      <c r="R536" s="619">
        <f>SUM(R530:R535)</f>
        <v>450.32566563025625</v>
      </c>
      <c r="S536" s="564"/>
      <c r="T536" s="619">
        <f>SUM(T530:T535)</f>
        <v>2216.3304602477597</v>
      </c>
      <c r="U536" s="592">
        <f>T536/G536*100</f>
        <v>4.0233258605076436</v>
      </c>
      <c r="V536" s="555">
        <f>SUM(V530:V535)</f>
        <v>-82796.528669752224</v>
      </c>
      <c r="W536" s="558">
        <f>U536/I536-1</f>
        <v>-4.1906810068259803E-2</v>
      </c>
      <c r="X536" s="542"/>
      <c r="Z536" s="738"/>
      <c r="AB536" s="738"/>
      <c r="AD536" s="738"/>
      <c r="AF536" s="744"/>
    </row>
    <row r="537" spans="1:32">
      <c r="A537" s="58"/>
      <c r="B537" s="58"/>
      <c r="D537" s="58"/>
      <c r="E537" s="30"/>
      <c r="F537" s="58"/>
      <c r="G537" s="29"/>
      <c r="H537" s="58"/>
      <c r="I537" s="58"/>
      <c r="J537" s="539"/>
      <c r="K537" s="58"/>
      <c r="L537" s="538"/>
      <c r="M537" s="538"/>
      <c r="N537" s="538"/>
      <c r="O537" s="564"/>
      <c r="P537" s="564"/>
      <c r="Q537" s="538"/>
      <c r="R537" s="538"/>
      <c r="S537" s="564"/>
      <c r="T537" s="564"/>
      <c r="U537" s="565"/>
      <c r="V537" s="538"/>
      <c r="W537" s="541"/>
      <c r="X537" s="542"/>
      <c r="Z537" s="738"/>
      <c r="AB537" s="738"/>
      <c r="AD537" s="738"/>
      <c r="AF537" s="744"/>
    </row>
    <row r="538" spans="1:32">
      <c r="A538" s="58"/>
      <c r="B538" s="58"/>
      <c r="C538" s="10" t="s">
        <v>361</v>
      </c>
      <c r="D538" s="58"/>
      <c r="E538" s="1"/>
      <c r="F538" s="58"/>
      <c r="G538" s="29"/>
      <c r="H538" s="58"/>
      <c r="I538" s="58"/>
      <c r="J538" s="539"/>
      <c r="K538" s="58"/>
      <c r="L538" s="538"/>
      <c r="M538" s="538"/>
      <c r="N538" s="538"/>
      <c r="O538" s="564"/>
      <c r="P538" s="564"/>
      <c r="Q538" s="538"/>
      <c r="R538" s="538"/>
      <c r="S538" s="564"/>
      <c r="T538" s="564"/>
      <c r="U538" s="565"/>
      <c r="V538" s="538"/>
      <c r="W538" s="541"/>
      <c r="X538" s="542"/>
      <c r="Z538" s="738"/>
      <c r="AB538" s="738"/>
      <c r="AD538" s="738"/>
      <c r="AF538" s="744"/>
    </row>
    <row r="539" spans="1:32">
      <c r="A539" s="58">
        <f>MAX(A$529:A538)+1</f>
        <v>253</v>
      </c>
      <c r="B539" s="58"/>
      <c r="C539" s="526" t="s">
        <v>280</v>
      </c>
      <c r="D539" s="58"/>
      <c r="E539" s="522" t="s">
        <v>281</v>
      </c>
      <c r="F539" s="58"/>
      <c r="G539" s="29">
        <v>431.904</v>
      </c>
      <c r="H539" s="58"/>
      <c r="I539" s="684">
        <v>41.215699999999998</v>
      </c>
      <c r="J539" s="539">
        <f>G539*I539/100</f>
        <v>178.012256928</v>
      </c>
      <c r="K539" s="58"/>
      <c r="L539" s="29">
        <v>37.935855936000003</v>
      </c>
      <c r="M539" s="29">
        <v>0</v>
      </c>
      <c r="N539" s="538">
        <f>J539-L539-M539</f>
        <v>140.076400992</v>
      </c>
      <c r="O539" s="564"/>
      <c r="P539" s="29">
        <v>3.8276277945313097</v>
      </c>
      <c r="Q539" s="29">
        <v>41.140218199898953</v>
      </c>
      <c r="R539" s="29">
        <v>0</v>
      </c>
      <c r="S539" s="564"/>
      <c r="T539" s="564">
        <f>N539+P539+Q539+R539</f>
        <v>185.04424698643027</v>
      </c>
      <c r="U539" s="565">
        <f>T539/G539*100</f>
        <v>42.843837284773997</v>
      </c>
      <c r="V539" s="538">
        <f>T539-G539</f>
        <v>-246.85975301356973</v>
      </c>
      <c r="W539" s="541">
        <f>U539/I539-1</f>
        <v>3.9502841994045967E-2</v>
      </c>
      <c r="X539" s="542"/>
      <c r="Z539" s="738"/>
      <c r="AB539" s="738"/>
      <c r="AD539" s="738"/>
      <c r="AF539" s="744"/>
    </row>
    <row r="540" spans="1:32">
      <c r="A540" s="58">
        <f>MAX(A$529:A539)+1</f>
        <v>254</v>
      </c>
      <c r="B540" s="58"/>
      <c r="C540" s="526" t="s">
        <v>260</v>
      </c>
      <c r="D540" s="58"/>
      <c r="E540" s="522" t="s">
        <v>262</v>
      </c>
      <c r="F540" s="58"/>
      <c r="G540" s="29">
        <v>4405.8775999999998</v>
      </c>
      <c r="H540" s="58"/>
      <c r="I540" s="684">
        <v>3.3768469625757374</v>
      </c>
      <c r="J540" s="539">
        <f t="shared" ref="J540:J541" si="196">G540*I540/100</f>
        <v>148.77974391040479</v>
      </c>
      <c r="K540" s="58"/>
      <c r="L540" s="29">
        <v>30.171449804799995</v>
      </c>
      <c r="M540" s="29">
        <v>34.389111615664007</v>
      </c>
      <c r="N540" s="538">
        <f t="shared" ref="N540:N541" si="197">J540-L540-M540</f>
        <v>84.219182489940792</v>
      </c>
      <c r="O540" s="564"/>
      <c r="P540" s="29">
        <v>2.3013132936618774</v>
      </c>
      <c r="Q540" s="29">
        <v>25.470527394387808</v>
      </c>
      <c r="R540" s="29">
        <v>33.435799117146807</v>
      </c>
      <c r="S540" s="564"/>
      <c r="T540" s="564">
        <f t="shared" ref="T540:T541" si="198">N540+P540+Q540+R540</f>
        <v>145.4268222951373</v>
      </c>
      <c r="U540" s="565">
        <f>T540/G540*100</f>
        <v>3.3007458558344269</v>
      </c>
      <c r="V540" s="538">
        <f>T540-G540</f>
        <v>-4260.450777704862</v>
      </c>
      <c r="W540" s="559">
        <f>U540/I540-1</f>
        <v>-2.2536143208356507E-2</v>
      </c>
      <c r="X540" s="542"/>
      <c r="Z540" s="738"/>
      <c r="AB540" s="738"/>
      <c r="AD540" s="738"/>
      <c r="AF540" s="744"/>
    </row>
    <row r="541" spans="1:32">
      <c r="A541" s="58">
        <f>MAX(A$529:A540)+1</f>
        <v>255</v>
      </c>
      <c r="B541" s="58"/>
      <c r="C541" s="12" t="s">
        <v>351</v>
      </c>
      <c r="D541" s="58"/>
      <c r="E541" s="522" t="s">
        <v>262</v>
      </c>
      <c r="F541" s="58"/>
      <c r="G541" s="29">
        <v>854.38999999999942</v>
      </c>
      <c r="H541" s="58"/>
      <c r="I541" s="684">
        <v>3.7267858330865313</v>
      </c>
      <c r="J541" s="539">
        <f t="shared" si="196"/>
        <v>31.841285479307995</v>
      </c>
      <c r="K541" s="58"/>
      <c r="L541" s="29">
        <v>5.8508627199999959</v>
      </c>
      <c r="M541" s="29">
        <v>6.6687538195130864</v>
      </c>
      <c r="N541" s="538">
        <f t="shared" si="197"/>
        <v>19.321668939794915</v>
      </c>
      <c r="O541" s="564"/>
      <c r="P541" s="29">
        <v>0.52797014020166699</v>
      </c>
      <c r="Q541" s="29">
        <v>4.9392574819806585</v>
      </c>
      <c r="R541" s="29">
        <v>6.483886980359836</v>
      </c>
      <c r="S541" s="564"/>
      <c r="T541" s="564">
        <f t="shared" si="198"/>
        <v>31.272783542337073</v>
      </c>
      <c r="U541" s="565">
        <f>T541/G541*100</f>
        <v>3.6602469062532443</v>
      </c>
      <c r="V541" s="538">
        <f>T541-G541</f>
        <v>-823.11721645766238</v>
      </c>
      <c r="W541" s="559">
        <f>U541/I541-1</f>
        <v>-1.7854239501114422E-2</v>
      </c>
      <c r="X541" s="542"/>
      <c r="Z541" s="738"/>
      <c r="AB541" s="738"/>
      <c r="AD541" s="738"/>
      <c r="AF541" s="744"/>
    </row>
    <row r="542" spans="1:32">
      <c r="A542" s="58"/>
      <c r="B542" s="58"/>
      <c r="C542" s="10"/>
      <c r="D542" s="58"/>
      <c r="E542" s="30"/>
      <c r="F542" s="58"/>
      <c r="G542" s="29"/>
      <c r="H542" s="58"/>
      <c r="I542" s="58"/>
      <c r="J542" s="539"/>
      <c r="K542" s="58"/>
      <c r="L542" s="538"/>
      <c r="M542" s="538"/>
      <c r="N542" s="538"/>
      <c r="O542" s="564"/>
      <c r="P542" s="564"/>
      <c r="Q542" s="538"/>
      <c r="R542" s="538"/>
      <c r="S542" s="564"/>
      <c r="T542" s="564"/>
      <c r="U542" s="565"/>
      <c r="V542" s="538"/>
      <c r="W542" s="541"/>
      <c r="X542" s="542"/>
      <c r="Z542" s="738"/>
      <c r="AB542" s="738"/>
      <c r="AD542" s="738"/>
      <c r="AF542" s="744"/>
    </row>
    <row r="543" spans="1:32">
      <c r="A543" s="58">
        <f>MAX(A$529:A542)+1</f>
        <v>256</v>
      </c>
      <c r="B543" s="58"/>
      <c r="C543" s="10" t="s">
        <v>353</v>
      </c>
      <c r="D543" s="58"/>
      <c r="E543" s="30"/>
      <c r="F543" s="58"/>
      <c r="G543" s="131">
        <f>G540</f>
        <v>4405.8775999999998</v>
      </c>
      <c r="H543" s="58"/>
      <c r="I543" s="556">
        <f>J543/G543*100</f>
        <v>8.1398831033733838</v>
      </c>
      <c r="J543" s="554">
        <f>SUM(J539:J542)</f>
        <v>358.63328631771276</v>
      </c>
      <c r="K543" s="58"/>
      <c r="L543" s="555">
        <f>SUM(L539:L542)</f>
        <v>73.958168460799996</v>
      </c>
      <c r="M543" s="555">
        <f t="shared" ref="M543:N543" si="199">SUM(M539:M542)</f>
        <v>41.057865435177092</v>
      </c>
      <c r="N543" s="555">
        <f t="shared" si="199"/>
        <v>243.61725242173571</v>
      </c>
      <c r="O543" s="564"/>
      <c r="P543" s="619">
        <f>SUM(P539:P542)</f>
        <v>6.6569112283948542</v>
      </c>
      <c r="Q543" s="619">
        <f t="shared" ref="Q543:R543" si="200">SUM(Q539:Q542)</f>
        <v>71.550003076267416</v>
      </c>
      <c r="R543" s="619">
        <f t="shared" si="200"/>
        <v>39.919686097506641</v>
      </c>
      <c r="S543" s="564"/>
      <c r="T543" s="619">
        <f>SUM(T539:T542)</f>
        <v>361.74385282390466</v>
      </c>
      <c r="U543" s="592">
        <f>T543/G543*100</f>
        <v>8.2104834874192765</v>
      </c>
      <c r="V543" s="555">
        <f>SUM(V539:V542)</f>
        <v>-5330.4277471760943</v>
      </c>
      <c r="W543" s="562">
        <f>U543/I543-1</f>
        <v>8.6733904098246217E-3</v>
      </c>
      <c r="X543" s="542"/>
      <c r="Z543" s="738"/>
      <c r="AB543" s="738"/>
      <c r="AD543" s="738"/>
      <c r="AF543" s="744"/>
    </row>
    <row r="544" spans="1:32">
      <c r="A544" s="58"/>
      <c r="E544" s="1"/>
      <c r="G544" s="129"/>
      <c r="J544" s="567"/>
      <c r="L544" s="538"/>
      <c r="M544" s="538"/>
      <c r="N544" s="538"/>
      <c r="O544" s="64"/>
      <c r="P544" s="64"/>
      <c r="Q544" s="538"/>
      <c r="R544" s="538"/>
      <c r="S544" s="64"/>
      <c r="T544" s="64"/>
      <c r="U544" s="580"/>
      <c r="V544" s="538"/>
      <c r="W544" s="501"/>
      <c r="Z544" s="738"/>
      <c r="AB544" s="738"/>
      <c r="AD544" s="738"/>
      <c r="AF544" s="744"/>
    </row>
    <row r="545" spans="1:32">
      <c r="A545" s="58">
        <f>MAX(A$529:A544)+1</f>
        <v>257</v>
      </c>
      <c r="B545" s="58"/>
      <c r="C545" s="10" t="s">
        <v>357</v>
      </c>
      <c r="D545" s="58"/>
      <c r="E545" s="522" t="s">
        <v>262</v>
      </c>
      <c r="F545" s="58"/>
      <c r="G545" s="29">
        <v>1599.69</v>
      </c>
      <c r="H545" s="58"/>
      <c r="I545" s="684">
        <v>0.20849999999999999</v>
      </c>
      <c r="J545" s="539">
        <f>G545*I545/100</f>
        <v>3.3353536500000001</v>
      </c>
      <c r="K545" s="58"/>
      <c r="L545" s="687">
        <v>0</v>
      </c>
      <c r="M545" s="687">
        <v>0</v>
      </c>
      <c r="N545" s="538">
        <f>J545-L545-M545</f>
        <v>3.3353536500000001</v>
      </c>
      <c r="O545" s="564"/>
      <c r="P545" s="29">
        <v>9.1139494196888826E-2</v>
      </c>
      <c r="Q545" s="29">
        <v>0</v>
      </c>
      <c r="R545" s="29">
        <v>0</v>
      </c>
      <c r="S545" s="564"/>
      <c r="T545" s="564">
        <f>N545+P545+Q545+R545</f>
        <v>3.4264931441968889</v>
      </c>
      <c r="U545" s="565">
        <f>T545/G545*100</f>
        <v>0.21419732224349022</v>
      </c>
      <c r="V545" s="538">
        <f>T545-J545</f>
        <v>9.1139494196888826E-2</v>
      </c>
      <c r="W545" s="541">
        <f>U545/I545-1</f>
        <v>2.7325286539521487E-2</v>
      </c>
      <c r="X545" s="542"/>
      <c r="Z545" s="738"/>
      <c r="AB545" s="738"/>
      <c r="AD545" s="738"/>
      <c r="AF545" s="744"/>
    </row>
    <row r="546" spans="1:32">
      <c r="A546" s="58">
        <f>MAX(A$529:A545)+1</f>
        <v>258</v>
      </c>
      <c r="B546" s="58"/>
      <c r="C546" s="10" t="s">
        <v>270</v>
      </c>
      <c r="D546" s="58"/>
      <c r="E546" s="522" t="s">
        <v>262</v>
      </c>
      <c r="F546" s="58"/>
      <c r="G546" s="29">
        <v>2163.9659000000001</v>
      </c>
      <c r="H546" s="58"/>
      <c r="I546" s="689">
        <v>-7.3899999999999993E-2</v>
      </c>
      <c r="J546" s="621">
        <f>G546*I546/100</f>
        <v>-1.5991708001</v>
      </c>
      <c r="K546" s="58"/>
      <c r="L546" s="687">
        <v>0</v>
      </c>
      <c r="M546" s="687">
        <v>0</v>
      </c>
      <c r="N546" s="538">
        <f>J546-L546-M546</f>
        <v>-1.5991708001</v>
      </c>
      <c r="O546" s="564"/>
      <c r="P546" s="29">
        <v>-4.3697800338368342E-2</v>
      </c>
      <c r="Q546" s="29">
        <v>0</v>
      </c>
      <c r="R546" s="29">
        <v>0</v>
      </c>
      <c r="S546" s="564"/>
      <c r="T546" s="564">
        <f>N546+P546+Q546+R546</f>
        <v>-1.6428686004383684</v>
      </c>
      <c r="U546" s="565">
        <f>T546/G546*100</f>
        <v>-7.5919338675270634E-2</v>
      </c>
      <c r="V546" s="538">
        <f>T546-J546</f>
        <v>-4.3697800338368342E-2</v>
      </c>
      <c r="W546" s="541">
        <f>U546/I546-1</f>
        <v>2.7325286539521487E-2</v>
      </c>
      <c r="X546" s="542"/>
      <c r="Z546" s="738"/>
      <c r="AB546" s="738"/>
      <c r="AD546" s="738"/>
      <c r="AF546" s="744"/>
    </row>
    <row r="547" spans="1:32">
      <c r="A547" s="58"/>
      <c r="B547" s="58"/>
      <c r="C547" s="10"/>
      <c r="D547" s="58"/>
      <c r="E547" s="30"/>
      <c r="F547" s="58"/>
      <c r="G547" s="29"/>
      <c r="H547" s="58"/>
      <c r="I547" s="58"/>
      <c r="J547" s="539"/>
      <c r="K547" s="58"/>
      <c r="L547" s="538"/>
      <c r="M547" s="538"/>
      <c r="N547" s="538"/>
      <c r="O547" s="564"/>
      <c r="P547" s="564"/>
      <c r="Q547" s="538"/>
      <c r="R547" s="538"/>
      <c r="S547" s="564"/>
      <c r="T547" s="564"/>
      <c r="U547" s="565"/>
      <c r="V547" s="538"/>
      <c r="W547" s="541"/>
      <c r="X547" s="542"/>
      <c r="Z547" s="738"/>
      <c r="AB547" s="738"/>
      <c r="AD547" s="738"/>
      <c r="AF547" s="744"/>
    </row>
    <row r="548" spans="1:32" ht="12.95" thickBot="1">
      <c r="A548" s="58">
        <f>MAX(A$529:A547)+1</f>
        <v>259</v>
      </c>
      <c r="B548" s="58"/>
      <c r="C548" s="10" t="s">
        <v>362</v>
      </c>
      <c r="D548" s="58"/>
      <c r="E548" s="30"/>
      <c r="F548" s="58"/>
      <c r="G548" s="691">
        <f>G536+G543</f>
        <v>59492.901049999993</v>
      </c>
      <c r="H548" s="58"/>
      <c r="I548" s="692">
        <f>J548/G548*100</f>
        <v>4.4940518047584002</v>
      </c>
      <c r="J548" s="627">
        <f>J536+J543+J545+J546</f>
        <v>2673.6417933406537</v>
      </c>
      <c r="K548" s="539"/>
      <c r="L548" s="628">
        <f t="shared" ref="L548:T548" si="201">L536+L543+L545+L546</f>
        <v>513.786125051</v>
      </c>
      <c r="M548" s="628">
        <f t="shared" si="201"/>
        <v>504.22309514895608</v>
      </c>
      <c r="N548" s="628">
        <f t="shared" si="201"/>
        <v>1655.6325731406978</v>
      </c>
      <c r="O548" s="564"/>
      <c r="P548" s="628">
        <f t="shared" si="201"/>
        <v>45.240634465234891</v>
      </c>
      <c r="Q548" s="628">
        <f t="shared" si="201"/>
        <v>388.73937828172734</v>
      </c>
      <c r="R548" s="628">
        <f t="shared" si="201"/>
        <v>490.24535172776291</v>
      </c>
      <c r="S548" s="564"/>
      <c r="T548" s="628">
        <f t="shared" si="201"/>
        <v>2579.8579376154225</v>
      </c>
      <c r="U548" s="590">
        <f>T548/G548*100</f>
        <v>4.336413071279237</v>
      </c>
      <c r="V548" s="587">
        <f>T548-J548</f>
        <v>-93.783855725231206</v>
      </c>
      <c r="W548" s="602">
        <f>U548/I548-1</f>
        <v>-3.5077195441372444E-2</v>
      </c>
      <c r="X548" s="542"/>
      <c r="Z548" s="738"/>
      <c r="AB548" s="738"/>
      <c r="AD548" s="738"/>
      <c r="AF548" s="744"/>
    </row>
    <row r="549" spans="1:32" ht="12.95" thickTop="1">
      <c r="A549" s="58"/>
      <c r="B549" s="58"/>
      <c r="C549" s="10"/>
      <c r="D549" s="58"/>
      <c r="E549" s="30"/>
      <c r="F549" s="58"/>
      <c r="G549" s="29"/>
      <c r="H549" s="58"/>
      <c r="I549" s="58"/>
      <c r="J549" s="539"/>
      <c r="K549" s="58"/>
      <c r="L549" s="538"/>
      <c r="M549" s="538"/>
      <c r="N549" s="538"/>
      <c r="O549" s="564"/>
      <c r="P549" s="564"/>
      <c r="Q549" s="538"/>
      <c r="R549" s="538"/>
      <c r="S549" s="564"/>
      <c r="T549" s="564"/>
      <c r="U549" s="564"/>
      <c r="V549" s="538"/>
      <c r="W549" s="501"/>
    </row>
    <row r="550" spans="1:32">
      <c r="A550" s="58"/>
      <c r="B550" s="58"/>
      <c r="C550" s="9" t="s">
        <v>150</v>
      </c>
      <c r="D550" s="58"/>
      <c r="E550" s="30"/>
      <c r="F550" s="58"/>
      <c r="G550" s="29"/>
      <c r="H550" s="58"/>
      <c r="I550" s="58"/>
      <c r="J550" s="539"/>
      <c r="K550" s="58"/>
      <c r="L550" s="538"/>
      <c r="M550" s="538"/>
      <c r="N550" s="538"/>
      <c r="O550" s="564"/>
      <c r="P550" s="564"/>
      <c r="Q550" s="538"/>
      <c r="R550" s="538"/>
      <c r="S550" s="564"/>
      <c r="T550" s="564"/>
      <c r="U550" s="564"/>
      <c r="V550" s="538"/>
      <c r="W550" s="501"/>
    </row>
    <row r="551" spans="1:32">
      <c r="A551" s="58"/>
      <c r="B551" s="58"/>
      <c r="C551" s="10" t="s">
        <v>361</v>
      </c>
      <c r="D551" s="58"/>
      <c r="E551" s="30"/>
      <c r="F551" s="58"/>
      <c r="G551" s="29"/>
      <c r="H551" s="58"/>
      <c r="I551" s="58"/>
      <c r="J551" s="539"/>
      <c r="K551" s="58"/>
      <c r="L551" s="538"/>
      <c r="M551" s="538"/>
      <c r="N551" s="538"/>
      <c r="O551" s="564"/>
      <c r="P551" s="29"/>
      <c r="Q551" s="29"/>
      <c r="R551" s="29"/>
      <c r="S551" s="564"/>
      <c r="T551" s="564"/>
      <c r="U551" s="564"/>
      <c r="V551" s="538"/>
      <c r="W551" s="501"/>
    </row>
    <row r="552" spans="1:32">
      <c r="A552" s="58">
        <f>MAX(A$529:A551)+1</f>
        <v>260</v>
      </c>
      <c r="B552" s="58"/>
      <c r="C552" s="526" t="s">
        <v>280</v>
      </c>
      <c r="D552" s="58"/>
      <c r="E552" s="522" t="s">
        <v>281</v>
      </c>
      <c r="F552" s="58"/>
      <c r="G552" s="29">
        <v>71858.168000000005</v>
      </c>
      <c r="H552" s="58"/>
      <c r="I552" s="684">
        <v>34.034500000000001</v>
      </c>
      <c r="J552" s="539">
        <f>G552*I552/100</f>
        <v>24456.568187960005</v>
      </c>
      <c r="K552" s="58"/>
      <c r="L552" s="29">
        <v>2026.6159121040002</v>
      </c>
      <c r="M552" s="29">
        <v>0</v>
      </c>
      <c r="N552" s="538">
        <f>J552-L552-M552</f>
        <v>22429.952275856005</v>
      </c>
      <c r="O552" s="564"/>
      <c r="P552" s="29">
        <v>612.90487300555833</v>
      </c>
      <c r="Q552" s="29">
        <v>3676.9747646837468</v>
      </c>
      <c r="R552" s="29">
        <v>0</v>
      </c>
      <c r="S552" s="564"/>
      <c r="T552" s="564">
        <f>N552+P552+Q552+R552</f>
        <v>26719.831913545309</v>
      </c>
      <c r="U552" s="565">
        <f>T552/G552*100</f>
        <v>37.184126254854291</v>
      </c>
      <c r="V552" s="538">
        <f>T552-J552</f>
        <v>2263.2637255853042</v>
      </c>
      <c r="W552" s="541">
        <f>U552/I552-1</f>
        <v>9.2542163241836617E-2</v>
      </c>
      <c r="X552" s="542"/>
      <c r="Z552" s="738"/>
      <c r="AB552" s="738"/>
      <c r="AD552" s="738"/>
      <c r="AF552" s="744"/>
    </row>
    <row r="553" spans="1:32">
      <c r="A553" s="58">
        <f>MAX(A$529:A552)+1</f>
        <v>261</v>
      </c>
      <c r="C553" s="526" t="s">
        <v>260</v>
      </c>
      <c r="E553" s="522" t="s">
        <v>262</v>
      </c>
      <c r="G553" s="29">
        <v>713737.64702999999</v>
      </c>
      <c r="I553" s="684">
        <v>0.23509999999999998</v>
      </c>
      <c r="J553" s="539">
        <f t="shared" ref="J553:J554" si="202">G553*I553/100</f>
        <v>1677.9972081675298</v>
      </c>
      <c r="L553" s="29">
        <v>258.37302822486004</v>
      </c>
      <c r="M553" s="29">
        <v>124.56063975383093</v>
      </c>
      <c r="N553" s="538">
        <f t="shared" ref="N553:N554" si="203">J553-L553-M553</f>
        <v>1295.0635401888389</v>
      </c>
      <c r="O553" s="64"/>
      <c r="P553" s="29">
        <v>35.387982322547032</v>
      </c>
      <c r="Q553" s="29">
        <v>212.30165349313589</v>
      </c>
      <c r="R553" s="29">
        <v>121.10765102798851</v>
      </c>
      <c r="S553" s="64"/>
      <c r="T553" s="564">
        <f t="shared" ref="T553:T554" si="204">N553+P553+Q553+R553</f>
        <v>1663.8608270325105</v>
      </c>
      <c r="U553" s="565">
        <f>T553/G553*100</f>
        <v>0.23311938692825809</v>
      </c>
      <c r="V553" s="538">
        <f>T553-J553</f>
        <v>-14.136381135019292</v>
      </c>
      <c r="W553" s="559">
        <f>U553/I553-1</f>
        <v>-8.4245558134491416E-3</v>
      </c>
      <c r="X553" s="542"/>
      <c r="Z553" s="738"/>
      <c r="AB553" s="738"/>
      <c r="AD553" s="738"/>
      <c r="AF553" s="744"/>
    </row>
    <row r="554" spans="1:32">
      <c r="A554" s="58">
        <f>MAX(A$529:A553)+1</f>
        <v>262</v>
      </c>
      <c r="B554" s="58"/>
      <c r="C554" s="12" t="s">
        <v>351</v>
      </c>
      <c r="D554" s="58"/>
      <c r="E554" s="522" t="s">
        <v>262</v>
      </c>
      <c r="F554" s="58"/>
      <c r="G554" s="29">
        <v>22348.747200000002</v>
      </c>
      <c r="H554" s="58"/>
      <c r="I554" s="684">
        <v>0.23509999999999998</v>
      </c>
      <c r="J554" s="539">
        <f t="shared" si="202"/>
        <v>52.541904667199994</v>
      </c>
      <c r="K554" s="58"/>
      <c r="L554" s="29">
        <v>8.0902464864000017</v>
      </c>
      <c r="M554" s="29">
        <v>3.9002766079559619</v>
      </c>
      <c r="N554" s="538">
        <f t="shared" si="203"/>
        <v>40.551381572844036</v>
      </c>
      <c r="O554" s="564"/>
      <c r="P554" s="29">
        <v>1.1080781210514346</v>
      </c>
      <c r="Q554" s="29">
        <v>6.64764707845187</v>
      </c>
      <c r="R554" s="29">
        <v>3.7921556864389006</v>
      </c>
      <c r="S554" s="564"/>
      <c r="T554" s="564">
        <f t="shared" si="204"/>
        <v>52.099262458786242</v>
      </c>
      <c r="U554" s="565">
        <f>T554/G554*100</f>
        <v>0.23311938692825804</v>
      </c>
      <c r="V554" s="538">
        <f>T554-J554</f>
        <v>-0.44264220841375135</v>
      </c>
      <c r="W554" s="559">
        <f>U554/I554-1</f>
        <v>-8.4245558134493637E-3</v>
      </c>
      <c r="X554" s="542"/>
      <c r="Z554" s="738"/>
      <c r="AB554" s="738"/>
      <c r="AD554" s="738"/>
      <c r="AF554" s="744"/>
    </row>
    <row r="555" spans="1:32">
      <c r="A555" s="58"/>
      <c r="B555" s="58"/>
      <c r="C555" s="10"/>
      <c r="D555" s="58"/>
      <c r="E555" s="30"/>
      <c r="F555" s="58"/>
      <c r="G555" s="129"/>
      <c r="H555" s="58"/>
      <c r="I555" s="684"/>
      <c r="J555" s="58"/>
      <c r="K555" s="58"/>
      <c r="L555" s="538"/>
      <c r="M555" s="538"/>
      <c r="N555" s="538"/>
      <c r="O555" s="564"/>
      <c r="P555" s="564"/>
      <c r="Q555" s="538"/>
      <c r="R555" s="538"/>
      <c r="S555" s="564"/>
      <c r="T555" s="564"/>
      <c r="U555" s="565"/>
      <c r="V555" s="538"/>
      <c r="W555" s="541"/>
      <c r="X555" s="542"/>
      <c r="Z555" s="738"/>
      <c r="AB555" s="738"/>
      <c r="AD555" s="738"/>
      <c r="AF555" s="744"/>
    </row>
    <row r="556" spans="1:32">
      <c r="A556" s="58">
        <f>MAX(A$529:A555)+1</f>
        <v>263</v>
      </c>
      <c r="B556" s="58"/>
      <c r="C556" s="10" t="s">
        <v>353</v>
      </c>
      <c r="D556" s="58"/>
      <c r="E556" s="30"/>
      <c r="F556" s="58"/>
      <c r="G556" s="411">
        <f>G553</f>
        <v>713737.64702999999</v>
      </c>
      <c r="H556" s="58"/>
      <c r="I556" s="556">
        <f>J556/G556*100</f>
        <v>3.6690102322280942</v>
      </c>
      <c r="J556" s="554">
        <f>SUM(J552:J555)</f>
        <v>26187.107300794734</v>
      </c>
      <c r="K556" s="58"/>
      <c r="L556" s="555">
        <f>SUM(L552:L555)</f>
        <v>2293.0791868152601</v>
      </c>
      <c r="M556" s="555">
        <f t="shared" ref="M556:N556" si="205">SUM(M552:M555)</f>
        <v>128.4609163617869</v>
      </c>
      <c r="N556" s="555">
        <f t="shared" si="205"/>
        <v>23765.567197617689</v>
      </c>
      <c r="O556" s="538"/>
      <c r="P556" s="619">
        <f>SUM(P552:P555)</f>
        <v>649.40093344915681</v>
      </c>
      <c r="Q556" s="619">
        <f t="shared" ref="Q556:R556" si="206">SUM(Q552:Q555)</f>
        <v>3895.9240652553344</v>
      </c>
      <c r="R556" s="619">
        <f t="shared" si="206"/>
        <v>124.89980671442741</v>
      </c>
      <c r="S556" s="564"/>
      <c r="T556" s="619">
        <f t="shared" ref="T556" si="207">SUM(T552:T555)</f>
        <v>28435.792003036604</v>
      </c>
      <c r="U556" s="592">
        <f>T556/G556*100</f>
        <v>3.9840678323979994</v>
      </c>
      <c r="V556" s="555">
        <f>SUM(V552:V555)</f>
        <v>2248.684702241871</v>
      </c>
      <c r="W556" s="562">
        <f>U556/I556-1</f>
        <v>8.586991592514015E-2</v>
      </c>
      <c r="X556" s="542"/>
      <c r="Z556" s="738"/>
      <c r="AB556" s="738"/>
      <c r="AD556" s="738"/>
      <c r="AF556" s="744"/>
    </row>
    <row r="557" spans="1:32">
      <c r="A557" s="58"/>
      <c r="B557" s="58"/>
      <c r="D557" s="58"/>
      <c r="E557" s="30"/>
      <c r="F557" s="58"/>
      <c r="G557" s="29"/>
      <c r="H557" s="58"/>
      <c r="I557" s="58"/>
      <c r="J557" s="58"/>
      <c r="K557" s="58"/>
      <c r="L557" s="538"/>
      <c r="M557" s="538"/>
      <c r="N557" s="538"/>
      <c r="O557" s="564"/>
      <c r="P557" s="564"/>
      <c r="Q557" s="538"/>
      <c r="R557" s="538"/>
      <c r="S557" s="564"/>
      <c r="T557" s="564"/>
      <c r="U557" s="565"/>
      <c r="V557" s="538"/>
      <c r="W557" s="501"/>
      <c r="Z557" s="738"/>
      <c r="AB557" s="738"/>
      <c r="AD557" s="738"/>
      <c r="AF557" s="744"/>
    </row>
    <row r="558" spans="1:32">
      <c r="A558" s="58"/>
      <c r="B558" s="58"/>
      <c r="C558" s="10" t="s">
        <v>354</v>
      </c>
      <c r="D558" s="58"/>
      <c r="E558" s="30"/>
      <c r="F558" s="58"/>
      <c r="G558" s="132"/>
      <c r="H558" s="58"/>
      <c r="I558" s="58"/>
      <c r="J558" s="539"/>
      <c r="K558" s="58"/>
      <c r="L558" s="538"/>
      <c r="M558" s="538"/>
      <c r="N558" s="538"/>
      <c r="O558" s="564"/>
      <c r="P558" s="564"/>
      <c r="Q558" s="538"/>
      <c r="R558" s="538"/>
      <c r="S558" s="564"/>
      <c r="T558" s="564"/>
      <c r="U558" s="565"/>
      <c r="V558" s="538"/>
      <c r="W558" s="501"/>
      <c r="Z558" s="738"/>
      <c r="AB558" s="738"/>
      <c r="AD558" s="738"/>
      <c r="AF558" s="744"/>
    </row>
    <row r="559" spans="1:32">
      <c r="A559" s="58">
        <f>MAX(A$529:A558)+1</f>
        <v>264</v>
      </c>
      <c r="B559" s="58"/>
      <c r="C559" s="12" t="s">
        <v>333</v>
      </c>
      <c r="D559" s="58"/>
      <c r="E559" s="522" t="s">
        <v>262</v>
      </c>
      <c r="F559" s="58"/>
      <c r="G559" s="29">
        <v>75999.023490000007</v>
      </c>
      <c r="H559" s="58"/>
      <c r="I559" s="684">
        <v>2.2326716001416473</v>
      </c>
      <c r="J559" s="539">
        <f>G559*I559/100</f>
        <v>1696.8086138462095</v>
      </c>
      <c r="K559" s="58"/>
      <c r="L559" s="29">
        <v>64.675168989990013</v>
      </c>
      <c r="M559" s="29">
        <v>13.263258602054556</v>
      </c>
      <c r="N559" s="538">
        <f>J559-L559-M559</f>
        <v>1618.870186254165</v>
      </c>
      <c r="O559" s="564"/>
      <c r="P559" s="29">
        <v>44.236091709683478</v>
      </c>
      <c r="Q559" s="29">
        <v>266.37489455742417</v>
      </c>
      <c r="R559" s="29">
        <v>12.895583207071539</v>
      </c>
      <c r="S559" s="564"/>
      <c r="T559" s="564">
        <f>N559+P559+Q559+R559</f>
        <v>1942.3767557283441</v>
      </c>
      <c r="U559" s="565">
        <f>T559/G559*100</f>
        <v>2.5557917280133511</v>
      </c>
      <c r="V559" s="538">
        <f>T559-J559</f>
        <v>245.56814188213457</v>
      </c>
      <c r="W559" s="541">
        <f>U559/I559-1</f>
        <v>0.14472353562933482</v>
      </c>
      <c r="X559" s="542"/>
      <c r="Z559" s="738"/>
      <c r="AB559" s="738"/>
      <c r="AD559" s="738"/>
      <c r="AF559" s="744"/>
    </row>
    <row r="560" spans="1:32">
      <c r="A560" s="58">
        <f>MAX(A$529:A559)+1</f>
        <v>265</v>
      </c>
      <c r="B560" s="58"/>
      <c r="C560" s="12" t="s">
        <v>363</v>
      </c>
      <c r="D560" s="58"/>
      <c r="E560" s="522" t="s">
        <v>262</v>
      </c>
      <c r="F560" s="58"/>
      <c r="G560" s="29">
        <v>7467.4059999999999</v>
      </c>
      <c r="H560" s="58"/>
      <c r="I560" s="684">
        <v>2.3215936060527578</v>
      </c>
      <c r="J560" s="539">
        <f>G560*I560/100</f>
        <v>173.362820234</v>
      </c>
      <c r="K560" s="58"/>
      <c r="L560" s="29">
        <v>6.3547625059999993</v>
      </c>
      <c r="M560" s="29">
        <v>1.3032027559875927</v>
      </c>
      <c r="N560" s="538">
        <f>J560-L560-M560</f>
        <v>165.70485497201241</v>
      </c>
      <c r="O560" s="564"/>
      <c r="P560" s="29">
        <v>4.5279326431000868</v>
      </c>
      <c r="Q560" s="29">
        <v>26.173092686239681</v>
      </c>
      <c r="R560" s="29">
        <v>1.2670762200866437</v>
      </c>
      <c r="S560" s="564"/>
      <c r="T560" s="564">
        <f>N560+P560+Q560+R560</f>
        <v>197.67295652143881</v>
      </c>
      <c r="U560" s="565">
        <f>T560/G560*100</f>
        <v>2.6471435532156522</v>
      </c>
      <c r="V560" s="538">
        <f>T560-J560</f>
        <v>24.310136287438809</v>
      </c>
      <c r="W560" s="541">
        <f>U560/I560-1</f>
        <v>0.14022693132602315</v>
      </c>
      <c r="X560" s="542"/>
      <c r="Z560" s="738"/>
      <c r="AB560" s="738"/>
      <c r="AD560" s="738"/>
      <c r="AF560" s="744"/>
    </row>
    <row r="561" spans="1:32">
      <c r="A561" s="58"/>
      <c r="B561" s="58"/>
      <c r="C561" s="10"/>
      <c r="D561" s="58"/>
      <c r="E561" s="30"/>
      <c r="F561" s="58"/>
      <c r="G561" s="132"/>
      <c r="H561" s="58"/>
      <c r="I561" s="58"/>
      <c r="J561" s="539"/>
      <c r="K561" s="58"/>
      <c r="L561" s="538"/>
      <c r="M561" s="538"/>
      <c r="N561" s="538"/>
      <c r="O561" s="564"/>
      <c r="P561" s="564"/>
      <c r="Q561" s="538"/>
      <c r="R561" s="538"/>
      <c r="S561" s="564"/>
      <c r="T561" s="564"/>
      <c r="U561" s="565"/>
      <c r="V561" s="538"/>
      <c r="W561" s="541"/>
      <c r="X561" s="542"/>
      <c r="Z561" s="738"/>
      <c r="AB561" s="738"/>
      <c r="AD561" s="738"/>
      <c r="AF561" s="744"/>
    </row>
    <row r="562" spans="1:32">
      <c r="A562" s="58">
        <f>MAX(A$529:A561)+1</f>
        <v>266</v>
      </c>
      <c r="B562" s="58"/>
      <c r="C562" s="10" t="s">
        <v>356</v>
      </c>
      <c r="D562" s="58"/>
      <c r="E562" s="574"/>
      <c r="F562" s="58"/>
      <c r="G562" s="131">
        <f>G559</f>
        <v>75999.023490000007</v>
      </c>
      <c r="H562" s="58"/>
      <c r="I562" s="556">
        <f>J562/G562*100</f>
        <v>2.4607835051015989</v>
      </c>
      <c r="J562" s="554">
        <f>SUM(J559:J561)</f>
        <v>1870.1714340802096</v>
      </c>
      <c r="K562" s="58"/>
      <c r="L562" s="555">
        <f>SUM(L559:L561)</f>
        <v>71.029931495990013</v>
      </c>
      <c r="M562" s="555">
        <f t="shared" ref="M562:N562" si="208">SUM(M559:M561)</f>
        <v>14.566461358042149</v>
      </c>
      <c r="N562" s="555">
        <f t="shared" si="208"/>
        <v>1784.5750412261773</v>
      </c>
      <c r="O562" s="564"/>
      <c r="P562" s="619">
        <f>SUM(P559:P561)</f>
        <v>48.764024352783565</v>
      </c>
      <c r="Q562" s="619">
        <f t="shared" ref="Q562:R562" si="209">SUM(Q559:Q561)</f>
        <v>292.54798724366384</v>
      </c>
      <c r="R562" s="619">
        <f t="shared" si="209"/>
        <v>14.162659427158182</v>
      </c>
      <c r="S562" s="564"/>
      <c r="T562" s="619">
        <f>SUM(T559:T561)</f>
        <v>2140.0497122497827</v>
      </c>
      <c r="U562" s="592">
        <f>T562/G562*100</f>
        <v>2.8158910654047702</v>
      </c>
      <c r="V562" s="555">
        <f>SUM(V559:V561)</f>
        <v>269.87827816957338</v>
      </c>
      <c r="W562" s="562">
        <f>U562/I562-1</f>
        <v>0.14430670539158608</v>
      </c>
      <c r="X562" s="542"/>
      <c r="Z562" s="738"/>
      <c r="AB562" s="738"/>
      <c r="AD562" s="738"/>
      <c r="AF562" s="744"/>
    </row>
    <row r="563" spans="1:32" ht="12.95">
      <c r="A563" s="58"/>
      <c r="B563" s="58"/>
      <c r="D563" s="58"/>
      <c r="E563" s="128"/>
      <c r="F563" s="58"/>
      <c r="G563" s="575"/>
      <c r="H563" s="58"/>
      <c r="I563" s="58"/>
      <c r="J563" s="539"/>
      <c r="K563" s="58"/>
      <c r="L563" s="538"/>
      <c r="M563" s="538"/>
      <c r="N563" s="538"/>
      <c r="O563" s="564"/>
      <c r="P563" s="564"/>
      <c r="Q563" s="538"/>
      <c r="R563" s="538"/>
      <c r="S563" s="564"/>
      <c r="T563" s="564"/>
      <c r="U563" s="565"/>
      <c r="V563" s="538"/>
      <c r="W563" s="541"/>
      <c r="X563" s="542"/>
      <c r="Z563" s="738"/>
      <c r="AB563" s="738"/>
      <c r="AD563" s="738"/>
      <c r="AF563" s="744"/>
    </row>
    <row r="564" spans="1:32">
      <c r="A564" s="58">
        <f>MAX(A$529:A563)+1</f>
        <v>267</v>
      </c>
      <c r="B564" s="58"/>
      <c r="C564" s="10" t="s">
        <v>270</v>
      </c>
      <c r="D564" s="58"/>
      <c r="E564" s="522" t="s">
        <v>262</v>
      </c>
      <c r="F564" s="58"/>
      <c r="G564" s="29">
        <v>35618.685999999994</v>
      </c>
      <c r="H564" s="58"/>
      <c r="I564" s="689">
        <v>-7.3899999999999993E-2</v>
      </c>
      <c r="J564" s="621">
        <f>G564*I564/100</f>
        <v>-26.322208953999993</v>
      </c>
      <c r="K564" s="58"/>
      <c r="L564" s="687">
        <v>0</v>
      </c>
      <c r="M564" s="687">
        <v>0</v>
      </c>
      <c r="N564" s="538">
        <f>J564-L564-M564</f>
        <v>-26.322208953999993</v>
      </c>
      <c r="O564" s="564"/>
      <c r="P564" s="564">
        <v>-0.71926190202120921</v>
      </c>
      <c r="Q564" s="687">
        <v>0</v>
      </c>
      <c r="R564" s="687">
        <v>0</v>
      </c>
      <c r="S564" s="564"/>
      <c r="T564" s="564">
        <f>N564+P564+Q564+R564</f>
        <v>-27.041470856021203</v>
      </c>
      <c r="U564" s="565">
        <f>T564/G564*100</f>
        <v>-7.5919338675270634E-2</v>
      </c>
      <c r="V564" s="538">
        <f>T564-J564</f>
        <v>-0.71926190202120921</v>
      </c>
      <c r="W564" s="541">
        <f>U564/I564-1</f>
        <v>2.7325286539521487E-2</v>
      </c>
      <c r="X564" s="542"/>
      <c r="Z564" s="738"/>
      <c r="AB564" s="738"/>
      <c r="AD564" s="738"/>
      <c r="AF564" s="744"/>
    </row>
    <row r="565" spans="1:32">
      <c r="A565" s="58"/>
      <c r="B565" s="58"/>
      <c r="C565" s="10"/>
      <c r="D565" s="58"/>
      <c r="E565" s="30"/>
      <c r="F565" s="58"/>
      <c r="G565" s="132"/>
      <c r="H565" s="58"/>
      <c r="I565" s="757"/>
      <c r="J565" s="539"/>
      <c r="K565" s="58"/>
      <c r="L565" s="538"/>
      <c r="M565" s="538"/>
      <c r="N565" s="538"/>
      <c r="O565" s="564"/>
      <c r="P565" s="564"/>
      <c r="Q565" s="538"/>
      <c r="R565" s="538"/>
      <c r="S565" s="564"/>
      <c r="T565" s="564"/>
      <c r="U565" s="565"/>
      <c r="V565" s="538"/>
      <c r="W565" s="501"/>
      <c r="Z565" s="738"/>
      <c r="AB565" s="738"/>
      <c r="AD565" s="738"/>
      <c r="AF565" s="744"/>
    </row>
    <row r="566" spans="1:32" ht="12.95" thickBot="1">
      <c r="A566" s="58">
        <f>MAX(A$529:A565)+1</f>
        <v>268</v>
      </c>
      <c r="B566" s="58"/>
      <c r="C566" s="10" t="s">
        <v>364</v>
      </c>
      <c r="D566" s="58"/>
      <c r="E566" s="30"/>
      <c r="F566" s="58"/>
      <c r="G566" s="439">
        <f>G556+G562</f>
        <v>789736.67052000004</v>
      </c>
      <c r="H566" s="58"/>
      <c r="I566" s="572">
        <f>J566/G566*100</f>
        <v>3.5494054628948701</v>
      </c>
      <c r="J566" s="627">
        <f>J556+J562+J564</f>
        <v>28030.956525920945</v>
      </c>
      <c r="K566" s="539"/>
      <c r="L566" s="628">
        <f>L556+L562+L564</f>
        <v>2364.1091183112503</v>
      </c>
      <c r="M566" s="628">
        <f>M556+M562+M564</f>
        <v>143.02737771982905</v>
      </c>
      <c r="N566" s="628">
        <f>N556+N562+N564</f>
        <v>25523.820029889866</v>
      </c>
      <c r="O566" s="564"/>
      <c r="P566" s="628">
        <f>P556+P562+P564</f>
        <v>697.44569589991909</v>
      </c>
      <c r="Q566" s="628">
        <f>Q556+Q562+Q564</f>
        <v>4188.472052498998</v>
      </c>
      <c r="R566" s="628">
        <f>R556+R562+R564</f>
        <v>139.06246614158559</v>
      </c>
      <c r="S566" s="564"/>
      <c r="T566" s="628">
        <f>T556+T562+T564</f>
        <v>30548.800244430367</v>
      </c>
      <c r="U566" s="590">
        <f>T566/G566*100</f>
        <v>3.8682261296433902</v>
      </c>
      <c r="V566" s="587">
        <f>V556+V562+V564</f>
        <v>2517.8437185094231</v>
      </c>
      <c r="W566" s="573">
        <f>U566/I566-1</f>
        <v>8.9823681763450125E-2</v>
      </c>
      <c r="X566" s="542"/>
      <c r="Z566" s="738"/>
      <c r="AB566" s="738"/>
      <c r="AD566" s="738"/>
      <c r="AF566" s="744"/>
    </row>
    <row r="567" spans="1:32" ht="12.95" thickTop="1">
      <c r="L567" s="2"/>
      <c r="M567" s="2"/>
      <c r="N567" s="501"/>
      <c r="Q567" s="501"/>
      <c r="R567" s="501"/>
      <c r="V567" s="538"/>
      <c r="W567" s="501"/>
      <c r="Z567" s="738"/>
      <c r="AB567" s="738"/>
      <c r="AD567" s="738"/>
      <c r="AF567" s="744"/>
    </row>
    <row r="568" spans="1:32">
      <c r="L568" s="2"/>
      <c r="M568" s="2"/>
      <c r="N568" s="501"/>
      <c r="Q568" s="501"/>
      <c r="R568" s="501"/>
      <c r="V568" s="538"/>
      <c r="W568" s="501"/>
      <c r="Z568" s="738"/>
      <c r="AB568" s="738"/>
      <c r="AD568" s="738"/>
      <c r="AF568" s="744"/>
    </row>
    <row r="569" spans="1:32">
      <c r="L569" s="2"/>
      <c r="M569" s="2"/>
      <c r="N569" s="501"/>
      <c r="Q569" s="501"/>
      <c r="R569" s="501"/>
      <c r="T569" s="64"/>
      <c r="V569" s="501"/>
      <c r="W569" s="501"/>
      <c r="Z569" s="738"/>
      <c r="AB569" s="738"/>
      <c r="AD569" s="738"/>
      <c r="AF569" s="744"/>
    </row>
    <row r="570" spans="1:32">
      <c r="L570" s="2"/>
      <c r="M570" s="2"/>
      <c r="N570" s="501"/>
      <c r="Q570" s="501"/>
      <c r="R570" s="501"/>
      <c r="V570" s="501"/>
      <c r="W570" s="501"/>
      <c r="Z570" s="738"/>
      <c r="AB570" s="738"/>
      <c r="AD570" s="738"/>
      <c r="AF570" s="744"/>
    </row>
    <row r="571" spans="1:32">
      <c r="A571" s="1156" t="s">
        <v>279</v>
      </c>
      <c r="B571" s="1156"/>
      <c r="C571" s="1156"/>
      <c r="D571" s="1156"/>
      <c r="E571" s="1156"/>
      <c r="F571" s="1156"/>
      <c r="G571" s="1156"/>
      <c r="H571" s="1156"/>
      <c r="I571" s="1156"/>
      <c r="J571" s="1156"/>
      <c r="K571" s="1156"/>
      <c r="L571" s="1156"/>
      <c r="M571" s="1156"/>
      <c r="N571" s="1156"/>
      <c r="O571" s="1156"/>
      <c r="P571" s="1156"/>
      <c r="Q571" s="1156"/>
      <c r="R571" s="1156"/>
      <c r="S571" s="1156"/>
      <c r="T571" s="1156"/>
      <c r="U571" s="1156"/>
      <c r="V571" s="1156"/>
      <c r="W571" s="1156"/>
      <c r="X571" s="531"/>
      <c r="Z571" s="738"/>
      <c r="AB571" s="738"/>
      <c r="AD571" s="738"/>
      <c r="AF571" s="744"/>
    </row>
    <row r="572" spans="1:32">
      <c r="A572" s="1156" t="s">
        <v>478</v>
      </c>
      <c r="B572" s="1156"/>
      <c r="C572" s="1156"/>
      <c r="D572" s="1156"/>
      <c r="E572" s="1156"/>
      <c r="F572" s="1156"/>
      <c r="G572" s="1156"/>
      <c r="H572" s="1156"/>
      <c r="I572" s="1156"/>
      <c r="J572" s="1156"/>
      <c r="K572" s="1156"/>
      <c r="L572" s="1156"/>
      <c r="M572" s="1156"/>
      <c r="N572" s="1156"/>
      <c r="O572" s="1156"/>
      <c r="P572" s="1156"/>
      <c r="Q572" s="1156"/>
      <c r="R572" s="1156"/>
      <c r="S572" s="1156"/>
      <c r="T572" s="1156"/>
      <c r="U572" s="1156"/>
      <c r="V572" s="1156"/>
      <c r="W572" s="1156"/>
      <c r="X572" s="737"/>
      <c r="Y572" s="737"/>
      <c r="Z572" s="738"/>
      <c r="AB572" s="738"/>
      <c r="AD572" s="738"/>
      <c r="AF572" s="744"/>
    </row>
    <row r="573" spans="1:32">
      <c r="A573" s="57"/>
      <c r="B573" s="57"/>
      <c r="C573" s="57"/>
      <c r="D573" s="57"/>
      <c r="E573" s="3"/>
      <c r="F573" s="57"/>
      <c r="G573" s="3"/>
      <c r="H573" s="57"/>
      <c r="I573" s="57"/>
      <c r="J573" s="57"/>
      <c r="K573" s="57"/>
      <c r="L573" s="57"/>
      <c r="M573" s="57"/>
      <c r="N573" s="501"/>
      <c r="O573" s="57"/>
      <c r="P573" s="57"/>
      <c r="Q573" s="501"/>
      <c r="R573" s="501"/>
      <c r="S573" s="57"/>
      <c r="T573" s="57"/>
      <c r="U573" s="57"/>
      <c r="V573" s="501"/>
      <c r="W573" s="501"/>
      <c r="Z573" s="738"/>
      <c r="AB573" s="738"/>
      <c r="AD573" s="738"/>
      <c r="AF573" s="744"/>
    </row>
    <row r="574" spans="1:32" ht="26.65" customHeight="1">
      <c r="A574" s="3"/>
      <c r="B574" s="3"/>
      <c r="C574" s="3"/>
      <c r="D574" s="3"/>
      <c r="E574" s="57"/>
      <c r="F574" s="1152" t="s">
        <v>231</v>
      </c>
      <c r="G574" s="1152"/>
      <c r="H574" s="1152"/>
      <c r="I574" s="1152"/>
      <c r="J574" s="1152"/>
      <c r="K574" s="3"/>
      <c r="L574" s="1157" t="s">
        <v>94</v>
      </c>
      <c r="M574" s="1157"/>
      <c r="N574" s="58"/>
      <c r="O574" s="3"/>
      <c r="P574" s="59"/>
      <c r="Q574" s="1157" t="s">
        <v>95</v>
      </c>
      <c r="R574" s="1157"/>
      <c r="S574" s="3"/>
      <c r="T574" s="1152" t="s">
        <v>472</v>
      </c>
      <c r="U574" s="1152"/>
      <c r="V574" s="1152"/>
      <c r="W574" s="1152"/>
      <c r="X574" s="6"/>
      <c r="Z574" s="738"/>
      <c r="AB574" s="738"/>
      <c r="AD574" s="738"/>
      <c r="AF574" s="744"/>
    </row>
    <row r="575" spans="1:32" ht="37.5">
      <c r="A575" s="5" t="s">
        <v>56</v>
      </c>
      <c r="B575" s="5"/>
      <c r="C575" s="5"/>
      <c r="D575" s="5"/>
      <c r="E575" s="6" t="s">
        <v>233</v>
      </c>
      <c r="F575" s="5"/>
      <c r="G575" s="17" t="s">
        <v>234</v>
      </c>
      <c r="H575" s="5"/>
      <c r="I575" s="17" t="s">
        <v>235</v>
      </c>
      <c r="J575" s="17" t="s">
        <v>101</v>
      </c>
      <c r="K575" s="5"/>
      <c r="L575" s="17" t="s">
        <v>106</v>
      </c>
      <c r="M575" s="17" t="s">
        <v>236</v>
      </c>
      <c r="N575" s="5" t="s">
        <v>239</v>
      </c>
      <c r="O575" s="5"/>
      <c r="P575" s="5" t="s">
        <v>240</v>
      </c>
      <c r="Q575" s="17" t="s">
        <v>106</v>
      </c>
      <c r="R575" s="17" t="s">
        <v>236</v>
      </c>
      <c r="S575" s="5"/>
      <c r="T575" s="17" t="s">
        <v>241</v>
      </c>
      <c r="U575" s="17" t="s">
        <v>242</v>
      </c>
      <c r="V575" s="17" t="s">
        <v>243</v>
      </c>
      <c r="W575" s="5" t="s">
        <v>244</v>
      </c>
      <c r="X575" s="5"/>
      <c r="Z575" s="738"/>
      <c r="AB575" s="738"/>
      <c r="AD575" s="738"/>
      <c r="AF575" s="744"/>
    </row>
    <row r="576" spans="1:32" ht="14.45">
      <c r="A576" s="237" t="s">
        <v>57</v>
      </c>
      <c r="B576" s="58"/>
      <c r="C576" s="59" t="s">
        <v>194</v>
      </c>
      <c r="D576" s="58"/>
      <c r="E576" s="237" t="s">
        <v>245</v>
      </c>
      <c r="F576" s="58"/>
      <c r="G576" s="237" t="s">
        <v>246</v>
      </c>
      <c r="H576" s="58"/>
      <c r="I576" s="237" t="s">
        <v>247</v>
      </c>
      <c r="J576" s="237" t="s">
        <v>248</v>
      </c>
      <c r="K576" s="58"/>
      <c r="L576" s="237" t="s">
        <v>248</v>
      </c>
      <c r="M576" s="237" t="s">
        <v>248</v>
      </c>
      <c r="N576" s="237" t="s">
        <v>248</v>
      </c>
      <c r="O576" s="58"/>
      <c r="P576" s="237" t="s">
        <v>248</v>
      </c>
      <c r="Q576" s="237" t="s">
        <v>248</v>
      </c>
      <c r="R576" s="237" t="s">
        <v>248</v>
      </c>
      <c r="S576" s="58"/>
      <c r="T576" s="237" t="s">
        <v>248</v>
      </c>
      <c r="U576" s="237" t="s">
        <v>247</v>
      </c>
      <c r="V576" s="237" t="s">
        <v>248</v>
      </c>
      <c r="W576" s="237" t="s">
        <v>249</v>
      </c>
      <c r="X576" s="6"/>
      <c r="Z576" s="738"/>
      <c r="AB576" s="738"/>
      <c r="AD576" s="738"/>
      <c r="AF576" s="744"/>
    </row>
    <row r="577" spans="1:32">
      <c r="A577" s="6"/>
      <c r="B577" s="58"/>
      <c r="C577" s="58"/>
      <c r="D577" s="58"/>
      <c r="E577" s="6"/>
      <c r="F577" s="58"/>
      <c r="G577" s="6" t="s">
        <v>9</v>
      </c>
      <c r="H577" s="6"/>
      <c r="I577" s="6" t="s">
        <v>10</v>
      </c>
      <c r="J577" s="6" t="s">
        <v>58</v>
      </c>
      <c r="K577" s="6"/>
      <c r="L577" s="123" t="s">
        <v>12</v>
      </c>
      <c r="M577" s="123" t="s">
        <v>13</v>
      </c>
      <c r="N577" s="6" t="s">
        <v>473</v>
      </c>
      <c r="O577" s="6"/>
      <c r="P577" s="6" t="s">
        <v>474</v>
      </c>
      <c r="Q577" s="6" t="s">
        <v>210</v>
      </c>
      <c r="R577" s="6" t="s">
        <v>118</v>
      </c>
      <c r="S577" s="6"/>
      <c r="T577" s="6" t="s">
        <v>475</v>
      </c>
      <c r="U577" s="6" t="s">
        <v>120</v>
      </c>
      <c r="V577" s="6" t="s">
        <v>476</v>
      </c>
      <c r="W577" s="6" t="s">
        <v>477</v>
      </c>
      <c r="Z577" s="738"/>
      <c r="AB577" s="738"/>
      <c r="AD577" s="738"/>
      <c r="AF577" s="744"/>
    </row>
    <row r="578" spans="1:32">
      <c r="A578" s="6"/>
      <c r="B578" s="58"/>
      <c r="C578" s="10"/>
      <c r="D578" s="58"/>
      <c r="E578" s="30"/>
      <c r="F578" s="58"/>
      <c r="G578" s="132"/>
      <c r="H578" s="58"/>
      <c r="I578" s="548"/>
      <c r="J578" s="539"/>
      <c r="K578" s="539"/>
      <c r="L578" s="564"/>
      <c r="M578" s="564"/>
      <c r="N578" s="564"/>
      <c r="O578" s="564"/>
      <c r="P578" s="564"/>
      <c r="Q578" s="564"/>
      <c r="R578" s="564"/>
      <c r="S578" s="564"/>
      <c r="T578" s="564"/>
      <c r="U578" s="565"/>
      <c r="V578" s="538"/>
      <c r="W578" s="541"/>
      <c r="X578" s="542"/>
      <c r="Z578" s="738"/>
      <c r="AB578" s="738"/>
      <c r="AD578" s="738"/>
      <c r="AF578" s="744"/>
    </row>
    <row r="579" spans="1:32">
      <c r="A579" s="6"/>
      <c r="B579" s="58"/>
      <c r="C579" s="9" t="s">
        <v>151</v>
      </c>
      <c r="D579" s="58"/>
      <c r="E579" s="574"/>
      <c r="F579" s="58"/>
      <c r="G579" s="29"/>
      <c r="H579" s="58"/>
      <c r="I579" s="58"/>
      <c r="J579" s="539"/>
      <c r="K579" s="58"/>
      <c r="L579" s="538"/>
      <c r="M579" s="538"/>
      <c r="N579" s="538"/>
      <c r="O579" s="564"/>
      <c r="P579" s="564"/>
      <c r="Q579" s="538"/>
      <c r="R579" s="538"/>
      <c r="S579" s="564"/>
      <c r="T579" s="564"/>
      <c r="U579" s="564"/>
      <c r="V579" s="538"/>
      <c r="W579" s="501"/>
    </row>
    <row r="580" spans="1:32">
      <c r="A580" s="58">
        <v>269</v>
      </c>
      <c r="B580" s="58"/>
      <c r="C580" s="521" t="s">
        <v>280</v>
      </c>
      <c r="D580" s="58"/>
      <c r="E580" s="522" t="s">
        <v>281</v>
      </c>
      <c r="F580" s="58"/>
      <c r="G580" s="29">
        <v>6040.4639999999999</v>
      </c>
      <c r="H580" s="539"/>
      <c r="I580" s="684">
        <v>27.228400000000001</v>
      </c>
      <c r="J580" s="539">
        <f>G580*I580/100</f>
        <v>1644.7216997759999</v>
      </c>
      <c r="K580" s="539"/>
      <c r="L580" s="29">
        <v>16.88309688</v>
      </c>
      <c r="M580" s="687">
        <v>0</v>
      </c>
      <c r="N580" s="538">
        <f>J580-L580-M580</f>
        <v>1627.8386028959999</v>
      </c>
      <c r="O580" s="564"/>
      <c r="P580" s="29">
        <v>44.481156264227593</v>
      </c>
      <c r="Q580" s="29">
        <v>17.720613264513492</v>
      </c>
      <c r="R580" s="29">
        <v>0</v>
      </c>
      <c r="S580" s="564"/>
      <c r="T580" s="564">
        <f>N580+P580+Q580+R580</f>
        <v>1690.040372424741</v>
      </c>
      <c r="U580" s="565">
        <f>T580/G580*100</f>
        <v>27.978651514597903</v>
      </c>
      <c r="V580" s="538">
        <f>T580-J580</f>
        <v>45.318672648741085</v>
      </c>
      <c r="W580" s="541">
        <f>U580/I580-1</f>
        <v>2.7554006647394047E-2</v>
      </c>
      <c r="X580" s="542"/>
      <c r="Z580" s="738"/>
      <c r="AB580" s="738"/>
      <c r="AD580" s="738"/>
      <c r="AF580" s="744"/>
    </row>
    <row r="581" spans="1:32">
      <c r="A581" s="58">
        <f>MAX(A$579:A580)+1</f>
        <v>270</v>
      </c>
      <c r="B581" s="58"/>
      <c r="C581" s="521" t="s">
        <v>260</v>
      </c>
      <c r="D581" s="58"/>
      <c r="E581" s="522" t="s">
        <v>262</v>
      </c>
      <c r="F581" s="58"/>
      <c r="G581" s="29">
        <v>90073.425800000012</v>
      </c>
      <c r="H581" s="539"/>
      <c r="I581" s="684">
        <v>0.15699999999999997</v>
      </c>
      <c r="J581" s="539">
        <f>G581*I581/100</f>
        <v>141.41527850599999</v>
      </c>
      <c r="K581" s="539"/>
      <c r="L581" s="687">
        <v>0</v>
      </c>
      <c r="M581" s="29">
        <v>65.613483750987882</v>
      </c>
      <c r="N581" s="538">
        <f>J581-L581-M581</f>
        <v>75.801794755012111</v>
      </c>
      <c r="O581" s="564"/>
      <c r="P581" s="29">
        <v>2.0713057618906987</v>
      </c>
      <c r="Q581" s="29">
        <v>0</v>
      </c>
      <c r="R581" s="29">
        <v>63.794589595473241</v>
      </c>
      <c r="S581" s="564"/>
      <c r="T581" s="564">
        <f>N581+P581+Q581+R581</f>
        <v>141.66769011237605</v>
      </c>
      <c r="U581" s="565">
        <f>T581/G581*100</f>
        <v>0.15728022871799779</v>
      </c>
      <c r="V581" s="538">
        <f>T581-J581</f>
        <v>0.25241160637605731</v>
      </c>
      <c r="W581" s="541">
        <f>U581/I581-1</f>
        <v>1.7848962929798429E-3</v>
      </c>
      <c r="X581" s="542"/>
      <c r="Z581" s="738"/>
      <c r="AB581" s="738"/>
      <c r="AD581" s="738"/>
      <c r="AF581" s="744"/>
    </row>
    <row r="582" spans="1:32">
      <c r="A582" s="58"/>
      <c r="C582" s="10"/>
      <c r="G582" s="568"/>
      <c r="H582" s="567"/>
      <c r="I582" s="684"/>
      <c r="J582" s="539"/>
      <c r="K582" s="567"/>
      <c r="L582" s="538"/>
      <c r="M582" s="538"/>
      <c r="N582" s="538"/>
      <c r="O582" s="64"/>
      <c r="P582" s="130"/>
      <c r="Q582" s="576"/>
      <c r="R582" s="576"/>
      <c r="S582" s="64"/>
      <c r="T582" s="64"/>
      <c r="U582" s="565"/>
      <c r="V582" s="538"/>
      <c r="W582" s="541"/>
      <c r="X582" s="542"/>
      <c r="Z582" s="738"/>
      <c r="AB582" s="738"/>
      <c r="AD582" s="738"/>
      <c r="AF582" s="744"/>
    </row>
    <row r="583" spans="1:32">
      <c r="A583" s="58">
        <f>MAX(A$580:A581)+1</f>
        <v>271</v>
      </c>
      <c r="B583" s="58"/>
      <c r="C583" s="10" t="s">
        <v>481</v>
      </c>
      <c r="D583" s="58"/>
      <c r="E583" s="30"/>
      <c r="F583" s="58"/>
      <c r="G583" s="555">
        <f>G581</f>
        <v>90073.425800000012</v>
      </c>
      <c r="H583" s="539"/>
      <c r="I583" s="635">
        <f>J583/G583*100</f>
        <v>1.9829788446683014</v>
      </c>
      <c r="J583" s="554">
        <f>SUM(J580:J582)</f>
        <v>1786.136978282</v>
      </c>
      <c r="K583" s="539"/>
      <c r="L583" s="555">
        <f>SUM(L580:L582)</f>
        <v>16.88309688</v>
      </c>
      <c r="M583" s="555">
        <f t="shared" ref="M583:N583" si="210">SUM(M580:M582)</f>
        <v>65.613483750987882</v>
      </c>
      <c r="N583" s="555">
        <f t="shared" si="210"/>
        <v>1703.6403976510119</v>
      </c>
      <c r="O583" s="564"/>
      <c r="P583" s="131">
        <f>SUM(P580:P582)</f>
        <v>46.552462026118292</v>
      </c>
      <c r="Q583" s="131">
        <f t="shared" ref="Q583:R583" si="211">SUM(Q580:Q582)</f>
        <v>17.720613264513492</v>
      </c>
      <c r="R583" s="131">
        <f t="shared" si="211"/>
        <v>63.794589595473241</v>
      </c>
      <c r="S583" s="564"/>
      <c r="T583" s="619">
        <f>SUM(T580:T582)</f>
        <v>1831.708062537117</v>
      </c>
      <c r="U583" s="592">
        <f>T583/G583*100</f>
        <v>2.0335721066102903</v>
      </c>
      <c r="V583" s="555">
        <f>SUM(V580:V582)</f>
        <v>45.571084255117142</v>
      </c>
      <c r="W583" s="562">
        <f>U583/I583-1</f>
        <v>2.5513767874034921E-2</v>
      </c>
      <c r="X583" s="542"/>
      <c r="Z583" s="738"/>
      <c r="AB583" s="738"/>
      <c r="AD583" s="738"/>
      <c r="AF583" s="744"/>
    </row>
    <row r="584" spans="1:32">
      <c r="A584" s="58"/>
      <c r="B584" s="58"/>
      <c r="D584" s="58"/>
      <c r="E584" s="30"/>
      <c r="F584" s="58"/>
      <c r="G584" s="536"/>
      <c r="H584" s="539"/>
      <c r="I584" s="597"/>
      <c r="J584" s="539"/>
      <c r="K584" s="539"/>
      <c r="L584" s="538"/>
      <c r="M584" s="538"/>
      <c r="N584" s="538"/>
      <c r="O584" s="564"/>
      <c r="P584" s="132"/>
      <c r="Q584" s="576"/>
      <c r="R584" s="576"/>
      <c r="S584" s="564"/>
      <c r="T584" s="564"/>
      <c r="U584" s="565"/>
      <c r="V584" s="538"/>
      <c r="W584" s="541"/>
      <c r="X584" s="542"/>
      <c r="Z584" s="738"/>
      <c r="AB584" s="738"/>
      <c r="AD584" s="738"/>
      <c r="AF584" s="744"/>
    </row>
    <row r="585" spans="1:32">
      <c r="A585" s="58">
        <f>MAX(A$579:A584)+1</f>
        <v>272</v>
      </c>
      <c r="B585" s="581"/>
      <c r="C585" s="10" t="s">
        <v>270</v>
      </c>
      <c r="D585" s="581"/>
      <c r="E585" s="522" t="s">
        <v>262</v>
      </c>
      <c r="F585" s="581"/>
      <c r="G585" s="29">
        <v>15795.321699999999</v>
      </c>
      <c r="H585" s="693"/>
      <c r="I585" s="689">
        <v>-7.3899999999999993E-2</v>
      </c>
      <c r="J585" s="621">
        <f t="shared" ref="J585" si="212">G585*I585/100</f>
        <v>-11.672742736299996</v>
      </c>
      <c r="K585" s="693"/>
      <c r="L585" s="687">
        <v>0</v>
      </c>
      <c r="M585" s="687">
        <v>0</v>
      </c>
      <c r="N585" s="538">
        <f>J585-L585-M585</f>
        <v>-11.672742736299996</v>
      </c>
      <c r="O585" s="694"/>
      <c r="P585" s="29">
        <v>-0.3189610399715157</v>
      </c>
      <c r="Q585" s="29">
        <v>0</v>
      </c>
      <c r="R585" s="29">
        <v>0</v>
      </c>
      <c r="S585" s="694"/>
      <c r="T585" s="130">
        <f>N585+P585+Q585+R585</f>
        <v>-11.991703776271512</v>
      </c>
      <c r="U585" s="565">
        <f>T585/G585*100</f>
        <v>-7.591933867527062E-2</v>
      </c>
      <c r="V585" s="538">
        <f>T585-J585</f>
        <v>-0.3189610399715157</v>
      </c>
      <c r="W585" s="541">
        <f>U585/I585-1</f>
        <v>2.7325286539521265E-2</v>
      </c>
      <c r="X585" s="542"/>
      <c r="Z585" s="738"/>
      <c r="AB585" s="738"/>
      <c r="AD585" s="738"/>
      <c r="AF585" s="744"/>
    </row>
    <row r="586" spans="1:32">
      <c r="A586" s="58"/>
      <c r="B586" s="57"/>
      <c r="C586" s="10"/>
      <c r="D586" s="57"/>
      <c r="E586" s="3"/>
      <c r="F586" s="57"/>
      <c r="G586" s="29"/>
      <c r="H586" s="614"/>
      <c r="I586" s="597"/>
      <c r="J586" s="614"/>
      <c r="K586" s="614"/>
      <c r="L586" s="538"/>
      <c r="M586" s="538"/>
      <c r="N586" s="538"/>
      <c r="O586" s="583"/>
      <c r="P586" s="583"/>
      <c r="Q586" s="538"/>
      <c r="R586" s="538"/>
      <c r="S586" s="583"/>
      <c r="T586" s="583"/>
      <c r="U586" s="565"/>
      <c r="V586" s="538"/>
      <c r="W586" s="541"/>
      <c r="X586" s="542"/>
    </row>
    <row r="587" spans="1:32" ht="12.95" thickBot="1">
      <c r="A587" s="58">
        <f>MAX(A$579:A586)+1</f>
        <v>273</v>
      </c>
      <c r="B587" s="3"/>
      <c r="C587" s="10" t="s">
        <v>365</v>
      </c>
      <c r="D587" s="3"/>
      <c r="E587" s="57"/>
      <c r="F587" s="3"/>
      <c r="G587" s="439">
        <f>G583</f>
        <v>90073.425800000012</v>
      </c>
      <c r="H587" s="624"/>
      <c r="I587" s="695">
        <f>J587/G587*100</f>
        <v>1.9700197031316862</v>
      </c>
      <c r="J587" s="569">
        <f>J583+J585</f>
        <v>1774.4642355456999</v>
      </c>
      <c r="K587" s="624"/>
      <c r="L587" s="439">
        <f t="shared" ref="L587:R587" si="213">L583+L585</f>
        <v>16.88309688</v>
      </c>
      <c r="M587" s="439">
        <f t="shared" si="213"/>
        <v>65.613483750987882</v>
      </c>
      <c r="N587" s="439">
        <f t="shared" si="213"/>
        <v>1691.9676549147118</v>
      </c>
      <c r="O587" s="132"/>
      <c r="P587" s="439">
        <f>P583+P585</f>
        <v>46.23350098614678</v>
      </c>
      <c r="Q587" s="439">
        <f t="shared" si="213"/>
        <v>17.720613264513492</v>
      </c>
      <c r="R587" s="439">
        <f t="shared" si="213"/>
        <v>63.794589595473241</v>
      </c>
      <c r="S587" s="132"/>
      <c r="T587" s="439">
        <f>T583+T585</f>
        <v>1819.7163587608454</v>
      </c>
      <c r="U587" s="590">
        <f>T587/G587*100</f>
        <v>2.0202588528178809</v>
      </c>
      <c r="V587" s="587">
        <f>V583+V585</f>
        <v>45.25212321514563</v>
      </c>
      <c r="W587" s="573">
        <f>U587/I587-1</f>
        <v>2.5501851380638874E-2</v>
      </c>
      <c r="X587" s="542"/>
      <c r="Z587" s="738"/>
      <c r="AB587" s="738"/>
      <c r="AD587" s="738"/>
      <c r="AF587" s="744"/>
    </row>
    <row r="588" spans="1:32" ht="12.95" thickTop="1">
      <c r="A588" s="58"/>
      <c r="B588" s="5"/>
      <c r="C588" s="5"/>
      <c r="D588" s="5"/>
      <c r="E588" s="6"/>
      <c r="F588" s="5"/>
      <c r="G588" s="17"/>
      <c r="H588" s="5"/>
      <c r="I588" s="696"/>
      <c r="J588" s="5"/>
      <c r="K588" s="5"/>
      <c r="L588" s="538"/>
      <c r="M588" s="538"/>
      <c r="N588" s="538"/>
      <c r="O588" s="585"/>
      <c r="P588" s="585"/>
      <c r="Q588" s="538"/>
      <c r="R588" s="538"/>
      <c r="S588" s="585"/>
      <c r="T588" s="585"/>
      <c r="U588" s="585"/>
      <c r="V588" s="538"/>
      <c r="W588" s="541"/>
      <c r="X588" s="542"/>
    </row>
    <row r="589" spans="1:32">
      <c r="A589" s="58"/>
      <c r="B589" s="58"/>
      <c r="C589" s="9" t="s">
        <v>152</v>
      </c>
      <c r="D589" s="58"/>
      <c r="E589" s="6"/>
      <c r="F589" s="58"/>
      <c r="G589" s="6"/>
      <c r="H589" s="58"/>
      <c r="I589" s="58"/>
      <c r="J589" s="58"/>
      <c r="K589" s="58"/>
      <c r="L589" s="538"/>
      <c r="M589" s="538"/>
      <c r="N589" s="538"/>
      <c r="O589" s="564"/>
      <c r="P589" s="564"/>
      <c r="Q589" s="538"/>
      <c r="R589" s="538"/>
      <c r="S589" s="564"/>
      <c r="T589" s="564"/>
      <c r="U589" s="564"/>
      <c r="V589" s="538"/>
      <c r="W589" s="501"/>
    </row>
    <row r="590" spans="1:32">
      <c r="A590" s="58">
        <f>MAX(A$579:A589)+1</f>
        <v>274</v>
      </c>
      <c r="B590" s="58"/>
      <c r="C590" s="10" t="s">
        <v>258</v>
      </c>
      <c r="D590" s="58"/>
      <c r="E590" s="6" t="s">
        <v>366</v>
      </c>
      <c r="F590" s="58"/>
      <c r="G590" s="29">
        <v>564.00000000000091</v>
      </c>
      <c r="H590" s="58"/>
      <c r="I590" s="537">
        <v>2155.61</v>
      </c>
      <c r="J590" s="539">
        <f>G590*I590/1000</f>
        <v>1215.7640400000021</v>
      </c>
      <c r="K590" s="539"/>
      <c r="L590" s="29">
        <v>0</v>
      </c>
      <c r="M590" s="29">
        <v>0</v>
      </c>
      <c r="N590" s="538">
        <f>J590-L590-M590</f>
        <v>1215.7640400000021</v>
      </c>
      <c r="O590" s="564"/>
      <c r="P590" s="29">
        <v>33.221100757446266</v>
      </c>
      <c r="Q590" s="29">
        <v>0</v>
      </c>
      <c r="R590" s="29">
        <v>0</v>
      </c>
      <c r="S590" s="564"/>
      <c r="T590" s="564">
        <f>N590+P590+Q590+R590</f>
        <v>1248.9851407574483</v>
      </c>
      <c r="U590" s="577">
        <f>T590/G590*1000</f>
        <v>2214.5126609174581</v>
      </c>
      <c r="V590" s="538">
        <f>T590-J590</f>
        <v>33.221100757446266</v>
      </c>
      <c r="W590" s="541">
        <f>U590/I590-1</f>
        <v>2.7325286539521487E-2</v>
      </c>
      <c r="X590" s="542"/>
      <c r="Z590" s="738"/>
      <c r="AB590" s="738"/>
      <c r="AD590" s="738"/>
      <c r="AF590" s="739"/>
    </row>
    <row r="591" spans="1:32" ht="14.45">
      <c r="A591" s="58"/>
      <c r="B591" s="58"/>
      <c r="C591" s="10" t="s">
        <v>367</v>
      </c>
      <c r="D591" s="58"/>
      <c r="E591" s="6"/>
      <c r="F591" s="58"/>
      <c r="G591" s="29"/>
      <c r="H591" s="58"/>
      <c r="I591" s="537"/>
      <c r="J591" s="539"/>
      <c r="K591" s="539"/>
      <c r="L591" s="29"/>
      <c r="M591" s="29"/>
      <c r="N591" s="538"/>
      <c r="O591" s="564"/>
      <c r="P591" s="29"/>
      <c r="Q591" s="29"/>
      <c r="R591" s="29"/>
      <c r="S591" s="564"/>
      <c r="T591" s="564"/>
      <c r="U591" s="577"/>
      <c r="V591" s="538"/>
      <c r="W591" s="541"/>
      <c r="X591" s="542"/>
      <c r="Z591" s="738"/>
      <c r="AB591" s="738"/>
      <c r="AD591" s="738"/>
      <c r="AF591" s="739"/>
    </row>
    <row r="592" spans="1:32" ht="12.95">
      <c r="A592" s="58"/>
      <c r="B592" s="58"/>
      <c r="C592" s="526" t="s">
        <v>368</v>
      </c>
      <c r="D592" s="58"/>
      <c r="F592" s="58"/>
      <c r="G592" s="575"/>
      <c r="H592" s="58"/>
      <c r="I592" s="58"/>
      <c r="J592" s="539"/>
      <c r="K592" s="539"/>
      <c r="L592" s="29"/>
      <c r="M592" s="29"/>
      <c r="N592" s="538"/>
      <c r="O592" s="564"/>
      <c r="P592" s="29"/>
      <c r="Q592" s="538"/>
      <c r="R592" s="538"/>
      <c r="S592" s="564"/>
      <c r="T592" s="564"/>
      <c r="U592" s="565"/>
      <c r="V592" s="538"/>
      <c r="W592" s="541"/>
      <c r="X592" s="542"/>
      <c r="Z592" s="738"/>
      <c r="AB592" s="738"/>
      <c r="AD592" s="738"/>
    </row>
    <row r="593" spans="1:32">
      <c r="A593" s="58">
        <f>MAX(A$579:A592)+1</f>
        <v>275</v>
      </c>
      <c r="B593" s="58"/>
      <c r="C593" s="697" t="s">
        <v>369</v>
      </c>
      <c r="D593" s="58"/>
      <c r="E593" s="522" t="s">
        <v>370</v>
      </c>
      <c r="F593" s="58"/>
      <c r="G593" s="29">
        <v>14363.064</v>
      </c>
      <c r="H593" s="58"/>
      <c r="I593" s="684">
        <v>44.595399999999998</v>
      </c>
      <c r="J593" s="539">
        <f>G593*I593/100</f>
        <v>6405.2658430560004</v>
      </c>
      <c r="K593" s="539"/>
      <c r="L593" s="29">
        <v>964.0632187440001</v>
      </c>
      <c r="M593" s="29">
        <v>0</v>
      </c>
      <c r="N593" s="538">
        <f t="shared" ref="N593:N602" si="214">J593-L593-M593</f>
        <v>5441.2026243119999</v>
      </c>
      <c r="O593" s="564"/>
      <c r="P593" s="29">
        <v>148.68242082892175</v>
      </c>
      <c r="Q593" s="29">
        <v>555.59751780191789</v>
      </c>
      <c r="R593" s="29">
        <v>0</v>
      </c>
      <c r="S593" s="564"/>
      <c r="T593" s="564">
        <f t="shared" ref="T593:T602" si="215">N593+P593+Q593+R593</f>
        <v>6145.4825629428396</v>
      </c>
      <c r="U593" s="565">
        <f>T593/G593*100</f>
        <v>42.786710154204144</v>
      </c>
      <c r="V593" s="538">
        <f>T593-J593</f>
        <v>-259.7832801131608</v>
      </c>
      <c r="W593" s="559">
        <f>U593/I593-1</f>
        <v>-4.0557767074538065E-2</v>
      </c>
      <c r="X593" s="559"/>
      <c r="Z593" s="738"/>
      <c r="AB593" s="738"/>
      <c r="AD593" s="738"/>
      <c r="AF593" s="744"/>
    </row>
    <row r="594" spans="1:32">
      <c r="A594" s="58">
        <f>MAX(A$579:A593)+1</f>
        <v>276</v>
      </c>
      <c r="B594" s="58"/>
      <c r="C594" s="697" t="s">
        <v>371</v>
      </c>
      <c r="D594" s="58"/>
      <c r="E594" s="522" t="s">
        <v>370</v>
      </c>
      <c r="F594" s="58"/>
      <c r="G594" s="29">
        <v>12176.784</v>
      </c>
      <c r="H594" s="58"/>
      <c r="I594" s="684">
        <v>31.676299999999998</v>
      </c>
      <c r="J594" s="539">
        <f>G594*I594/100</f>
        <v>3857.1546301919998</v>
      </c>
      <c r="K594" s="539"/>
      <c r="L594" s="29">
        <v>564.67400443199995</v>
      </c>
      <c r="M594" s="29">
        <v>0</v>
      </c>
      <c r="N594" s="538">
        <f t="shared" si="214"/>
        <v>3292.4806257599998</v>
      </c>
      <c r="O594" s="564"/>
      <c r="P594" s="29">
        <v>89.967976524715141</v>
      </c>
      <c r="Q594" s="29">
        <v>336.19296861132091</v>
      </c>
      <c r="R594" s="29">
        <v>0</v>
      </c>
      <c r="S594" s="564"/>
      <c r="T594" s="564">
        <f t="shared" si="215"/>
        <v>3718.6415708960358</v>
      </c>
      <c r="U594" s="565">
        <f>T594/G594*100</f>
        <v>30.538782414930214</v>
      </c>
      <c r="V594" s="538">
        <f>T594-J594</f>
        <v>-138.51305929596401</v>
      </c>
      <c r="W594" s="559">
        <f>U594/I594-1</f>
        <v>-3.5910683541631516E-2</v>
      </c>
      <c r="X594" s="559"/>
      <c r="Z594" s="738"/>
      <c r="AB594" s="738"/>
      <c r="AD594" s="738"/>
      <c r="AF594" s="744"/>
    </row>
    <row r="595" spans="1:32">
      <c r="A595" s="58"/>
      <c r="B595" s="58"/>
      <c r="C595" s="526" t="s">
        <v>372</v>
      </c>
      <c r="D595" s="58"/>
      <c r="E595" s="30"/>
      <c r="F595" s="58"/>
      <c r="G595" s="29"/>
      <c r="H595" s="58"/>
      <c r="I595" s="58"/>
      <c r="J595" s="539"/>
      <c r="K595" s="539"/>
      <c r="L595" s="29"/>
      <c r="M595" s="29"/>
      <c r="N595" s="538"/>
      <c r="O595" s="564"/>
      <c r="P595" s="29"/>
      <c r="Q595" s="538"/>
      <c r="R595" s="29"/>
      <c r="S595" s="564"/>
      <c r="T595" s="564"/>
      <c r="U595" s="565"/>
      <c r="V595" s="538"/>
      <c r="W595" s="541"/>
      <c r="X595" s="542"/>
      <c r="Z595" s="738"/>
      <c r="AB595" s="738"/>
      <c r="AD595" s="738"/>
      <c r="AF595" s="744"/>
    </row>
    <row r="596" spans="1:32">
      <c r="A596" s="58">
        <f>MAX(A$579:A595)+1</f>
        <v>277</v>
      </c>
      <c r="B596" s="58"/>
      <c r="C596" s="698" t="s">
        <v>373</v>
      </c>
      <c r="D596" s="58"/>
      <c r="E596" s="30" t="s">
        <v>262</v>
      </c>
      <c r="F596" s="58"/>
      <c r="G596" s="29">
        <v>393753.99073000008</v>
      </c>
      <c r="H596" s="58"/>
      <c r="I596" s="684">
        <v>0.12080000000000002</v>
      </c>
      <c r="J596" s="539">
        <f t="shared" ref="J596:J597" si="216">G596*I596/100</f>
        <v>475.65482080184017</v>
      </c>
      <c r="K596" s="539"/>
      <c r="L596" s="29">
        <v>0</v>
      </c>
      <c r="M596" s="29">
        <v>0</v>
      </c>
      <c r="N596" s="538">
        <f t="shared" si="214"/>
        <v>475.65482080184017</v>
      </c>
      <c r="O596" s="564"/>
      <c r="P596" s="29">
        <v>12.997404272315009</v>
      </c>
      <c r="Q596" s="29">
        <v>0</v>
      </c>
      <c r="R596" s="29">
        <v>0</v>
      </c>
      <c r="S596" s="564"/>
      <c r="T596" s="564">
        <f t="shared" si="215"/>
        <v>488.65222507415518</v>
      </c>
      <c r="U596" s="565">
        <f>T596/G596*100</f>
        <v>0.12410089461397421</v>
      </c>
      <c r="V596" s="538">
        <f>T596-J596</f>
        <v>12.997404272315009</v>
      </c>
      <c r="W596" s="541">
        <f>U596/I596-1</f>
        <v>2.7325286539521487E-2</v>
      </c>
      <c r="X596" s="542"/>
      <c r="Z596" s="738"/>
      <c r="AB596" s="738"/>
      <c r="AD596" s="738"/>
      <c r="AF596" s="744"/>
    </row>
    <row r="597" spans="1:32">
      <c r="A597" s="58">
        <f>MAX(A$579:A596)+1</f>
        <v>278</v>
      </c>
      <c r="B597" s="58"/>
      <c r="C597" s="698" t="s">
        <v>374</v>
      </c>
      <c r="D597" s="58"/>
      <c r="E597" s="30" t="s">
        <v>262</v>
      </c>
      <c r="F597" s="58"/>
      <c r="G597" s="29">
        <v>37535.500949999994</v>
      </c>
      <c r="H597" s="58"/>
      <c r="I597" s="684">
        <v>2.1678000000000002</v>
      </c>
      <c r="J597" s="539">
        <f t="shared" si="216"/>
        <v>813.69458959409997</v>
      </c>
      <c r="K597" s="539"/>
      <c r="L597" s="29">
        <v>104.98679615714998</v>
      </c>
      <c r="M597" s="29">
        <v>0</v>
      </c>
      <c r="N597" s="538">
        <f t="shared" si="214"/>
        <v>708.70779343694994</v>
      </c>
      <c r="O597" s="564"/>
      <c r="P597" s="29">
        <v>19.365643528456644</v>
      </c>
      <c r="Q597" s="29">
        <v>72.688240983639275</v>
      </c>
      <c r="R597" s="29">
        <v>0</v>
      </c>
      <c r="S597" s="29"/>
      <c r="T597" s="564">
        <f t="shared" si="215"/>
        <v>800.76167794904586</v>
      </c>
      <c r="U597" s="565">
        <f>T597/G597*100</f>
        <v>2.133344854024243</v>
      </c>
      <c r="V597" s="538">
        <f>T597-J597</f>
        <v>-12.932911645054105</v>
      </c>
      <c r="W597" s="559">
        <f>U597/I597-1</f>
        <v>-1.589406124908066E-2</v>
      </c>
      <c r="X597" s="559"/>
      <c r="Z597" s="738"/>
      <c r="AB597" s="738"/>
      <c r="AD597" s="738"/>
      <c r="AF597" s="744"/>
    </row>
    <row r="598" spans="1:32">
      <c r="A598" s="58"/>
      <c r="B598" s="58"/>
      <c r="C598" s="10"/>
      <c r="D598" s="58"/>
      <c r="E598" s="30"/>
      <c r="F598" s="58"/>
      <c r="G598" s="29"/>
      <c r="H598" s="58"/>
      <c r="I598" s="58"/>
      <c r="J598" s="539"/>
      <c r="K598" s="539"/>
      <c r="L598" s="29"/>
      <c r="M598" s="29"/>
      <c r="N598" s="538"/>
      <c r="O598" s="564"/>
      <c r="P598" s="29"/>
      <c r="Q598" s="538"/>
      <c r="R598" s="29"/>
      <c r="S598" s="564"/>
      <c r="T598" s="564"/>
      <c r="U598" s="565"/>
      <c r="V598" s="538"/>
      <c r="W598" s="541"/>
      <c r="X598" s="542"/>
      <c r="Z598" s="738"/>
      <c r="AB598" s="738"/>
      <c r="AD598" s="738"/>
      <c r="AF598" s="744"/>
    </row>
    <row r="599" spans="1:32">
      <c r="A599" s="58">
        <f>MAX(A$579:A598)+1</f>
        <v>279</v>
      </c>
      <c r="B599" s="58"/>
      <c r="C599" s="12" t="s">
        <v>375</v>
      </c>
      <c r="D599" s="58"/>
      <c r="E599" s="30" t="s">
        <v>262</v>
      </c>
      <c r="F599" s="58"/>
      <c r="G599" s="29">
        <v>1410.373</v>
      </c>
      <c r="H599" s="58"/>
      <c r="I599" s="684">
        <v>0.12080000000000002</v>
      </c>
      <c r="J599" s="539">
        <f>G599*I599/100</f>
        <v>1.7037305840000001</v>
      </c>
      <c r="K599" s="539"/>
      <c r="L599" s="29">
        <v>0</v>
      </c>
      <c r="M599" s="29">
        <v>0</v>
      </c>
      <c r="N599" s="538">
        <f t="shared" si="214"/>
        <v>1.7037305840000001</v>
      </c>
      <c r="O599" s="564"/>
      <c r="P599" s="29">
        <v>4.6554926393946205E-2</v>
      </c>
      <c r="Q599" s="29">
        <v>0</v>
      </c>
      <c r="R599" s="29">
        <v>0</v>
      </c>
      <c r="S599" s="564"/>
      <c r="T599" s="564">
        <f t="shared" si="215"/>
        <v>1.7502855103939463</v>
      </c>
      <c r="U599" s="565">
        <f>T599/G599*100</f>
        <v>0.12410089461397419</v>
      </c>
      <c r="V599" s="538">
        <f>T599-J599</f>
        <v>4.6554926393946205E-2</v>
      </c>
      <c r="W599" s="541">
        <f>U599/I599-1</f>
        <v>2.7325286539521265E-2</v>
      </c>
      <c r="X599" s="542"/>
      <c r="Z599" s="738"/>
      <c r="AB599" s="738"/>
      <c r="AD599" s="738"/>
      <c r="AF599" s="744"/>
    </row>
    <row r="600" spans="1:32">
      <c r="A600" s="58">
        <f>MAX(A$579:A599)+1</f>
        <v>280</v>
      </c>
      <c r="B600" s="58"/>
      <c r="C600" s="12" t="s">
        <v>376</v>
      </c>
      <c r="D600" s="58"/>
      <c r="E600" s="30" t="s">
        <v>262</v>
      </c>
      <c r="F600" s="58"/>
      <c r="G600" s="29">
        <v>350</v>
      </c>
      <c r="H600" s="58"/>
      <c r="I600" s="684">
        <v>3.0787999999999998</v>
      </c>
      <c r="J600" s="539">
        <f>G600*I600/100</f>
        <v>10.775799999999998</v>
      </c>
      <c r="K600" s="539"/>
      <c r="L600" s="29">
        <v>0.97894999999999999</v>
      </c>
      <c r="M600" s="29">
        <v>0</v>
      </c>
      <c r="N600" s="538">
        <f t="shared" si="214"/>
        <v>9.7968499999999992</v>
      </c>
      <c r="O600" s="564"/>
      <c r="P600" s="29">
        <v>0.26770173343471093</v>
      </c>
      <c r="Q600" s="29">
        <v>0.67778193178140467</v>
      </c>
      <c r="R600" s="29">
        <v>0</v>
      </c>
      <c r="S600" s="29"/>
      <c r="T600" s="564">
        <f t="shared" si="215"/>
        <v>10.742333665216115</v>
      </c>
      <c r="U600" s="565">
        <f>T600/G600*100</f>
        <v>3.0692381900617476</v>
      </c>
      <c r="V600" s="538">
        <f>T600-J600</f>
        <v>-3.3466334783883056E-2</v>
      </c>
      <c r="W600" s="559">
        <f>U600/I600-1</f>
        <v>-3.105693756740302E-3</v>
      </c>
      <c r="X600" s="559"/>
      <c r="Z600" s="738"/>
      <c r="AB600" s="738"/>
      <c r="AD600" s="738"/>
      <c r="AF600" s="744"/>
    </row>
    <row r="601" spans="1:32">
      <c r="A601" s="58"/>
      <c r="B601" s="58"/>
      <c r="C601" s="10"/>
      <c r="D601" s="58"/>
      <c r="E601" s="30"/>
      <c r="F601" s="58"/>
      <c r="G601" s="132"/>
      <c r="H601" s="58"/>
      <c r="I601" s="58"/>
      <c r="J601" s="539"/>
      <c r="K601" s="539"/>
      <c r="L601" s="29"/>
      <c r="M601" s="29"/>
      <c r="N601" s="538"/>
      <c r="O601" s="564"/>
      <c r="P601" s="29"/>
      <c r="Q601" s="538"/>
      <c r="R601" s="29"/>
      <c r="S601" s="564"/>
      <c r="T601" s="564"/>
      <c r="U601" s="565"/>
      <c r="V601" s="538"/>
      <c r="W601" s="541"/>
      <c r="X601" s="542"/>
      <c r="Z601" s="738"/>
      <c r="AB601" s="738"/>
      <c r="AD601" s="738"/>
      <c r="AF601" s="744"/>
    </row>
    <row r="602" spans="1:32">
      <c r="A602" s="58">
        <f>MAX(A$579:A601)+1</f>
        <v>281</v>
      </c>
      <c r="C602" s="12" t="s">
        <v>377</v>
      </c>
      <c r="E602" s="30" t="s">
        <v>331</v>
      </c>
      <c r="G602" s="29">
        <v>0</v>
      </c>
      <c r="I602" s="29">
        <v>0</v>
      </c>
      <c r="J602" s="64">
        <f>G602*I602/1000</f>
        <v>0</v>
      </c>
      <c r="K602" s="567"/>
      <c r="L602" s="29">
        <v>0</v>
      </c>
      <c r="M602" s="29">
        <v>0</v>
      </c>
      <c r="N602" s="538">
        <f t="shared" si="214"/>
        <v>0</v>
      </c>
      <c r="O602" s="64"/>
      <c r="P602" s="29">
        <v>0</v>
      </c>
      <c r="Q602" s="29">
        <v>0</v>
      </c>
      <c r="R602" s="29">
        <v>0</v>
      </c>
      <c r="S602" s="64"/>
      <c r="T602" s="564">
        <f t="shared" si="215"/>
        <v>0</v>
      </c>
      <c r="U602" s="564">
        <v>0</v>
      </c>
      <c r="V602" s="538">
        <f>T602-J602</f>
        <v>0</v>
      </c>
      <c r="W602" s="559"/>
      <c r="X602" s="559"/>
      <c r="Z602" s="738"/>
      <c r="AB602" s="738"/>
      <c r="AD602" s="738"/>
      <c r="AF602" s="744"/>
    </row>
    <row r="603" spans="1:32">
      <c r="A603" s="58"/>
      <c r="B603" s="58"/>
      <c r="C603" s="10"/>
      <c r="D603" s="58"/>
      <c r="E603" s="574"/>
      <c r="F603" s="58"/>
      <c r="G603" s="29"/>
      <c r="H603" s="58"/>
      <c r="I603" s="58"/>
      <c r="J603" s="539"/>
      <c r="K603" s="539"/>
      <c r="L603" s="538"/>
      <c r="M603" s="538"/>
      <c r="N603" s="538"/>
      <c r="O603" s="564"/>
      <c r="P603" s="564"/>
      <c r="Q603" s="538"/>
      <c r="R603" s="538"/>
      <c r="S603" s="564"/>
      <c r="T603" s="564"/>
      <c r="U603" s="565"/>
      <c r="V603" s="538"/>
      <c r="W603" s="541"/>
      <c r="X603" s="542"/>
      <c r="Z603" s="738"/>
      <c r="AB603" s="738"/>
      <c r="AD603" s="738"/>
      <c r="AF603" s="744"/>
    </row>
    <row r="604" spans="1:32">
      <c r="A604" s="58">
        <f>MAX(A$579:A603)+1</f>
        <v>282</v>
      </c>
      <c r="B604" s="58"/>
      <c r="C604" s="10" t="s">
        <v>378</v>
      </c>
      <c r="D604" s="58"/>
      <c r="E604" s="574"/>
      <c r="F604" s="58"/>
      <c r="G604" s="411">
        <f>G596+G597</f>
        <v>431289.49168000009</v>
      </c>
      <c r="H604" s="58"/>
      <c r="I604" s="556">
        <f>J604/G604*100</f>
        <v>2.9632100249987565</v>
      </c>
      <c r="J604" s="554">
        <f>SUM(J590:J603)</f>
        <v>12780.013454227941</v>
      </c>
      <c r="K604" s="539"/>
      <c r="L604" s="619">
        <f>SUM(L590:L603)</f>
        <v>1634.7029693331499</v>
      </c>
      <c r="M604" s="619">
        <f>SUM(M590:M603)</f>
        <v>0</v>
      </c>
      <c r="N604" s="619">
        <f>SUM(N590:N603)</f>
        <v>11145.310484894791</v>
      </c>
      <c r="O604" s="564"/>
      <c r="P604" s="619">
        <f>SUM(P590:P603)</f>
        <v>304.54880257168344</v>
      </c>
      <c r="Q604" s="619">
        <f>SUM(Q590:Q603)</f>
        <v>965.15650932865947</v>
      </c>
      <c r="R604" s="619">
        <f>SUM(R590:R603)</f>
        <v>0</v>
      </c>
      <c r="S604" s="564"/>
      <c r="T604" s="619">
        <f>SUM(T590:T603)</f>
        <v>12415.015796795133</v>
      </c>
      <c r="U604" s="592">
        <f>T604/G604*100</f>
        <v>2.8785806369719271</v>
      </c>
      <c r="V604" s="555">
        <f>SUM(V590:V602)</f>
        <v>-364.99765743280761</v>
      </c>
      <c r="W604" s="558">
        <f>U604/I604-1</f>
        <v>-2.8560037025004648E-2</v>
      </c>
      <c r="X604" s="559"/>
      <c r="Z604" s="738"/>
      <c r="AB604" s="738"/>
      <c r="AD604" s="738"/>
      <c r="AF604" s="744"/>
    </row>
    <row r="605" spans="1:32">
      <c r="A605" s="58"/>
      <c r="B605" s="58"/>
      <c r="D605" s="58"/>
      <c r="E605" s="574"/>
      <c r="F605" s="58"/>
      <c r="G605" s="29"/>
      <c r="H605" s="58"/>
      <c r="I605" s="58"/>
      <c r="J605" s="539"/>
      <c r="K605" s="539"/>
      <c r="L605" s="538"/>
      <c r="M605" s="538"/>
      <c r="N605" s="538"/>
      <c r="O605" s="564"/>
      <c r="P605" s="564"/>
      <c r="Q605" s="538"/>
      <c r="R605" s="538"/>
      <c r="S605" s="564"/>
      <c r="T605" s="564"/>
      <c r="U605" s="565"/>
      <c r="V605" s="538"/>
      <c r="W605" s="501"/>
      <c r="Z605" s="738"/>
      <c r="AB605" s="738"/>
      <c r="AD605" s="738"/>
      <c r="AF605" s="744"/>
    </row>
    <row r="606" spans="1:32">
      <c r="A606" s="58"/>
      <c r="B606" s="58"/>
      <c r="C606" s="521" t="s">
        <v>379</v>
      </c>
      <c r="D606" s="58"/>
      <c r="E606" s="30"/>
      <c r="F606" s="58"/>
      <c r="G606" s="132"/>
      <c r="H606" s="58"/>
      <c r="I606" s="58"/>
      <c r="J606" s="539"/>
      <c r="K606" s="539"/>
      <c r="L606" s="538"/>
      <c r="M606" s="538"/>
      <c r="N606" s="538"/>
      <c r="O606" s="564"/>
      <c r="P606" s="564"/>
      <c r="Q606" s="538"/>
      <c r="R606" s="538"/>
      <c r="S606" s="564"/>
      <c r="T606" s="564"/>
      <c r="U606" s="565"/>
      <c r="V606" s="538"/>
      <c r="W606" s="501"/>
      <c r="Z606" s="738"/>
      <c r="AB606" s="738"/>
      <c r="AD606" s="738"/>
      <c r="AF606" s="744"/>
    </row>
    <row r="607" spans="1:32">
      <c r="A607" s="58"/>
      <c r="C607" s="526" t="s">
        <v>380</v>
      </c>
      <c r="G607" s="129"/>
      <c r="J607" s="567"/>
      <c r="K607" s="567"/>
      <c r="L607" s="538"/>
      <c r="M607" s="538"/>
      <c r="N607" s="538"/>
      <c r="O607" s="64"/>
      <c r="P607" s="64"/>
      <c r="Q607" s="538"/>
      <c r="R607" s="538"/>
      <c r="S607" s="64"/>
      <c r="T607" s="64"/>
      <c r="U607" s="580"/>
      <c r="V607" s="538"/>
      <c r="W607" s="501"/>
      <c r="Z607" s="738"/>
      <c r="AB607" s="738"/>
      <c r="AD607" s="738"/>
      <c r="AF607" s="744"/>
    </row>
    <row r="608" spans="1:32">
      <c r="A608" s="58">
        <f>MAX(A$579:A607)+1</f>
        <v>283</v>
      </c>
      <c r="B608" s="58"/>
      <c r="C608" s="697" t="s">
        <v>381</v>
      </c>
      <c r="D608" s="58"/>
      <c r="E608" s="522" t="s">
        <v>382</v>
      </c>
      <c r="F608" s="58"/>
      <c r="G608" s="29">
        <v>17815248</v>
      </c>
      <c r="H608" s="58"/>
      <c r="I608" s="684">
        <v>1.2E-2</v>
      </c>
      <c r="J608" s="539">
        <f>G608*I608/1000</f>
        <v>213.78297599999999</v>
      </c>
      <c r="K608" s="539"/>
      <c r="L608" s="29">
        <v>0</v>
      </c>
      <c r="M608" s="29">
        <v>0</v>
      </c>
      <c r="N608" s="538">
        <f>J608-L608-M608</f>
        <v>213.78297599999999</v>
      </c>
      <c r="O608" s="564"/>
      <c r="P608" s="29">
        <v>5.8416810764716445</v>
      </c>
      <c r="Q608" s="29">
        <v>0</v>
      </c>
      <c r="R608" s="29">
        <v>0</v>
      </c>
      <c r="S608" s="564"/>
      <c r="T608" s="64">
        <f>N608+P608+Q608+R608</f>
        <v>219.62465707647164</v>
      </c>
      <c r="U608" s="565">
        <f>T608/G608*1000</f>
        <v>1.2327903438474258E-2</v>
      </c>
      <c r="V608" s="538">
        <f>T608-J608</f>
        <v>5.8416810764716445</v>
      </c>
      <c r="W608" s="541">
        <f>U608/I608-1</f>
        <v>2.7325286539521487E-2</v>
      </c>
      <c r="X608" s="542"/>
      <c r="Z608" s="738"/>
      <c r="AB608" s="738"/>
      <c r="AD608" s="738"/>
      <c r="AF608" s="744"/>
    </row>
    <row r="609" spans="1:32">
      <c r="A609" s="58"/>
      <c r="B609" s="58"/>
      <c r="C609" s="526" t="s">
        <v>383</v>
      </c>
      <c r="D609" s="58"/>
      <c r="E609" s="30"/>
      <c r="F609" s="58"/>
      <c r="G609" s="29"/>
      <c r="H609" s="58"/>
      <c r="I609" s="58"/>
      <c r="J609" s="539"/>
      <c r="K609" s="539"/>
      <c r="L609" s="538"/>
      <c r="M609" s="538"/>
      <c r="N609" s="538"/>
      <c r="O609" s="564"/>
      <c r="P609" s="29"/>
      <c r="Q609" s="538"/>
      <c r="R609" s="538"/>
      <c r="S609" s="564"/>
      <c r="T609" s="64"/>
      <c r="U609" s="565"/>
      <c r="V609" s="538"/>
      <c r="W609" s="541"/>
      <c r="X609" s="542"/>
      <c r="Z609" s="738"/>
      <c r="AB609" s="738"/>
      <c r="AD609" s="738"/>
      <c r="AF609" s="744"/>
    </row>
    <row r="610" spans="1:32">
      <c r="A610" s="58">
        <f>MAX(A$579:A609)+1</f>
        <v>284</v>
      </c>
      <c r="B610" s="58"/>
      <c r="C610" s="698" t="s">
        <v>384</v>
      </c>
      <c r="D610" s="58"/>
      <c r="E610" s="522" t="s">
        <v>382</v>
      </c>
      <c r="F610" s="58"/>
      <c r="G610" s="29">
        <v>674172</v>
      </c>
      <c r="H610" s="58"/>
      <c r="I610" s="684">
        <v>1.8779999999999999</v>
      </c>
      <c r="J610" s="539">
        <f t="shared" ref="J610:J617" si="217">G610*I610/1000</f>
        <v>1266.0950159999998</v>
      </c>
      <c r="K610" s="539"/>
      <c r="L610" s="29">
        <v>0</v>
      </c>
      <c r="M610" s="29">
        <v>0</v>
      </c>
      <c r="N610" s="538">
        <f t="shared" ref="N610:N617" si="218">J610-L610-M610</f>
        <v>1266.0950159999998</v>
      </c>
      <c r="O610" s="564"/>
      <c r="P610" s="29">
        <v>34.596409098460072</v>
      </c>
      <c r="Q610" s="29">
        <v>0</v>
      </c>
      <c r="R610" s="29">
        <v>0</v>
      </c>
      <c r="S610" s="564"/>
      <c r="T610" s="64">
        <f t="shared" ref="T610:T617" si="219">N610+P610+Q610+R610</f>
        <v>1300.6914250984598</v>
      </c>
      <c r="U610" s="620">
        <v>1.927</v>
      </c>
      <c r="V610" s="538">
        <f>T610-J610</f>
        <v>34.596409098460072</v>
      </c>
      <c r="W610" s="559">
        <f>U610/I610-1</f>
        <v>2.6091586794462218E-2</v>
      </c>
      <c r="X610" s="559"/>
      <c r="Z610" s="738"/>
      <c r="AB610" s="738"/>
      <c r="AD610" s="738"/>
      <c r="AF610" s="744"/>
    </row>
    <row r="611" spans="1:32">
      <c r="A611" s="58">
        <f>MAX(A$579:A610)+1</f>
        <v>285</v>
      </c>
      <c r="C611" s="698" t="s">
        <v>385</v>
      </c>
      <c r="E611" s="522" t="s">
        <v>382</v>
      </c>
      <c r="G611" s="29">
        <v>10476</v>
      </c>
      <c r="I611" s="684">
        <v>1.4730000000000001</v>
      </c>
      <c r="J611" s="539">
        <f t="shared" si="217"/>
        <v>15.431148</v>
      </c>
      <c r="K611" s="567"/>
      <c r="L611" s="29">
        <v>0</v>
      </c>
      <c r="M611" s="29">
        <v>0</v>
      </c>
      <c r="N611" s="538">
        <f t="shared" si="218"/>
        <v>15.431148</v>
      </c>
      <c r="O611" s="64"/>
      <c r="P611" s="29">
        <v>0.42166054073376458</v>
      </c>
      <c r="Q611" s="29">
        <v>0</v>
      </c>
      <c r="R611" s="29">
        <v>0</v>
      </c>
      <c r="S611" s="64"/>
      <c r="T611" s="64">
        <f t="shared" si="219"/>
        <v>15.852808540733765</v>
      </c>
      <c r="U611" s="620">
        <v>1.5187525197395906</v>
      </c>
      <c r="V611" s="538">
        <f>T611-J611</f>
        <v>0.42166054073376458</v>
      </c>
      <c r="W611" s="559">
        <f>U611/I611-1</f>
        <v>3.1060773753964988E-2</v>
      </c>
      <c r="X611" s="559"/>
      <c r="Z611" s="738"/>
      <c r="AB611" s="738"/>
      <c r="AD611" s="738"/>
      <c r="AF611" s="744"/>
    </row>
    <row r="612" spans="1:32">
      <c r="A612" s="58">
        <f>MAX(A$579:A611)+1</f>
        <v>286</v>
      </c>
      <c r="B612" s="58"/>
      <c r="C612" s="697" t="s">
        <v>386</v>
      </c>
      <c r="D612" s="58"/>
      <c r="E612" s="522" t="s">
        <v>382</v>
      </c>
      <c r="F612" s="58"/>
      <c r="G612" s="29">
        <v>0</v>
      </c>
      <c r="H612" s="58"/>
      <c r="I612" s="684">
        <v>1.4730000000000001</v>
      </c>
      <c r="J612" s="564">
        <f t="shared" si="217"/>
        <v>0</v>
      </c>
      <c r="K612" s="539"/>
      <c r="L612" s="29">
        <v>0</v>
      </c>
      <c r="M612" s="29">
        <v>0</v>
      </c>
      <c r="N612" s="538">
        <f t="shared" si="218"/>
        <v>0</v>
      </c>
      <c r="O612" s="564"/>
      <c r="P612" s="29">
        <v>0</v>
      </c>
      <c r="Q612" s="29">
        <v>0</v>
      </c>
      <c r="R612" s="29">
        <v>0</v>
      </c>
      <c r="S612" s="564"/>
      <c r="T612" s="64">
        <f t="shared" si="219"/>
        <v>0</v>
      </c>
      <c r="U612" s="620">
        <v>1.5187525197395906</v>
      </c>
      <c r="V612" s="538">
        <f>T612-J612</f>
        <v>0</v>
      </c>
      <c r="W612" s="559" t="s">
        <v>482</v>
      </c>
      <c r="X612" s="542"/>
      <c r="Z612" s="738"/>
      <c r="AB612" s="738"/>
      <c r="AD612" s="738"/>
      <c r="AF612" s="744"/>
    </row>
    <row r="613" spans="1:32">
      <c r="A613" s="58">
        <f>MAX(A$579:A612)+1</f>
        <v>287</v>
      </c>
      <c r="B613" s="58"/>
      <c r="C613" s="697" t="s">
        <v>387</v>
      </c>
      <c r="D613" s="58"/>
      <c r="E613" s="522" t="s">
        <v>382</v>
      </c>
      <c r="F613" s="58"/>
      <c r="G613" s="29">
        <v>0</v>
      </c>
      <c r="H613" s="58"/>
      <c r="I613" s="684">
        <v>1.4730000000000001</v>
      </c>
      <c r="J613" s="564">
        <f t="shared" si="217"/>
        <v>0</v>
      </c>
      <c r="K613" s="539"/>
      <c r="L613" s="29">
        <v>0</v>
      </c>
      <c r="M613" s="29">
        <v>0</v>
      </c>
      <c r="N613" s="538">
        <f t="shared" si="218"/>
        <v>0</v>
      </c>
      <c r="O613" s="564"/>
      <c r="P613" s="29">
        <v>0</v>
      </c>
      <c r="Q613" s="29">
        <v>0</v>
      </c>
      <c r="R613" s="29">
        <v>0</v>
      </c>
      <c r="S613" s="564"/>
      <c r="T613" s="64">
        <f t="shared" si="219"/>
        <v>0</v>
      </c>
      <c r="U613" s="620">
        <v>1.5187525197395906</v>
      </c>
      <c r="V613" s="538">
        <f>T613-J613</f>
        <v>0</v>
      </c>
      <c r="W613" s="559" t="s">
        <v>482</v>
      </c>
      <c r="X613" s="542"/>
      <c r="Z613" s="738"/>
      <c r="AB613" s="738"/>
      <c r="AD613" s="738"/>
      <c r="AF613" s="744"/>
    </row>
    <row r="614" spans="1:32">
      <c r="A614" s="58"/>
      <c r="B614" s="58"/>
      <c r="C614" s="526" t="s">
        <v>388</v>
      </c>
      <c r="D614" s="58"/>
      <c r="E614" s="522"/>
      <c r="F614" s="58"/>
      <c r="G614" s="29"/>
      <c r="H614" s="58"/>
      <c r="I614" s="684"/>
      <c r="J614" s="539"/>
      <c r="K614" s="539"/>
      <c r="L614" s="538"/>
      <c r="M614" s="538"/>
      <c r="N614" s="538"/>
      <c r="O614" s="564"/>
      <c r="P614" s="29"/>
      <c r="Q614" s="538"/>
      <c r="R614" s="538"/>
      <c r="S614" s="564"/>
      <c r="T614" s="64"/>
      <c r="U614" s="684"/>
      <c r="V614" s="538"/>
      <c r="W614" s="541"/>
      <c r="X614" s="542"/>
      <c r="Z614" s="738"/>
      <c r="AB614" s="738"/>
      <c r="AD614" s="738"/>
      <c r="AF614" s="744"/>
    </row>
    <row r="615" spans="1:32">
      <c r="A615" s="58">
        <f>MAX(A$579:A614)+1</f>
        <v>288</v>
      </c>
      <c r="B615" s="58"/>
      <c r="C615" s="697" t="s">
        <v>389</v>
      </c>
      <c r="D615" s="58"/>
      <c r="E615" s="30" t="s">
        <v>331</v>
      </c>
      <c r="F615" s="58"/>
      <c r="G615" s="29">
        <v>2989700.51</v>
      </c>
      <c r="H615" s="58"/>
      <c r="I615" s="684">
        <v>1.2E-2</v>
      </c>
      <c r="J615" s="539">
        <f t="shared" si="217"/>
        <v>35.876406119999999</v>
      </c>
      <c r="K615" s="539"/>
      <c r="L615" s="29">
        <v>0</v>
      </c>
      <c r="M615" s="29">
        <v>0</v>
      </c>
      <c r="N615" s="538">
        <f t="shared" si="218"/>
        <v>35.876406119999999</v>
      </c>
      <c r="O615" s="564"/>
      <c r="P615" s="29">
        <v>0.9803330772372405</v>
      </c>
      <c r="Q615" s="29">
        <v>0</v>
      </c>
      <c r="R615" s="29">
        <v>0</v>
      </c>
      <c r="S615" s="564"/>
      <c r="T615" s="64">
        <f t="shared" si="219"/>
        <v>36.856739197237239</v>
      </c>
      <c r="U615" s="565">
        <f>T615/G615*1000</f>
        <v>1.2327903438474258E-2</v>
      </c>
      <c r="V615" s="538">
        <f>T615-J615</f>
        <v>0.9803330772372405</v>
      </c>
      <c r="W615" s="559">
        <f>U615/I615-1</f>
        <v>2.7325286539521487E-2</v>
      </c>
      <c r="X615" s="559"/>
      <c r="Z615" s="738"/>
      <c r="AB615" s="738"/>
      <c r="AD615" s="738"/>
      <c r="AF615" s="744"/>
    </row>
    <row r="616" spans="1:32">
      <c r="A616" s="58"/>
      <c r="B616" s="58"/>
      <c r="C616" s="697"/>
      <c r="D616" s="58"/>
      <c r="E616" s="30"/>
      <c r="F616" s="58"/>
      <c r="G616" s="29"/>
      <c r="H616" s="58"/>
      <c r="I616" s="684"/>
      <c r="J616" s="539"/>
      <c r="K616" s="539"/>
      <c r="L616" s="29"/>
      <c r="M616" s="29"/>
      <c r="N616" s="538"/>
      <c r="O616" s="564"/>
      <c r="P616" s="29"/>
      <c r="Q616" s="29"/>
      <c r="R616" s="29"/>
      <c r="S616" s="564"/>
      <c r="T616" s="64"/>
      <c r="U616" s="565"/>
      <c r="V616" s="538"/>
      <c r="W616" s="559"/>
      <c r="X616" s="559"/>
      <c r="Z616" s="738"/>
      <c r="AB616" s="738"/>
      <c r="AD616" s="738"/>
      <c r="AF616" s="744"/>
    </row>
    <row r="617" spans="1:32">
      <c r="A617" s="58">
        <f>MAX(A$579:A615)+1</f>
        <v>289</v>
      </c>
      <c r="B617" s="58"/>
      <c r="C617" s="12" t="s">
        <v>390</v>
      </c>
      <c r="D617" s="58"/>
      <c r="E617" s="30" t="s">
        <v>331</v>
      </c>
      <c r="F617" s="58"/>
      <c r="G617" s="29">
        <v>0</v>
      </c>
      <c r="H617" s="58"/>
      <c r="I617" s="29">
        <v>0</v>
      </c>
      <c r="J617" s="564">
        <f t="shared" si="217"/>
        <v>0</v>
      </c>
      <c r="K617" s="539"/>
      <c r="L617" s="29">
        <v>0</v>
      </c>
      <c r="M617" s="29">
        <v>0</v>
      </c>
      <c r="N617" s="538">
        <f t="shared" si="218"/>
        <v>0</v>
      </c>
      <c r="O617" s="29"/>
      <c r="P617" s="29">
        <v>0</v>
      </c>
      <c r="Q617" s="29">
        <v>0</v>
      </c>
      <c r="R617" s="29">
        <v>0</v>
      </c>
      <c r="S617" s="564"/>
      <c r="T617" s="64">
        <f t="shared" si="219"/>
        <v>0</v>
      </c>
      <c r="U617" s="564">
        <v>0</v>
      </c>
      <c r="V617" s="538">
        <f>T617-J617</f>
        <v>0</v>
      </c>
      <c r="W617" s="559" t="str">
        <f>IFERROR(U617/I617-1,"-")</f>
        <v>-</v>
      </c>
      <c r="X617" s="559"/>
      <c r="Z617" s="738"/>
      <c r="AB617" s="738"/>
      <c r="AD617" s="738"/>
      <c r="AF617" s="744"/>
    </row>
    <row r="618" spans="1:32">
      <c r="A618" s="58"/>
      <c r="B618" s="58"/>
      <c r="D618" s="58"/>
      <c r="E618" s="30"/>
      <c r="F618" s="58"/>
      <c r="G618" s="29"/>
      <c r="H618" s="58"/>
      <c r="I618" s="58"/>
      <c r="J618" s="539"/>
      <c r="K618" s="539"/>
      <c r="L618" s="538"/>
      <c r="M618" s="538"/>
      <c r="N618" s="29"/>
      <c r="O618" s="29"/>
      <c r="P618" s="564"/>
      <c r="Q618" s="538"/>
      <c r="R618" s="538"/>
      <c r="S618" s="564"/>
      <c r="T618" s="564"/>
      <c r="U618" s="565"/>
      <c r="V618" s="538"/>
      <c r="W618" s="541"/>
      <c r="X618" s="542"/>
      <c r="Z618" s="738"/>
      <c r="AB618" s="738"/>
      <c r="AD618" s="738"/>
      <c r="AF618" s="744"/>
    </row>
    <row r="619" spans="1:32">
      <c r="A619" s="58">
        <f>MAX(A$579:A618)+1</f>
        <v>290</v>
      </c>
      <c r="B619" s="58"/>
      <c r="C619" s="10" t="s">
        <v>391</v>
      </c>
      <c r="D619" s="58"/>
      <c r="E619" s="30"/>
      <c r="F619" s="58"/>
      <c r="G619" s="411">
        <f>G604</f>
        <v>431289.49168000009</v>
      </c>
      <c r="H619" s="58"/>
      <c r="I619" s="556">
        <f>J619/G619*1000</f>
        <v>3.5502500655779468</v>
      </c>
      <c r="J619" s="554">
        <f>SUM(J608:J617)</f>
        <v>1531.1855461199996</v>
      </c>
      <c r="K619" s="539"/>
      <c r="L619" s="619">
        <f>SUM(L608:L617)</f>
        <v>0</v>
      </c>
      <c r="M619" s="619">
        <f>SUM(M608:M617)</f>
        <v>0</v>
      </c>
      <c r="N619" s="619">
        <f>SUM(N608:N617)</f>
        <v>1531.1855461199996</v>
      </c>
      <c r="O619" s="564"/>
      <c r="P619" s="619">
        <f>SUM(P608:P618)</f>
        <v>41.840083792902725</v>
      </c>
      <c r="Q619" s="619">
        <f>SUM(Q608:Q618)</f>
        <v>0</v>
      </c>
      <c r="R619" s="619">
        <f>SUM(R608:R618)</f>
        <v>0</v>
      </c>
      <c r="S619" s="564"/>
      <c r="T619" s="619">
        <f>SUM(T608:T617)</f>
        <v>1573.0256299129026</v>
      </c>
      <c r="U619" s="592">
        <f>T619/G619*1000</f>
        <v>3.6472616659068193</v>
      </c>
      <c r="V619" s="555">
        <f>SUM(V608:V617)</f>
        <v>41.840083792902725</v>
      </c>
      <c r="W619" s="562">
        <f>U619/I619-1</f>
        <v>2.7325286539521487E-2</v>
      </c>
      <c r="X619" s="542"/>
      <c r="Z619" s="738"/>
      <c r="AB619" s="738"/>
      <c r="AD619" s="738"/>
      <c r="AF619" s="744"/>
    </row>
    <row r="620" spans="1:32">
      <c r="A620" s="58"/>
      <c r="B620" s="58"/>
      <c r="C620" s="10"/>
      <c r="D620" s="58"/>
      <c r="E620" s="30"/>
      <c r="F620" s="58"/>
      <c r="G620" s="29"/>
      <c r="H620" s="58"/>
      <c r="I620" s="58"/>
      <c r="J620" s="539"/>
      <c r="K620" s="539"/>
      <c r="L620" s="538"/>
      <c r="M620" s="538"/>
      <c r="N620" s="538"/>
      <c r="O620" s="564"/>
      <c r="P620" s="564"/>
      <c r="Q620" s="538"/>
      <c r="R620" s="538"/>
      <c r="S620" s="564"/>
      <c r="T620" s="564"/>
      <c r="U620" s="565"/>
      <c r="V620" s="538"/>
      <c r="W620" s="541"/>
      <c r="X620" s="542"/>
      <c r="Z620" s="738"/>
      <c r="AB620" s="738"/>
      <c r="AD620" s="738"/>
      <c r="AF620" s="744"/>
    </row>
    <row r="621" spans="1:32" ht="12.95" thickBot="1">
      <c r="A621" s="58">
        <f>MAX(A$579:A620)+1</f>
        <v>291</v>
      </c>
      <c r="B621" s="58"/>
      <c r="C621" s="10" t="s">
        <v>392</v>
      </c>
      <c r="D621" s="58"/>
      <c r="E621" s="30"/>
      <c r="F621" s="58"/>
      <c r="G621" s="589">
        <f>G604</f>
        <v>431289.49168000009</v>
      </c>
      <c r="H621" s="58"/>
      <c r="I621" s="572">
        <f>J621/G621*100</f>
        <v>3.3182350315565512</v>
      </c>
      <c r="J621" s="627">
        <f>J604+J619</f>
        <v>14311.19900034794</v>
      </c>
      <c r="K621" s="539"/>
      <c r="L621" s="628">
        <f>L604+L619</f>
        <v>1634.7029693331499</v>
      </c>
      <c r="M621" s="628">
        <f>M604+M619</f>
        <v>0</v>
      </c>
      <c r="N621" s="628">
        <f>N604+N619</f>
        <v>12676.496031014791</v>
      </c>
      <c r="O621" s="564"/>
      <c r="P621" s="628">
        <f>P604+P619</f>
        <v>346.38888636458614</v>
      </c>
      <c r="Q621" s="628">
        <f>Q604+Q619</f>
        <v>965.15650932865947</v>
      </c>
      <c r="R621" s="628">
        <f>R604+R619</f>
        <v>0</v>
      </c>
      <c r="S621" s="564"/>
      <c r="T621" s="628">
        <f>T604+T619</f>
        <v>13988.041426708036</v>
      </c>
      <c r="U621" s="590">
        <f>T621/G621*100</f>
        <v>3.2433068035626089</v>
      </c>
      <c r="V621" s="587">
        <f>V604+V619</f>
        <v>-323.15757363990491</v>
      </c>
      <c r="W621" s="602">
        <f>U621/I621-1</f>
        <v>-2.2580747681032798E-2</v>
      </c>
      <c r="X621" s="559"/>
      <c r="Z621" s="738"/>
      <c r="AB621" s="738"/>
      <c r="AD621" s="738"/>
      <c r="AF621" s="744"/>
    </row>
    <row r="622" spans="1:32" ht="12.95" thickTop="1">
      <c r="L622" s="2"/>
      <c r="M622" s="2"/>
      <c r="N622" s="501"/>
      <c r="Q622" s="501"/>
      <c r="R622" s="501"/>
      <c r="V622" s="501"/>
      <c r="W622" s="501"/>
      <c r="Z622" s="738"/>
      <c r="AB622" s="738"/>
      <c r="AD622" s="738"/>
      <c r="AF622" s="744"/>
    </row>
    <row r="623" spans="1:32">
      <c r="L623" s="2"/>
      <c r="M623" s="2"/>
      <c r="N623" s="501"/>
      <c r="Q623" s="501"/>
      <c r="R623" s="501"/>
      <c r="V623" s="538"/>
      <c r="W623" s="501"/>
      <c r="Z623" s="738"/>
      <c r="AB623" s="738"/>
      <c r="AD623" s="738"/>
      <c r="AF623" s="744"/>
    </row>
    <row r="624" spans="1:32">
      <c r="L624" s="2"/>
      <c r="M624" s="2"/>
      <c r="N624" s="501"/>
      <c r="Q624" s="501"/>
      <c r="R624" s="501"/>
      <c r="V624" s="538"/>
      <c r="W624" s="501"/>
      <c r="Z624" s="738"/>
      <c r="AB624" s="738"/>
      <c r="AD624" s="738"/>
      <c r="AF624" s="744"/>
    </row>
    <row r="625" spans="1:32">
      <c r="L625" s="2"/>
      <c r="M625" s="2"/>
      <c r="N625" s="501"/>
      <c r="Q625" s="501"/>
      <c r="R625" s="501"/>
      <c r="V625" s="501"/>
      <c r="W625" s="501"/>
      <c r="Z625" s="738"/>
      <c r="AB625" s="738"/>
      <c r="AD625" s="738"/>
      <c r="AF625" s="744"/>
    </row>
    <row r="626" spans="1:32">
      <c r="A626" s="1156" t="s">
        <v>279</v>
      </c>
      <c r="B626" s="1156"/>
      <c r="C626" s="1156"/>
      <c r="D626" s="1156"/>
      <c r="E626" s="1156"/>
      <c r="F626" s="1156"/>
      <c r="G626" s="1156"/>
      <c r="H626" s="1156"/>
      <c r="I626" s="1156"/>
      <c r="J626" s="1156"/>
      <c r="K626" s="1156"/>
      <c r="L626" s="1156"/>
      <c r="M626" s="1156"/>
      <c r="N626" s="1156"/>
      <c r="O626" s="1156"/>
      <c r="P626" s="1156"/>
      <c r="Q626" s="1156"/>
      <c r="R626" s="1156"/>
      <c r="S626" s="1156"/>
      <c r="T626" s="1156"/>
      <c r="U626" s="1156"/>
      <c r="V626" s="1156"/>
      <c r="W626" s="1156"/>
      <c r="X626" s="531"/>
      <c r="Z626" s="738"/>
      <c r="AB626" s="738"/>
      <c r="AD626" s="738"/>
      <c r="AF626" s="744"/>
    </row>
    <row r="627" spans="1:32">
      <c r="A627" s="1156" t="s">
        <v>478</v>
      </c>
      <c r="B627" s="1156"/>
      <c r="C627" s="1156"/>
      <c r="D627" s="1156"/>
      <c r="E627" s="1156"/>
      <c r="F627" s="1156"/>
      <c r="G627" s="1156"/>
      <c r="H627" s="1156"/>
      <c r="I627" s="1156"/>
      <c r="J627" s="1156"/>
      <c r="K627" s="1156"/>
      <c r="L627" s="1156"/>
      <c r="M627" s="1156"/>
      <c r="N627" s="1156"/>
      <c r="O627" s="1156"/>
      <c r="P627" s="1156"/>
      <c r="Q627" s="1156"/>
      <c r="R627" s="1156"/>
      <c r="S627" s="1156"/>
      <c r="T627" s="1156"/>
      <c r="U627" s="1156"/>
      <c r="V627" s="1156"/>
      <c r="W627" s="1156"/>
      <c r="X627" s="737"/>
      <c r="Y627" s="737"/>
      <c r="Z627" s="738"/>
      <c r="AB627" s="738"/>
      <c r="AD627" s="738"/>
      <c r="AF627" s="744"/>
    </row>
    <row r="628" spans="1:32">
      <c r="A628" s="57"/>
      <c r="B628" s="57"/>
      <c r="C628" s="57"/>
      <c r="D628" s="57"/>
      <c r="E628" s="3"/>
      <c r="F628" s="57"/>
      <c r="G628" s="3"/>
      <c r="H628" s="57"/>
      <c r="I628" s="57"/>
      <c r="J628" s="57"/>
      <c r="K628" s="57"/>
      <c r="L628" s="57"/>
      <c r="M628" s="57"/>
      <c r="N628" s="501"/>
      <c r="O628" s="57"/>
      <c r="P628" s="57"/>
      <c r="Q628" s="501"/>
      <c r="R628" s="501"/>
      <c r="S628" s="57"/>
      <c r="T628" s="57"/>
      <c r="U628" s="57"/>
      <c r="V628" s="501"/>
      <c r="W628" s="501"/>
      <c r="Z628" s="738"/>
      <c r="AB628" s="738"/>
      <c r="AD628" s="738"/>
      <c r="AF628" s="744"/>
    </row>
    <row r="629" spans="1:32" ht="26.65" customHeight="1">
      <c r="A629" s="3"/>
      <c r="B629" s="3"/>
      <c r="C629" s="3"/>
      <c r="D629" s="3"/>
      <c r="E629" s="57"/>
      <c r="F629" s="1152" t="s">
        <v>231</v>
      </c>
      <c r="G629" s="1152"/>
      <c r="H629" s="1152"/>
      <c r="I629" s="1152"/>
      <c r="J629" s="1152"/>
      <c r="K629" s="3"/>
      <c r="L629" s="1157" t="s">
        <v>94</v>
      </c>
      <c r="M629" s="1157"/>
      <c r="N629" s="58"/>
      <c r="O629" s="3"/>
      <c r="P629" s="59"/>
      <c r="Q629" s="1157" t="s">
        <v>95</v>
      </c>
      <c r="R629" s="1157"/>
      <c r="S629" s="3"/>
      <c r="T629" s="1152" t="s">
        <v>472</v>
      </c>
      <c r="U629" s="1152"/>
      <c r="V629" s="1152"/>
      <c r="W629" s="1152"/>
      <c r="X629" s="6"/>
      <c r="Z629" s="738"/>
      <c r="AB629" s="738"/>
      <c r="AD629" s="738"/>
      <c r="AF629" s="744"/>
    </row>
    <row r="630" spans="1:32" ht="37.5">
      <c r="A630" s="5" t="s">
        <v>56</v>
      </c>
      <c r="B630" s="5"/>
      <c r="C630" s="5"/>
      <c r="D630" s="5"/>
      <c r="E630" s="6" t="s">
        <v>233</v>
      </c>
      <c r="F630" s="5"/>
      <c r="G630" s="17" t="s">
        <v>234</v>
      </c>
      <c r="H630" s="5"/>
      <c r="I630" s="17" t="s">
        <v>235</v>
      </c>
      <c r="J630" s="17" t="s">
        <v>101</v>
      </c>
      <c r="K630" s="5"/>
      <c r="L630" s="17" t="s">
        <v>106</v>
      </c>
      <c r="M630" s="17" t="s">
        <v>236</v>
      </c>
      <c r="N630" s="5" t="s">
        <v>239</v>
      </c>
      <c r="O630" s="5"/>
      <c r="P630" s="5" t="s">
        <v>240</v>
      </c>
      <c r="Q630" s="17" t="s">
        <v>106</v>
      </c>
      <c r="R630" s="17" t="s">
        <v>236</v>
      </c>
      <c r="S630" s="5"/>
      <c r="T630" s="17" t="s">
        <v>241</v>
      </c>
      <c r="U630" s="17" t="s">
        <v>242</v>
      </c>
      <c r="V630" s="17" t="s">
        <v>243</v>
      </c>
      <c r="W630" s="5" t="s">
        <v>244</v>
      </c>
      <c r="X630" s="5"/>
      <c r="Z630" s="738"/>
      <c r="AB630" s="738"/>
      <c r="AD630" s="738"/>
      <c r="AF630" s="744"/>
    </row>
    <row r="631" spans="1:32" ht="14.45">
      <c r="A631" s="237" t="s">
        <v>57</v>
      </c>
      <c r="B631" s="58"/>
      <c r="C631" s="59" t="s">
        <v>194</v>
      </c>
      <c r="D631" s="58"/>
      <c r="E631" s="237" t="s">
        <v>245</v>
      </c>
      <c r="F631" s="58"/>
      <c r="G631" s="237" t="s">
        <v>246</v>
      </c>
      <c r="H631" s="58"/>
      <c r="I631" s="237" t="s">
        <v>247</v>
      </c>
      <c r="J631" s="237" t="s">
        <v>248</v>
      </c>
      <c r="K631" s="58"/>
      <c r="L631" s="237" t="s">
        <v>248</v>
      </c>
      <c r="M631" s="237" t="s">
        <v>248</v>
      </c>
      <c r="N631" s="237" t="s">
        <v>248</v>
      </c>
      <c r="O631" s="58"/>
      <c r="P631" s="237" t="s">
        <v>248</v>
      </c>
      <c r="Q631" s="237" t="s">
        <v>248</v>
      </c>
      <c r="R631" s="237" t="s">
        <v>248</v>
      </c>
      <c r="S631" s="58"/>
      <c r="T631" s="237" t="s">
        <v>248</v>
      </c>
      <c r="U631" s="237" t="s">
        <v>247</v>
      </c>
      <c r="V631" s="237" t="s">
        <v>248</v>
      </c>
      <c r="W631" s="237" t="s">
        <v>249</v>
      </c>
      <c r="X631" s="6"/>
      <c r="Z631" s="738"/>
      <c r="AB631" s="738"/>
      <c r="AD631" s="738"/>
      <c r="AF631" s="744"/>
    </row>
    <row r="632" spans="1:32">
      <c r="A632" s="6"/>
      <c r="B632" s="58"/>
      <c r="C632" s="58"/>
      <c r="D632" s="58"/>
      <c r="E632" s="6"/>
      <c r="F632" s="58"/>
      <c r="G632" s="6" t="s">
        <v>9</v>
      </c>
      <c r="H632" s="6"/>
      <c r="I632" s="6" t="s">
        <v>10</v>
      </c>
      <c r="J632" s="6" t="s">
        <v>58</v>
      </c>
      <c r="K632" s="6"/>
      <c r="L632" s="123" t="s">
        <v>12</v>
      </c>
      <c r="M632" s="123" t="s">
        <v>13</v>
      </c>
      <c r="N632" s="6" t="s">
        <v>473</v>
      </c>
      <c r="O632" s="6"/>
      <c r="P632" s="6" t="s">
        <v>474</v>
      </c>
      <c r="Q632" s="6" t="s">
        <v>210</v>
      </c>
      <c r="R632" s="6" t="s">
        <v>118</v>
      </c>
      <c r="S632" s="6"/>
      <c r="T632" s="6" t="s">
        <v>475</v>
      </c>
      <c r="U632" s="6" t="s">
        <v>120</v>
      </c>
      <c r="V632" s="6" t="s">
        <v>476</v>
      </c>
      <c r="W632" s="6" t="s">
        <v>477</v>
      </c>
      <c r="X632" s="6"/>
      <c r="Z632" s="738"/>
      <c r="AB632" s="738"/>
      <c r="AD632" s="738"/>
      <c r="AF632" s="744"/>
    </row>
    <row r="633" spans="1:32">
      <c r="A633" s="58"/>
      <c r="B633" s="58"/>
      <c r="C633" s="10"/>
      <c r="D633" s="58"/>
      <c r="E633" s="30"/>
      <c r="F633" s="58"/>
      <c r="G633" s="29"/>
      <c r="H633" s="58"/>
      <c r="I633" s="548"/>
      <c r="J633" s="539"/>
      <c r="K633" s="539"/>
      <c r="L633" s="564"/>
      <c r="M633" s="564"/>
      <c r="N633" s="564"/>
      <c r="O633" s="564"/>
      <c r="P633" s="564"/>
      <c r="Q633" s="564"/>
      <c r="R633" s="564"/>
      <c r="S633" s="564"/>
      <c r="T633" s="564"/>
      <c r="U633" s="565"/>
      <c r="V633" s="538"/>
      <c r="W633" s="559"/>
      <c r="X633" s="559"/>
      <c r="Z633" s="738"/>
      <c r="AB633" s="738"/>
      <c r="AD633" s="738"/>
      <c r="AF633" s="744"/>
    </row>
    <row r="634" spans="1:32">
      <c r="A634" s="6"/>
      <c r="B634" s="58"/>
      <c r="C634" s="9" t="s">
        <v>153</v>
      </c>
      <c r="D634" s="58"/>
      <c r="E634" s="30"/>
      <c r="F634" s="58"/>
      <c r="G634" s="29"/>
      <c r="H634" s="58"/>
      <c r="I634" s="58"/>
      <c r="J634" s="58"/>
      <c r="K634" s="58"/>
      <c r="L634" s="538"/>
      <c r="M634" s="538"/>
      <c r="N634" s="538"/>
      <c r="O634" s="564"/>
      <c r="P634" s="564"/>
      <c r="Q634" s="538"/>
      <c r="R634" s="538"/>
      <c r="S634" s="564"/>
      <c r="T634" s="564"/>
      <c r="U634" s="564"/>
      <c r="V634" s="538"/>
      <c r="W634" s="501"/>
    </row>
    <row r="635" spans="1:32">
      <c r="A635" s="6">
        <v>292</v>
      </c>
      <c r="B635" s="58"/>
      <c r="C635" s="10" t="s">
        <v>258</v>
      </c>
      <c r="D635" s="58"/>
      <c r="E635" s="6" t="s">
        <v>366</v>
      </c>
      <c r="F635" s="58"/>
      <c r="G635" s="29">
        <v>501.00000000000347</v>
      </c>
      <c r="H635" s="58"/>
      <c r="I635" s="537">
        <v>6803.81</v>
      </c>
      <c r="J635" s="539">
        <f>G635*I635/1000</f>
        <v>3408.7088100000237</v>
      </c>
      <c r="K635" s="58"/>
      <c r="L635" s="29">
        <v>0</v>
      </c>
      <c r="M635" s="29">
        <v>0</v>
      </c>
      <c r="N635" s="538">
        <f>J635-L635-M635</f>
        <v>3408.7088100000237</v>
      </c>
      <c r="O635" s="564"/>
      <c r="P635" s="29">
        <v>93.143944963042031</v>
      </c>
      <c r="Q635" s="29">
        <v>0</v>
      </c>
      <c r="R635" s="29">
        <v>0</v>
      </c>
      <c r="S635" s="564"/>
      <c r="T635" s="564">
        <f>N635+P635+Q635+R635</f>
        <v>3501.8527549630658</v>
      </c>
      <c r="U635" s="577">
        <f>T635/G635*1000</f>
        <v>6989.7260578104624</v>
      </c>
      <c r="V635" s="538">
        <f>T635-J635</f>
        <v>93.143944963042031</v>
      </c>
      <c r="W635" s="541">
        <f>U635/I635-1</f>
        <v>2.7325286539521487E-2</v>
      </c>
      <c r="X635" s="542"/>
      <c r="Z635" s="738"/>
      <c r="AB635" s="738"/>
      <c r="AD635" s="738"/>
      <c r="AF635" s="739"/>
    </row>
    <row r="636" spans="1:32" ht="14.45">
      <c r="A636" s="6"/>
      <c r="B636" s="58"/>
      <c r="C636" s="10" t="s">
        <v>367</v>
      </c>
      <c r="D636" s="58"/>
      <c r="E636" s="6"/>
      <c r="F636" s="58"/>
      <c r="G636" s="29"/>
      <c r="H636" s="58"/>
      <c r="I636" s="537"/>
      <c r="J636" s="539"/>
      <c r="K636" s="58"/>
      <c r="L636" s="29"/>
      <c r="M636" s="29"/>
      <c r="N636" s="538"/>
      <c r="O636" s="564"/>
      <c r="P636" s="29"/>
      <c r="Q636" s="29"/>
      <c r="R636" s="29"/>
      <c r="S636" s="564"/>
      <c r="T636" s="564"/>
      <c r="U636" s="577"/>
      <c r="V636" s="538"/>
      <c r="W636" s="541"/>
      <c r="X636" s="542"/>
      <c r="Z636" s="738"/>
      <c r="AB636" s="738"/>
      <c r="AD636" s="738"/>
      <c r="AF636" s="739"/>
    </row>
    <row r="637" spans="1:32">
      <c r="A637" s="6"/>
      <c r="B637" s="58"/>
      <c r="C637" s="526" t="s">
        <v>368</v>
      </c>
      <c r="D637" s="58"/>
      <c r="F637" s="58"/>
      <c r="G637" s="29"/>
      <c r="H637" s="58"/>
      <c r="I637" s="58"/>
      <c r="J637" s="539"/>
      <c r="K637" s="58"/>
      <c r="L637" s="538"/>
      <c r="M637" s="538"/>
      <c r="N637" s="538"/>
      <c r="O637" s="564"/>
      <c r="P637" s="29"/>
      <c r="Q637" s="29"/>
      <c r="R637" s="538"/>
      <c r="S637" s="564"/>
      <c r="T637" s="564"/>
      <c r="U637" s="565"/>
      <c r="V637" s="538"/>
      <c r="W637" s="541"/>
      <c r="X637" s="542"/>
      <c r="Z637" s="738"/>
      <c r="AB637" s="738"/>
      <c r="AD637" s="738"/>
    </row>
    <row r="638" spans="1:32">
      <c r="A638" s="6">
        <f>MAX(A$634:A637)+1</f>
        <v>293</v>
      </c>
      <c r="B638" s="58"/>
      <c r="C638" s="697" t="s">
        <v>393</v>
      </c>
      <c r="D638" s="58"/>
      <c r="E638" s="522" t="s">
        <v>370</v>
      </c>
      <c r="F638" s="58"/>
      <c r="G638" s="29">
        <v>60333.714</v>
      </c>
      <c r="H638" s="58"/>
      <c r="I638" s="684">
        <v>33.160600000000002</v>
      </c>
      <c r="J638" s="539">
        <f>G638*I638/100</f>
        <v>20007.021564684001</v>
      </c>
      <c r="K638" s="58"/>
      <c r="L638" s="29">
        <v>1497.5431151939999</v>
      </c>
      <c r="M638" s="29">
        <v>0</v>
      </c>
      <c r="N638" s="538">
        <f t="shared" ref="N638:N647" si="220">J638-L638-M638</f>
        <v>18509.478449490001</v>
      </c>
      <c r="O638" s="564"/>
      <c r="P638" s="29">
        <v>505.77680232941202</v>
      </c>
      <c r="Q638" s="29">
        <v>1052.1210252863157</v>
      </c>
      <c r="R638" s="29">
        <v>0</v>
      </c>
      <c r="S638" s="564"/>
      <c r="T638" s="564">
        <f t="shared" ref="T638:T647" si="221">N638+P638+Q638+R638</f>
        <v>20067.37627710573</v>
      </c>
      <c r="U638" s="565">
        <f>T638/G638*100</f>
        <v>33.260634803794325</v>
      </c>
      <c r="V638" s="538">
        <f>T638-J638</f>
        <v>60.354712421729346</v>
      </c>
      <c r="W638" s="541">
        <f>U638/I638-1</f>
        <v>3.0166765316164135E-3</v>
      </c>
      <c r="X638" s="542"/>
      <c r="Z638" s="738"/>
      <c r="AB638" s="738"/>
      <c r="AD638" s="738"/>
      <c r="AF638" s="744"/>
    </row>
    <row r="639" spans="1:32">
      <c r="A639" s="6">
        <f>MAX(A$634:A638)+1</f>
        <v>294</v>
      </c>
      <c r="C639" s="697" t="s">
        <v>394</v>
      </c>
      <c r="E639" s="522" t="s">
        <v>370</v>
      </c>
      <c r="G639" s="29">
        <v>248379.71</v>
      </c>
      <c r="I639" s="684">
        <v>18.477399999999999</v>
      </c>
      <c r="J639" s="539">
        <f t="shared" ref="J639:J645" si="222">G639*I639/100</f>
        <v>45894.112535539993</v>
      </c>
      <c r="L639" s="29">
        <v>3260.9772125899995</v>
      </c>
      <c r="M639" s="29">
        <v>0</v>
      </c>
      <c r="N639" s="538">
        <f t="shared" si="220"/>
        <v>42633.135322949995</v>
      </c>
      <c r="O639" s="64"/>
      <c r="P639" s="29">
        <v>1164.9626387778044</v>
      </c>
      <c r="Q639" s="29">
        <v>2423.3647733271655</v>
      </c>
      <c r="R639" s="29">
        <v>0</v>
      </c>
      <c r="S639" s="64"/>
      <c r="T639" s="564">
        <f t="shared" si="221"/>
        <v>46221.462735054964</v>
      </c>
      <c r="U639" s="565">
        <f>T639/G639*100</f>
        <v>18.609194259488817</v>
      </c>
      <c r="V639" s="538">
        <f>T639-J639</f>
        <v>327.35019951497088</v>
      </c>
      <c r="W639" s="541">
        <f>U639/I639-1</f>
        <v>7.1327275205828045E-3</v>
      </c>
      <c r="X639" s="542"/>
      <c r="Z639" s="738"/>
      <c r="AB639" s="738"/>
      <c r="AD639" s="738"/>
      <c r="AF639" s="744"/>
    </row>
    <row r="640" spans="1:32">
      <c r="A640" s="6"/>
      <c r="C640" s="526" t="s">
        <v>372</v>
      </c>
      <c r="E640" s="30"/>
      <c r="G640" s="29"/>
      <c r="I640" s="684"/>
      <c r="J640" s="539"/>
      <c r="L640" s="29"/>
      <c r="M640" s="538"/>
      <c r="N640" s="538"/>
      <c r="O640" s="64"/>
      <c r="P640" s="29"/>
      <c r="Q640" s="29"/>
      <c r="R640" s="538"/>
      <c r="S640" s="64"/>
      <c r="T640" s="564"/>
      <c r="U640" s="565"/>
      <c r="V640" s="538"/>
      <c r="W640" s="541"/>
      <c r="X640" s="542"/>
      <c r="Z640" s="738"/>
      <c r="AB640" s="738"/>
      <c r="AD640" s="738"/>
      <c r="AF640" s="744"/>
    </row>
    <row r="641" spans="1:32">
      <c r="A641" s="6">
        <f>MAX(A$634:A640)+1</f>
        <v>295</v>
      </c>
      <c r="C641" s="698" t="s">
        <v>373</v>
      </c>
      <c r="E641" s="30" t="s">
        <v>262</v>
      </c>
      <c r="G641" s="29">
        <v>4963881.1019000001</v>
      </c>
      <c r="I641" s="684">
        <v>1.7999999999999999E-2</v>
      </c>
      <c r="J641" s="539">
        <f t="shared" si="222"/>
        <v>893.49859834199992</v>
      </c>
      <c r="L641" s="29">
        <v>0</v>
      </c>
      <c r="M641" s="29">
        <v>0</v>
      </c>
      <c r="N641" s="538">
        <f t="shared" si="220"/>
        <v>893.49859834199992</v>
      </c>
      <c r="O641" s="64"/>
      <c r="P641" s="29">
        <v>24.415105222355919</v>
      </c>
      <c r="Q641" s="29">
        <v>0</v>
      </c>
      <c r="R641" s="29">
        <v>0</v>
      </c>
      <c r="S641" s="29"/>
      <c r="T641" s="564">
        <f t="shared" si="221"/>
        <v>917.91370356435584</v>
      </c>
      <c r="U641" s="565">
        <f>T641/G641*100</f>
        <v>1.8491855157711384E-2</v>
      </c>
      <c r="V641" s="538">
        <f>T641-J641</f>
        <v>24.415105222355919</v>
      </c>
      <c r="W641" s="541">
        <f>U641/I641-1</f>
        <v>2.7325286539521487E-2</v>
      </c>
      <c r="X641" s="542"/>
      <c r="Z641" s="738"/>
      <c r="AB641" s="738"/>
      <c r="AD641" s="738"/>
      <c r="AF641" s="744"/>
    </row>
    <row r="642" spans="1:32">
      <c r="A642" s="6">
        <f>MAX(A$634:A641)+1</f>
        <v>296</v>
      </c>
      <c r="C642" s="698" t="s">
        <v>374</v>
      </c>
      <c r="E642" s="30" t="s">
        <v>262</v>
      </c>
      <c r="G642" s="29">
        <v>41762.222750000008</v>
      </c>
      <c r="I642" s="684">
        <v>2.7050999999999998</v>
      </c>
      <c r="J642" s="539">
        <f t="shared" si="222"/>
        <v>1129.7098876102502</v>
      </c>
      <c r="L642" s="29">
        <v>41.469887190750008</v>
      </c>
      <c r="M642" s="29">
        <v>0</v>
      </c>
      <c r="N642" s="538">
        <f t="shared" si="220"/>
        <v>1088.2400004195001</v>
      </c>
      <c r="O642" s="64"/>
      <c r="P642" s="29">
        <v>29.736463268311809</v>
      </c>
      <c r="Q642" s="29">
        <v>61.910325756040926</v>
      </c>
      <c r="R642" s="29">
        <v>0</v>
      </c>
      <c r="S642" s="64"/>
      <c r="T642" s="564">
        <f t="shared" si="221"/>
        <v>1179.8867894438529</v>
      </c>
      <c r="U642" s="565">
        <f>T642/G642*100</f>
        <v>2.8252490211236485</v>
      </c>
      <c r="V642" s="538">
        <f>T642-J642</f>
        <v>50.176901833602642</v>
      </c>
      <c r="W642" s="541">
        <f>U642/I642-1</f>
        <v>4.4415741053435598E-2</v>
      </c>
      <c r="X642" s="542"/>
      <c r="Z642" s="738"/>
      <c r="AB642" s="738"/>
      <c r="AD642" s="738"/>
      <c r="AF642" s="744"/>
    </row>
    <row r="643" spans="1:32">
      <c r="A643" s="6"/>
      <c r="C643" s="10"/>
      <c r="E643" s="30"/>
      <c r="G643" s="29"/>
      <c r="I643" s="684"/>
      <c r="J643" s="539"/>
      <c r="L643" s="29"/>
      <c r="M643" s="538"/>
      <c r="N643" s="538"/>
      <c r="O643" s="64"/>
      <c r="P643" s="29"/>
      <c r="Q643" s="29"/>
      <c r="R643" s="538"/>
      <c r="S643" s="64"/>
      <c r="T643" s="564"/>
      <c r="U643" s="565"/>
      <c r="V643" s="538"/>
      <c r="W643" s="541"/>
      <c r="X643" s="542"/>
      <c r="Z643" s="738"/>
      <c r="AB643" s="738"/>
      <c r="AD643" s="738"/>
      <c r="AF643" s="744"/>
    </row>
    <row r="644" spans="1:32">
      <c r="A644" s="6">
        <f>MAX(A$634:A643)+1</f>
        <v>297</v>
      </c>
      <c r="B644" s="58"/>
      <c r="C644" s="12" t="s">
        <v>375</v>
      </c>
      <c r="D644" s="58"/>
      <c r="E644" s="30" t="s">
        <v>262</v>
      </c>
      <c r="F644" s="58"/>
      <c r="G644" s="29">
        <v>24455.350999999999</v>
      </c>
      <c r="H644" s="58"/>
      <c r="I644" s="684">
        <v>1.7999999999999999E-2</v>
      </c>
      <c r="J644" s="539">
        <f t="shared" si="222"/>
        <v>4.4019631799999992</v>
      </c>
      <c r="K644" s="58"/>
      <c r="L644" s="29">
        <v>0</v>
      </c>
      <c r="M644" s="29">
        <v>0</v>
      </c>
      <c r="N644" s="538">
        <f t="shared" si="220"/>
        <v>4.4019631799999992</v>
      </c>
      <c r="O644" s="564"/>
      <c r="P644" s="29">
        <v>0.12028490522992286</v>
      </c>
      <c r="Q644" s="29">
        <v>0</v>
      </c>
      <c r="R644" s="29">
        <v>0</v>
      </c>
      <c r="S644" s="564"/>
      <c r="T644" s="564">
        <f t="shared" si="221"/>
        <v>4.5222480852299221</v>
      </c>
      <c r="U644" s="565">
        <f>T644/G644*100</f>
        <v>1.8491855157711384E-2</v>
      </c>
      <c r="V644" s="538">
        <f>T644-J644</f>
        <v>0.12028490522992286</v>
      </c>
      <c r="W644" s="541">
        <f>U644/I644-1</f>
        <v>2.7325286539521487E-2</v>
      </c>
      <c r="X644" s="542"/>
      <c r="Z644" s="738"/>
      <c r="AB644" s="738"/>
      <c r="AD644" s="738"/>
      <c r="AF644" s="744"/>
    </row>
    <row r="645" spans="1:32">
      <c r="A645" s="6">
        <f>MAX(A$634:A644)+1</f>
        <v>298</v>
      </c>
      <c r="B645" s="58"/>
      <c r="C645" s="12" t="s">
        <v>376</v>
      </c>
      <c r="D645" s="58"/>
      <c r="E645" s="30" t="s">
        <v>262</v>
      </c>
      <c r="F645" s="58"/>
      <c r="G645" s="29">
        <v>176.95000000000073</v>
      </c>
      <c r="H645" s="58"/>
      <c r="I645" s="684">
        <v>3.2271999999999998</v>
      </c>
      <c r="J645" s="539">
        <f t="shared" si="222"/>
        <v>5.7105304000000228</v>
      </c>
      <c r="K645" s="58"/>
      <c r="L645" s="29">
        <v>0.17571135000000074</v>
      </c>
      <c r="M645" s="29">
        <v>0</v>
      </c>
      <c r="N645" s="538">
        <f t="shared" si="220"/>
        <v>5.5348190500000216</v>
      </c>
      <c r="O645" s="564"/>
      <c r="P645" s="29">
        <v>0.15124051648565207</v>
      </c>
      <c r="Q645" s="29">
        <v>0.26231918277222172</v>
      </c>
      <c r="R645" s="29">
        <v>0</v>
      </c>
      <c r="S645" s="564"/>
      <c r="T645" s="564">
        <f t="shared" si="221"/>
        <v>5.9483787492578957</v>
      </c>
      <c r="U645" s="565">
        <f>T645/G645*100</f>
        <v>3.3616155689504783</v>
      </c>
      <c r="V645" s="538">
        <f>T645-J645</f>
        <v>0.2378483492578729</v>
      </c>
      <c r="W645" s="541">
        <f>U645/I645-1</f>
        <v>4.1650833214699645E-2</v>
      </c>
      <c r="X645" s="542"/>
      <c r="Z645" s="738"/>
      <c r="AB645" s="738"/>
      <c r="AD645" s="738"/>
      <c r="AF645" s="744"/>
    </row>
    <row r="646" spans="1:32">
      <c r="A646" s="6"/>
      <c r="C646" s="10"/>
      <c r="E646" s="30"/>
      <c r="G646" s="29"/>
      <c r="I646" s="684"/>
      <c r="J646" s="539"/>
      <c r="L646" s="538"/>
      <c r="M646" s="538"/>
      <c r="N646" s="538"/>
      <c r="O646" s="64"/>
      <c r="P646" s="29"/>
      <c r="Q646" s="29"/>
      <c r="R646" s="538"/>
      <c r="S646" s="64"/>
      <c r="T646" s="564"/>
      <c r="U646" s="565"/>
      <c r="V646" s="538"/>
      <c r="W646" s="541"/>
      <c r="X646" s="542"/>
      <c r="Z646" s="738"/>
      <c r="AB646" s="738"/>
      <c r="AD646" s="738"/>
    </row>
    <row r="647" spans="1:32">
      <c r="A647" s="6">
        <f>MAX(A$634:A646)+1</f>
        <v>299</v>
      </c>
      <c r="B647" s="58"/>
      <c r="C647" s="12" t="s">
        <v>377</v>
      </c>
      <c r="D647" s="58"/>
      <c r="E647" s="30" t="s">
        <v>331</v>
      </c>
      <c r="F647" s="58"/>
      <c r="G647" s="29">
        <v>0</v>
      </c>
      <c r="H647" s="58"/>
      <c r="I647" s="29">
        <v>0</v>
      </c>
      <c r="J647" s="564">
        <f>G647*I647/1000</f>
        <v>0</v>
      </c>
      <c r="K647" s="58"/>
      <c r="L647" s="29">
        <v>0</v>
      </c>
      <c r="M647" s="29">
        <v>0</v>
      </c>
      <c r="N647" s="538">
        <f t="shared" si="220"/>
        <v>0</v>
      </c>
      <c r="O647" s="64"/>
      <c r="P647" s="29">
        <v>0</v>
      </c>
      <c r="Q647" s="29">
        <v>0</v>
      </c>
      <c r="R647" s="29">
        <v>0</v>
      </c>
      <c r="S647" s="564"/>
      <c r="T647" s="564">
        <f t="shared" si="221"/>
        <v>0</v>
      </c>
      <c r="U647" s="564">
        <v>0</v>
      </c>
      <c r="V647" s="538">
        <f>T647-J647</f>
        <v>0</v>
      </c>
      <c r="W647" s="599" t="str">
        <f>IFERROR(U647/I647-1,"-")</f>
        <v>-</v>
      </c>
      <c r="X647" s="542"/>
      <c r="Z647" s="738"/>
      <c r="AB647" s="738"/>
      <c r="AD647" s="738"/>
    </row>
    <row r="648" spans="1:32">
      <c r="A648" s="6"/>
      <c r="B648" s="58"/>
      <c r="C648" s="10"/>
      <c r="D648" s="58"/>
      <c r="E648" s="574"/>
      <c r="F648" s="58"/>
      <c r="G648" s="29"/>
      <c r="H648" s="58"/>
      <c r="I648" s="58"/>
      <c r="J648" s="539"/>
      <c r="K648" s="58"/>
      <c r="L648" s="538"/>
      <c r="M648" s="538"/>
      <c r="N648" s="538"/>
      <c r="O648" s="564"/>
      <c r="P648" s="564"/>
      <c r="Q648" s="538"/>
      <c r="R648" s="538"/>
      <c r="S648" s="564"/>
      <c r="T648" s="564"/>
      <c r="U648" s="565"/>
      <c r="V648" s="538"/>
      <c r="W648" s="541"/>
      <c r="X648" s="542"/>
      <c r="Z648" s="738"/>
      <c r="AB648" s="738"/>
      <c r="AD648" s="738"/>
    </row>
    <row r="649" spans="1:32">
      <c r="A649" s="6">
        <f>MAX(A$634:A648)+1</f>
        <v>300</v>
      </c>
      <c r="B649" s="58"/>
      <c r="C649" s="10" t="s">
        <v>378</v>
      </c>
      <c r="D649" s="58"/>
      <c r="E649" s="574"/>
      <c r="F649" s="58"/>
      <c r="G649" s="411">
        <f>G641+G642</f>
        <v>5005643.3246499998</v>
      </c>
      <c r="H649" s="58"/>
      <c r="I649" s="556">
        <f>J649/G649*100</f>
        <v>1.4252546428634061</v>
      </c>
      <c r="J649" s="554">
        <f>SUM(J635:J647)</f>
        <v>71343.163889756281</v>
      </c>
      <c r="K649" s="539"/>
      <c r="L649" s="619">
        <f t="shared" ref="L649:N649" si="223">SUM(L635:L647)</f>
        <v>4800.1659263247493</v>
      </c>
      <c r="M649" s="619">
        <f t="shared" si="223"/>
        <v>0</v>
      </c>
      <c r="N649" s="619">
        <f t="shared" si="223"/>
        <v>66542.99796343151</v>
      </c>
      <c r="O649" s="564"/>
      <c r="P649" s="619">
        <f>SUM(P635:P647)</f>
        <v>1818.3064799826418</v>
      </c>
      <c r="Q649" s="619">
        <f t="shared" ref="Q649:R649" si="224">SUM(Q635:Q647)</f>
        <v>3537.6584435522946</v>
      </c>
      <c r="R649" s="619">
        <f t="shared" si="224"/>
        <v>0</v>
      </c>
      <c r="S649" s="564"/>
      <c r="T649" s="619">
        <f>SUM(T635:T647)</f>
        <v>71898.962886966459</v>
      </c>
      <c r="U649" s="592">
        <f>T649/G649*100</f>
        <v>1.4363580907353946</v>
      </c>
      <c r="V649" s="555">
        <f>SUM(V635:V647)</f>
        <v>555.79899721018865</v>
      </c>
      <c r="W649" s="562">
        <f>U649/I649-1</f>
        <v>7.7905011063013063E-3</v>
      </c>
      <c r="X649" s="542"/>
      <c r="Z649" s="738"/>
      <c r="AB649" s="738"/>
      <c r="AD649" s="738"/>
      <c r="AF649" s="744"/>
    </row>
    <row r="650" spans="1:32">
      <c r="A650" s="6"/>
      <c r="B650" s="58"/>
      <c r="D650" s="58"/>
      <c r="E650" s="574"/>
      <c r="F650" s="58"/>
      <c r="G650" s="132"/>
      <c r="H650" s="58"/>
      <c r="I650" s="58"/>
      <c r="J650" s="539"/>
      <c r="K650" s="58"/>
      <c r="L650" s="538"/>
      <c r="M650" s="538"/>
      <c r="N650" s="538"/>
      <c r="O650" s="564"/>
      <c r="P650" s="564"/>
      <c r="Q650" s="538"/>
      <c r="R650" s="538"/>
      <c r="S650" s="564"/>
      <c r="T650" s="564"/>
      <c r="U650" s="565"/>
      <c r="V650" s="538"/>
      <c r="W650" s="501"/>
      <c r="Z650" s="741"/>
      <c r="AB650" s="741"/>
      <c r="AD650" s="741"/>
      <c r="AF650" s="741"/>
    </row>
    <row r="651" spans="1:32">
      <c r="A651" s="6"/>
      <c r="C651" s="521" t="s">
        <v>379</v>
      </c>
      <c r="E651" s="30"/>
      <c r="G651" s="129"/>
      <c r="J651" s="567"/>
      <c r="L651" s="538"/>
      <c r="M651" s="538"/>
      <c r="N651" s="538"/>
      <c r="O651" s="64"/>
      <c r="P651" s="64"/>
      <c r="Q651" s="538"/>
      <c r="R651" s="538"/>
      <c r="S651" s="64"/>
      <c r="T651" s="64"/>
      <c r="U651" s="580"/>
      <c r="V651" s="538"/>
      <c r="W651" s="501"/>
      <c r="Z651" s="738"/>
      <c r="AB651" s="738"/>
      <c r="AD651" s="738"/>
      <c r="AF651" s="744"/>
    </row>
    <row r="652" spans="1:32">
      <c r="A652" s="6"/>
      <c r="B652" s="58"/>
      <c r="C652" s="526" t="s">
        <v>380</v>
      </c>
      <c r="D652" s="58"/>
      <c r="F652" s="58"/>
      <c r="G652" s="29"/>
      <c r="H652" s="58"/>
      <c r="I652" s="58"/>
      <c r="J652" s="539"/>
      <c r="K652" s="58"/>
      <c r="L652" s="538"/>
      <c r="M652" s="538"/>
      <c r="N652" s="538"/>
      <c r="O652" s="564"/>
      <c r="P652" s="564"/>
      <c r="Q652" s="538"/>
      <c r="R652" s="538"/>
      <c r="S652" s="564"/>
      <c r="T652" s="564"/>
      <c r="U652" s="565"/>
      <c r="V652" s="538"/>
      <c r="W652" s="501"/>
      <c r="Z652" s="738"/>
      <c r="AB652" s="738"/>
      <c r="AD652" s="738"/>
      <c r="AF652" s="744"/>
    </row>
    <row r="653" spans="1:32">
      <c r="A653" s="6">
        <f>MAX(A$634:A652)+1</f>
        <v>301</v>
      </c>
      <c r="B653" s="58"/>
      <c r="C653" s="697" t="s">
        <v>381</v>
      </c>
      <c r="D653" s="58"/>
      <c r="E653" s="522" t="s">
        <v>382</v>
      </c>
      <c r="F653" s="58"/>
      <c r="G653" s="29">
        <v>113600526</v>
      </c>
      <c r="H653" s="58"/>
      <c r="I653" s="684">
        <v>1.2E-2</v>
      </c>
      <c r="J653" s="539">
        <f>G653*I653/1000</f>
        <v>1363.206312</v>
      </c>
      <c r="K653" s="58"/>
      <c r="L653" s="29">
        <v>0</v>
      </c>
      <c r="M653" s="29">
        <v>0</v>
      </c>
      <c r="N653" s="538">
        <f>J653-L653-M653</f>
        <v>1363.206312</v>
      </c>
      <c r="O653" s="564"/>
      <c r="P653" s="29">
        <v>37.250003087884352</v>
      </c>
      <c r="Q653" s="29">
        <v>0</v>
      </c>
      <c r="R653" s="29">
        <v>0</v>
      </c>
      <c r="S653" s="29"/>
      <c r="T653" s="564">
        <f>N653+P653+Q653+R653</f>
        <v>1400.4563150878844</v>
      </c>
      <c r="U653" s="565">
        <f>T653/G653*1000</f>
        <v>1.2327903438474258E-2</v>
      </c>
      <c r="V653" s="538">
        <f>T653-J653</f>
        <v>37.250003087884352</v>
      </c>
      <c r="W653" s="541">
        <f>U653/I653-1</f>
        <v>2.7325286539521487E-2</v>
      </c>
      <c r="X653" s="542"/>
      <c r="Z653" s="738"/>
      <c r="AB653" s="738"/>
      <c r="AD653" s="738"/>
      <c r="AF653" s="744"/>
    </row>
    <row r="654" spans="1:32">
      <c r="A654" s="6"/>
      <c r="B654" s="58"/>
      <c r="C654" s="526" t="s">
        <v>383</v>
      </c>
      <c r="D654" s="58"/>
      <c r="E654" s="30"/>
      <c r="F654" s="58"/>
      <c r="G654" s="29"/>
      <c r="H654" s="58"/>
      <c r="I654" s="58"/>
      <c r="J654" s="539"/>
      <c r="K654" s="58"/>
      <c r="L654" s="538"/>
      <c r="M654" s="538"/>
      <c r="N654" s="538"/>
      <c r="O654" s="564"/>
      <c r="P654" s="29"/>
      <c r="Q654" s="538"/>
      <c r="R654" s="538"/>
      <c r="S654" s="564"/>
      <c r="T654" s="564"/>
      <c r="U654" s="565"/>
      <c r="V654" s="538"/>
      <c r="W654" s="541"/>
      <c r="X654" s="542"/>
      <c r="Z654" s="738"/>
      <c r="AB654" s="738"/>
      <c r="AD654" s="738"/>
      <c r="AF654" s="744"/>
    </row>
    <row r="655" spans="1:32">
      <c r="A655" s="6">
        <f>MAX(A$634:A654)+1</f>
        <v>302</v>
      </c>
      <c r="B655" s="58"/>
      <c r="C655" s="698" t="s">
        <v>384</v>
      </c>
      <c r="D655" s="58"/>
      <c r="E655" s="522" t="s">
        <v>382</v>
      </c>
      <c r="F655" s="58"/>
      <c r="G655" s="29">
        <v>2398062</v>
      </c>
      <c r="H655" s="58"/>
      <c r="I655" s="684">
        <v>1.8779999999999999</v>
      </c>
      <c r="J655" s="539">
        <f t="shared" ref="J655:J662" si="225">G655*I655/1000</f>
        <v>4503.5604359999998</v>
      </c>
      <c r="K655" s="58"/>
      <c r="L655" s="29">
        <v>0</v>
      </c>
      <c r="M655" s="29">
        <v>0</v>
      </c>
      <c r="N655" s="538">
        <f t="shared" ref="N655:N662" si="226">J655-L655-M655</f>
        <v>4503.5604359999998</v>
      </c>
      <c r="O655" s="564"/>
      <c r="P655" s="29">
        <v>123.06107936175249</v>
      </c>
      <c r="Q655" s="29">
        <v>0</v>
      </c>
      <c r="R655" s="29">
        <v>0</v>
      </c>
      <c r="S655" s="564"/>
      <c r="T655" s="564">
        <f t="shared" ref="T655:T662" si="227">N655+P655+Q655+R655</f>
        <v>4626.6215153617522</v>
      </c>
      <c r="U655" s="620">
        <v>1.927</v>
      </c>
      <c r="V655" s="538">
        <f>T655-J655</f>
        <v>123.06107936175249</v>
      </c>
      <c r="W655" s="541">
        <f>U655/I655-1</f>
        <v>2.6091586794462218E-2</v>
      </c>
      <c r="X655" s="542"/>
      <c r="Z655" s="738"/>
      <c r="AB655" s="738"/>
      <c r="AD655" s="738"/>
      <c r="AF655" s="744"/>
    </row>
    <row r="656" spans="1:32">
      <c r="A656" s="6">
        <f>MAX(A$634:A655)+1</f>
        <v>303</v>
      </c>
      <c r="B656" s="58"/>
      <c r="C656" s="698" t="s">
        <v>385</v>
      </c>
      <c r="D656" s="58"/>
      <c r="E656" s="522" t="s">
        <v>382</v>
      </c>
      <c r="F656" s="58"/>
      <c r="G656" s="29">
        <v>900000</v>
      </c>
      <c r="H656" s="58"/>
      <c r="I656" s="684">
        <v>1.4730000000000001</v>
      </c>
      <c r="J656" s="539">
        <f t="shared" si="225"/>
        <v>1325.7</v>
      </c>
      <c r="K656" s="58"/>
      <c r="L656" s="29">
        <v>0</v>
      </c>
      <c r="M656" s="29">
        <v>0</v>
      </c>
      <c r="N656" s="538">
        <f t="shared" si="226"/>
        <v>1325.7</v>
      </c>
      <c r="O656" s="564"/>
      <c r="P656" s="29">
        <v>36.225132365443642</v>
      </c>
      <c r="Q656" s="29">
        <v>0</v>
      </c>
      <c r="R656" s="29">
        <v>0</v>
      </c>
      <c r="S656" s="564"/>
      <c r="T656" s="564">
        <f t="shared" si="227"/>
        <v>1361.9251323654437</v>
      </c>
      <c r="U656" s="620">
        <v>1.5187525197395906</v>
      </c>
      <c r="V656" s="538">
        <f>T656-J656</f>
        <v>36.225132365443642</v>
      </c>
      <c r="W656" s="541">
        <f>U656/I656-1</f>
        <v>3.1060773753964988E-2</v>
      </c>
      <c r="X656" s="542"/>
      <c r="Z656" s="738"/>
      <c r="AB656" s="738"/>
      <c r="AD656" s="738"/>
      <c r="AF656" s="744"/>
    </row>
    <row r="657" spans="1:32">
      <c r="A657" s="6">
        <f>MAX(A$634:A656)+1</f>
        <v>304</v>
      </c>
      <c r="B657" s="58"/>
      <c r="C657" s="697" t="s">
        <v>386</v>
      </c>
      <c r="D657" s="58"/>
      <c r="E657" s="522" t="s">
        <v>382</v>
      </c>
      <c r="F657" s="58"/>
      <c r="G657" s="29">
        <v>12000</v>
      </c>
      <c r="H657" s="58"/>
      <c r="I657" s="684">
        <v>1.4730000000000001</v>
      </c>
      <c r="J657" s="539">
        <f t="shared" si="225"/>
        <v>17.675999999999998</v>
      </c>
      <c r="K657" s="58"/>
      <c r="L657" s="29">
        <v>0</v>
      </c>
      <c r="M657" s="29">
        <v>0</v>
      </c>
      <c r="N657" s="538">
        <f t="shared" si="226"/>
        <v>17.675999999999998</v>
      </c>
      <c r="O657" s="564"/>
      <c r="P657" s="29">
        <v>0.48300176487258284</v>
      </c>
      <c r="Q657" s="29">
        <v>0</v>
      </c>
      <c r="R657" s="29">
        <v>0</v>
      </c>
      <c r="S657" s="564"/>
      <c r="T657" s="564">
        <f t="shared" si="227"/>
        <v>18.159001764872581</v>
      </c>
      <c r="U657" s="620">
        <v>1.5187525197395906</v>
      </c>
      <c r="V657" s="538">
        <f>T657-J657</f>
        <v>0.48300176487258284</v>
      </c>
      <c r="W657" s="541">
        <f>U657/I657-1</f>
        <v>3.1060773753964988E-2</v>
      </c>
      <c r="X657" s="542"/>
      <c r="Z657" s="738"/>
      <c r="AB657" s="738"/>
      <c r="AD657" s="738"/>
      <c r="AF657" s="744"/>
    </row>
    <row r="658" spans="1:32">
      <c r="A658" s="6">
        <f>MAX(A$634:A657)+1</f>
        <v>305</v>
      </c>
      <c r="B658" s="58"/>
      <c r="C658" s="697" t="s">
        <v>387</v>
      </c>
      <c r="D658" s="58"/>
      <c r="E658" s="522" t="s">
        <v>382</v>
      </c>
      <c r="F658" s="58"/>
      <c r="G658" s="29">
        <v>180000</v>
      </c>
      <c r="H658" s="58"/>
      <c r="I658" s="684">
        <v>1.4730000000000001</v>
      </c>
      <c r="J658" s="539">
        <f t="shared" si="225"/>
        <v>265.14</v>
      </c>
      <c r="K658" s="58"/>
      <c r="L658" s="29">
        <v>0</v>
      </c>
      <c r="M658" s="29">
        <v>0</v>
      </c>
      <c r="N658" s="538">
        <f t="shared" si="226"/>
        <v>265.14</v>
      </c>
      <c r="O658" s="564"/>
      <c r="P658" s="29">
        <v>7.2450264730887284</v>
      </c>
      <c r="Q658" s="29">
        <v>0</v>
      </c>
      <c r="R658" s="29">
        <v>0</v>
      </c>
      <c r="S658" s="564"/>
      <c r="T658" s="564">
        <f t="shared" si="227"/>
        <v>272.38502647308871</v>
      </c>
      <c r="U658" s="620">
        <v>1.5187525197395906</v>
      </c>
      <c r="V658" s="538">
        <f>T658-J658</f>
        <v>7.2450264730887284</v>
      </c>
      <c r="W658" s="541">
        <f>U658/I658-1</f>
        <v>3.1060773753964988E-2</v>
      </c>
      <c r="X658" s="542"/>
      <c r="Z658" s="738"/>
      <c r="AB658" s="738"/>
      <c r="AD658" s="738"/>
      <c r="AF658" s="744"/>
    </row>
    <row r="659" spans="1:32">
      <c r="A659" s="6"/>
      <c r="C659" s="526" t="s">
        <v>388</v>
      </c>
      <c r="E659" s="522"/>
      <c r="G659" s="29"/>
      <c r="I659" s="684"/>
      <c r="J659" s="539"/>
      <c r="L659" s="538"/>
      <c r="M659" s="538"/>
      <c r="N659" s="538"/>
      <c r="O659" s="64"/>
      <c r="P659" s="29"/>
      <c r="Q659" s="538"/>
      <c r="R659" s="538"/>
      <c r="S659" s="64"/>
      <c r="T659" s="564"/>
      <c r="U659" s="565"/>
      <c r="V659" s="538"/>
      <c r="W659" s="541"/>
      <c r="X659" s="542"/>
      <c r="Z659" s="738"/>
      <c r="AB659" s="738"/>
      <c r="AD659" s="738"/>
      <c r="AF659" s="744"/>
    </row>
    <row r="660" spans="1:32">
      <c r="A660" s="6">
        <f>MAX(A$634:A659)+1</f>
        <v>306</v>
      </c>
      <c r="B660" s="581"/>
      <c r="C660" s="697" t="s">
        <v>389</v>
      </c>
      <c r="D660" s="581"/>
      <c r="E660" s="30" t="s">
        <v>331</v>
      </c>
      <c r="F660" s="581"/>
      <c r="G660" s="29">
        <v>31198326.559999999</v>
      </c>
      <c r="H660" s="581"/>
      <c r="I660" s="684">
        <v>1.2E-2</v>
      </c>
      <c r="J660" s="539">
        <f t="shared" si="225"/>
        <v>374.37991872000003</v>
      </c>
      <c r="K660" s="581"/>
      <c r="L660" s="29">
        <v>0</v>
      </c>
      <c r="M660" s="29">
        <v>0</v>
      </c>
      <c r="N660" s="538">
        <f t="shared" si="226"/>
        <v>374.37991872000003</v>
      </c>
      <c r="O660" s="582"/>
      <c r="P660" s="29">
        <v>10.230038553666759</v>
      </c>
      <c r="Q660" s="29">
        <v>0</v>
      </c>
      <c r="R660" s="29">
        <v>0</v>
      </c>
      <c r="S660" s="582"/>
      <c r="T660" s="564">
        <f t="shared" si="227"/>
        <v>384.60995727366679</v>
      </c>
      <c r="U660" s="565">
        <f>T660/G660*1000</f>
        <v>1.232790343847426E-2</v>
      </c>
      <c r="V660" s="538">
        <f>T660-J660</f>
        <v>10.230038553666759</v>
      </c>
      <c r="W660" s="541">
        <f>U660/I660-1</f>
        <v>2.7325286539521709E-2</v>
      </c>
      <c r="X660" s="542"/>
      <c r="Z660" s="738"/>
      <c r="AB660" s="738"/>
      <c r="AD660" s="738"/>
      <c r="AF660" s="744"/>
    </row>
    <row r="661" spans="1:32">
      <c r="A661" s="6"/>
      <c r="B661" s="581"/>
      <c r="C661" s="697"/>
      <c r="D661" s="581"/>
      <c r="E661" s="30"/>
      <c r="F661" s="581"/>
      <c r="G661" s="29"/>
      <c r="H661" s="581"/>
      <c r="I661" s="684"/>
      <c r="J661" s="539"/>
      <c r="K661" s="581"/>
      <c r="L661" s="29"/>
      <c r="M661" s="29"/>
      <c r="N661" s="538"/>
      <c r="O661" s="582"/>
      <c r="P661" s="29"/>
      <c r="Q661" s="29"/>
      <c r="R661" s="29"/>
      <c r="S661" s="582"/>
      <c r="T661" s="564"/>
      <c r="U661" s="565"/>
      <c r="V661" s="538"/>
      <c r="W661" s="541"/>
      <c r="X661" s="542"/>
      <c r="Z661" s="738"/>
      <c r="AB661" s="738"/>
      <c r="AD661" s="738"/>
      <c r="AF661" s="744"/>
    </row>
    <row r="662" spans="1:32">
      <c r="A662" s="6">
        <f>MAX(A$634:A661)+1</f>
        <v>307</v>
      </c>
      <c r="B662" s="3"/>
      <c r="C662" s="12" t="s">
        <v>390</v>
      </c>
      <c r="D662" s="3"/>
      <c r="E662" s="30" t="s">
        <v>331</v>
      </c>
      <c r="F662" s="3"/>
      <c r="G662" s="29">
        <v>0</v>
      </c>
      <c r="H662" s="3"/>
      <c r="I662" s="29">
        <v>0</v>
      </c>
      <c r="J662" s="564">
        <f t="shared" si="225"/>
        <v>0</v>
      </c>
      <c r="K662" s="3"/>
      <c r="L662" s="29">
        <v>0</v>
      </c>
      <c r="M662" s="29">
        <v>0</v>
      </c>
      <c r="N662" s="538">
        <f t="shared" si="226"/>
        <v>0</v>
      </c>
      <c r="O662" s="584"/>
      <c r="P662" s="29">
        <v>0</v>
      </c>
      <c r="Q662" s="29">
        <v>0</v>
      </c>
      <c r="R662" s="29">
        <v>0</v>
      </c>
      <c r="S662" s="584"/>
      <c r="T662" s="564">
        <f t="shared" si="227"/>
        <v>0</v>
      </c>
      <c r="U662" s="564">
        <v>0</v>
      </c>
      <c r="V662" s="538">
        <f>T662-J662</f>
        <v>0</v>
      </c>
      <c r="W662" s="599" t="str">
        <f>IFERROR(U662/I662-1,"-")</f>
        <v>-</v>
      </c>
      <c r="X662" s="542"/>
      <c r="Z662" s="738"/>
      <c r="AB662" s="738"/>
      <c r="AD662" s="738"/>
      <c r="AF662" s="744"/>
    </row>
    <row r="663" spans="1:32">
      <c r="A663" s="6"/>
      <c r="B663" s="5"/>
      <c r="D663" s="5"/>
      <c r="E663" s="30"/>
      <c r="F663" s="5"/>
      <c r="G663" s="17"/>
      <c r="H663" s="5"/>
      <c r="I663" s="5"/>
      <c r="J663" s="5"/>
      <c r="K663" s="5"/>
      <c r="L663" s="538"/>
      <c r="M663" s="538"/>
      <c r="N663" s="538"/>
      <c r="O663" s="585"/>
      <c r="P663" s="675"/>
      <c r="Q663" s="538"/>
      <c r="R663" s="538"/>
      <c r="S663" s="585"/>
      <c r="T663" s="585"/>
      <c r="U663" s="758"/>
      <c r="V663" s="538"/>
      <c r="W663" s="541"/>
      <c r="X663" s="542"/>
      <c r="Z663" s="738"/>
      <c r="AB663" s="738"/>
      <c r="AD663" s="738"/>
      <c r="AF663" s="744"/>
    </row>
    <row r="664" spans="1:32">
      <c r="A664" s="6">
        <f>MAX(A$634:A663)+1</f>
        <v>308</v>
      </c>
      <c r="B664" s="58"/>
      <c r="C664" s="10" t="s">
        <v>391</v>
      </c>
      <c r="D664" s="58"/>
      <c r="E664" s="6"/>
      <c r="F664" s="58"/>
      <c r="G664" s="411">
        <f>G649</f>
        <v>5005643.3246499998</v>
      </c>
      <c r="H664" s="58"/>
      <c r="I664" s="556">
        <f>J664/G664*100</f>
        <v>0.15681626032092205</v>
      </c>
      <c r="J664" s="554">
        <f>SUM(J653:J662)</f>
        <v>7849.6626667200007</v>
      </c>
      <c r="K664" s="58"/>
      <c r="L664" s="555">
        <f>SUM(L653:L662)</f>
        <v>0</v>
      </c>
      <c r="M664" s="555">
        <f>SUM(M653:M662)</f>
        <v>0</v>
      </c>
      <c r="N664" s="555">
        <f>SUM(N653:N662)</f>
        <v>7849.6626667200007</v>
      </c>
      <c r="O664" s="538"/>
      <c r="P664" s="131">
        <f>SUM(P653:P662)</f>
        <v>214.49428160670857</v>
      </c>
      <c r="Q664" s="131">
        <f>SUM(Q653:Q662)</f>
        <v>0</v>
      </c>
      <c r="R664" s="131">
        <f>SUM(R653:R662)</f>
        <v>0</v>
      </c>
      <c r="S664" s="132"/>
      <c r="T664" s="619">
        <f>SUM(T653:T662)</f>
        <v>8064.1569483267076</v>
      </c>
      <c r="U664" s="592">
        <f>T664/G664*100</f>
        <v>0.16110130956824739</v>
      </c>
      <c r="V664" s="555">
        <f>SUM(V653:V662)</f>
        <v>214.49428160670857</v>
      </c>
      <c r="W664" s="562">
        <f>U664/I664-1</f>
        <v>2.7325286539521265E-2</v>
      </c>
      <c r="X664" s="542"/>
      <c r="Z664" s="738"/>
      <c r="AB664" s="738"/>
      <c r="AD664" s="738"/>
      <c r="AF664" s="744"/>
    </row>
    <row r="665" spans="1:32">
      <c r="A665" s="6"/>
      <c r="B665" s="58"/>
      <c r="C665" s="10"/>
      <c r="D665" s="58"/>
      <c r="E665" s="6"/>
      <c r="F665" s="58"/>
      <c r="G665" s="6"/>
      <c r="H665" s="58"/>
      <c r="I665" s="58"/>
      <c r="J665" s="58"/>
      <c r="K665" s="58"/>
      <c r="L665" s="538"/>
      <c r="M665" s="538"/>
      <c r="N665" s="538"/>
      <c r="O665" s="564"/>
      <c r="P665" s="132"/>
      <c r="Q665" s="538"/>
      <c r="R665" s="538"/>
      <c r="S665" s="564"/>
      <c r="T665" s="564"/>
      <c r="U665" s="565"/>
      <c r="V665" s="538"/>
      <c r="W665" s="501"/>
      <c r="Z665" s="738"/>
      <c r="AB665" s="738"/>
      <c r="AD665" s="738"/>
      <c r="AF665" s="744"/>
    </row>
    <row r="666" spans="1:32" ht="12.95" thickBot="1">
      <c r="A666" s="6">
        <f>MAX(A$634:A665)+1</f>
        <v>309</v>
      </c>
      <c r="B666" s="58"/>
      <c r="C666" s="10" t="s">
        <v>395</v>
      </c>
      <c r="D666" s="58"/>
      <c r="E666" s="574"/>
      <c r="F666" s="58"/>
      <c r="G666" s="439">
        <f>G664</f>
        <v>5005643.3246499998</v>
      </c>
      <c r="H666" s="58"/>
      <c r="I666" s="572">
        <f>J666/G666*100</f>
        <v>1.5820709031843281</v>
      </c>
      <c r="J666" s="627">
        <f>J649+J664</f>
        <v>79192.826556476284</v>
      </c>
      <c r="K666" s="539"/>
      <c r="L666" s="628">
        <f>L649+L664</f>
        <v>4800.1659263247493</v>
      </c>
      <c r="M666" s="628">
        <f>M649+M664</f>
        <v>0</v>
      </c>
      <c r="N666" s="628">
        <f>N649+N664</f>
        <v>74392.660630151513</v>
      </c>
      <c r="O666" s="564"/>
      <c r="P666" s="628">
        <f>P649+P664</f>
        <v>2032.8007615893503</v>
      </c>
      <c r="Q666" s="628">
        <f>Q649+Q664</f>
        <v>3537.6584435522946</v>
      </c>
      <c r="R666" s="628">
        <f>R649+R664</f>
        <v>0</v>
      </c>
      <c r="S666" s="564"/>
      <c r="T666" s="628">
        <f>T649+T664</f>
        <v>79963.119835293168</v>
      </c>
      <c r="U666" s="590">
        <f>T666/G666*100</f>
        <v>1.597459400303642</v>
      </c>
      <c r="V666" s="587">
        <f>V649+V664</f>
        <v>770.29327881689721</v>
      </c>
      <c r="W666" s="573">
        <f>U666/I666-1</f>
        <v>9.7268062312128034E-3</v>
      </c>
      <c r="X666" s="542"/>
      <c r="Z666" s="738"/>
      <c r="AB666" s="738"/>
      <c r="AD666" s="738"/>
      <c r="AF666" s="744"/>
    </row>
    <row r="667" spans="1:32" ht="12.95" thickTop="1">
      <c r="A667" s="6"/>
      <c r="B667" s="58"/>
      <c r="C667" s="10"/>
      <c r="D667" s="58"/>
      <c r="E667" s="574"/>
      <c r="F667" s="58"/>
      <c r="G667" s="132"/>
      <c r="H667" s="58"/>
      <c r="I667" s="548"/>
      <c r="J667" s="539"/>
      <c r="K667" s="539"/>
      <c r="L667" s="564"/>
      <c r="M667" s="564"/>
      <c r="N667" s="564"/>
      <c r="O667" s="564"/>
      <c r="P667" s="564"/>
      <c r="Q667" s="564"/>
      <c r="R667" s="564"/>
      <c r="S667" s="564"/>
      <c r="T667" s="564"/>
      <c r="U667" s="565"/>
      <c r="V667" s="538"/>
      <c r="W667" s="541"/>
      <c r="X667" s="542"/>
      <c r="Z667" s="738"/>
      <c r="AB667" s="738"/>
      <c r="AD667" s="738"/>
      <c r="AF667" s="744"/>
    </row>
    <row r="668" spans="1:32">
      <c r="A668" s="6"/>
      <c r="B668" s="58"/>
      <c r="C668" s="10"/>
      <c r="D668" s="58"/>
      <c r="E668" s="574"/>
      <c r="F668" s="58"/>
      <c r="G668" s="132"/>
      <c r="H668" s="58"/>
      <c r="I668" s="548"/>
      <c r="J668" s="539"/>
      <c r="K668" s="539"/>
      <c r="L668" s="564"/>
      <c r="M668" s="564"/>
      <c r="N668" s="564"/>
      <c r="O668" s="564"/>
      <c r="P668" s="564"/>
      <c r="Q668" s="564"/>
      <c r="R668" s="564"/>
      <c r="S668" s="564"/>
      <c r="T668" s="564"/>
      <c r="U668" s="565"/>
      <c r="V668" s="538"/>
      <c r="W668" s="541"/>
      <c r="X668" s="542"/>
      <c r="Z668" s="738"/>
      <c r="AB668" s="738"/>
      <c r="AD668" s="738"/>
      <c r="AF668" s="744"/>
    </row>
    <row r="669" spans="1:32">
      <c r="A669" s="6"/>
      <c r="B669" s="58"/>
      <c r="C669" s="10"/>
      <c r="D669" s="58"/>
      <c r="E669" s="574"/>
      <c r="F669" s="58"/>
      <c r="G669" s="132"/>
      <c r="H669" s="58"/>
      <c r="I669" s="548"/>
      <c r="J669" s="539"/>
      <c r="K669" s="539"/>
      <c r="L669" s="564"/>
      <c r="M669" s="564"/>
      <c r="N669" s="564"/>
      <c r="O669" s="564"/>
      <c r="P669" s="564"/>
      <c r="Q669" s="564"/>
      <c r="R669" s="564"/>
      <c r="S669" s="564"/>
      <c r="T669" s="564"/>
      <c r="U669" s="565"/>
      <c r="V669" s="538"/>
      <c r="W669" s="541"/>
      <c r="X669" s="542"/>
      <c r="Z669" s="738"/>
      <c r="AB669" s="738"/>
      <c r="AD669" s="738"/>
      <c r="AF669" s="744"/>
    </row>
    <row r="670" spans="1:32">
      <c r="A670" s="6"/>
      <c r="B670" s="58"/>
      <c r="C670" s="10"/>
      <c r="D670" s="58"/>
      <c r="E670" s="574"/>
      <c r="F670" s="58"/>
      <c r="G670" s="132"/>
      <c r="H670" s="58"/>
      <c r="I670" s="548"/>
      <c r="J670" s="539"/>
      <c r="K670" s="539"/>
      <c r="L670" s="564"/>
      <c r="M670" s="564"/>
      <c r="N670" s="564"/>
      <c r="O670" s="564"/>
      <c r="P670" s="564"/>
      <c r="Q670" s="564"/>
      <c r="R670" s="564"/>
      <c r="S670" s="564"/>
      <c r="T670" s="564"/>
      <c r="U670" s="565"/>
      <c r="V670" s="538"/>
      <c r="W670" s="541"/>
      <c r="X670" s="542"/>
      <c r="Z670" s="738"/>
      <c r="AB670" s="738"/>
      <c r="AD670" s="738"/>
      <c r="AF670" s="744"/>
    </row>
    <row r="671" spans="1:32">
      <c r="A671" s="1156" t="s">
        <v>279</v>
      </c>
      <c r="B671" s="1156"/>
      <c r="C671" s="1156"/>
      <c r="D671" s="1156"/>
      <c r="E671" s="1156"/>
      <c r="F671" s="1156"/>
      <c r="G671" s="1156"/>
      <c r="H671" s="1156"/>
      <c r="I671" s="1156"/>
      <c r="J671" s="1156"/>
      <c r="K671" s="1156"/>
      <c r="L671" s="1156"/>
      <c r="M671" s="1156"/>
      <c r="N671" s="1156"/>
      <c r="O671" s="1156"/>
      <c r="P671" s="1156"/>
      <c r="Q671" s="1156"/>
      <c r="R671" s="1156"/>
      <c r="S671" s="1156"/>
      <c r="T671" s="1156"/>
      <c r="U671" s="1156"/>
      <c r="V671" s="1156"/>
      <c r="W671" s="1156"/>
      <c r="X671" s="542"/>
      <c r="Z671" s="738"/>
      <c r="AB671" s="738"/>
      <c r="AD671" s="738"/>
      <c r="AF671" s="744"/>
    </row>
    <row r="672" spans="1:32">
      <c r="A672" s="1156" t="s">
        <v>478</v>
      </c>
      <c r="B672" s="1156"/>
      <c r="C672" s="1156"/>
      <c r="D672" s="1156"/>
      <c r="E672" s="1156"/>
      <c r="F672" s="1156"/>
      <c r="G672" s="1156"/>
      <c r="H672" s="1156"/>
      <c r="I672" s="1156"/>
      <c r="J672" s="1156"/>
      <c r="K672" s="1156"/>
      <c r="L672" s="1156"/>
      <c r="M672" s="1156"/>
      <c r="N672" s="1156"/>
      <c r="O672" s="1156"/>
      <c r="P672" s="1156"/>
      <c r="Q672" s="1156"/>
      <c r="R672" s="1156"/>
      <c r="S672" s="1156"/>
      <c r="T672" s="1156"/>
      <c r="U672" s="1156"/>
      <c r="V672" s="1156"/>
      <c r="W672" s="1156"/>
      <c r="X672" s="542"/>
      <c r="Z672" s="738"/>
      <c r="AB672" s="738"/>
      <c r="AD672" s="738"/>
      <c r="AF672" s="744"/>
    </row>
    <row r="673" spans="1:33">
      <c r="A673" s="57"/>
      <c r="B673" s="57"/>
      <c r="C673" s="57"/>
      <c r="D673" s="57"/>
      <c r="E673" s="3"/>
      <c r="F673" s="57"/>
      <c r="G673" s="3"/>
      <c r="H673" s="57"/>
      <c r="I673" s="57"/>
      <c r="J673" s="57"/>
      <c r="K673" s="57"/>
      <c r="L673" s="57"/>
      <c r="M673" s="57"/>
      <c r="N673" s="501"/>
      <c r="O673" s="57"/>
      <c r="P673" s="57"/>
      <c r="Q673" s="501"/>
      <c r="R673" s="501"/>
      <c r="S673" s="57"/>
      <c r="T673" s="57"/>
      <c r="U673" s="57"/>
      <c r="V673" s="501"/>
      <c r="W673" s="501"/>
      <c r="X673" s="542"/>
      <c r="Z673" s="738"/>
      <c r="AB673" s="738"/>
      <c r="AD673" s="738"/>
      <c r="AF673" s="744"/>
    </row>
    <row r="674" spans="1:33">
      <c r="A674" s="3"/>
      <c r="B674" s="3"/>
      <c r="C674" s="3"/>
      <c r="D674" s="3"/>
      <c r="E674" s="57"/>
      <c r="F674" s="1152" t="s">
        <v>231</v>
      </c>
      <c r="G674" s="1152"/>
      <c r="H674" s="1152"/>
      <c r="I674" s="1152"/>
      <c r="J674" s="1152"/>
      <c r="K674" s="3"/>
      <c r="L674" s="1157" t="s">
        <v>94</v>
      </c>
      <c r="M674" s="1157"/>
      <c r="N674" s="58"/>
      <c r="O674" s="3"/>
      <c r="P674" s="59"/>
      <c r="Q674" s="1157" t="s">
        <v>95</v>
      </c>
      <c r="R674" s="1157"/>
      <c r="S674" s="3"/>
      <c r="T674" s="1152" t="s">
        <v>472</v>
      </c>
      <c r="U674" s="1152"/>
      <c r="V674" s="1152"/>
      <c r="W674" s="1152"/>
      <c r="X674" s="542"/>
      <c r="Z674" s="738"/>
      <c r="AB674" s="738"/>
      <c r="AD674" s="738"/>
      <c r="AF674" s="744"/>
    </row>
    <row r="675" spans="1:33" ht="37.5">
      <c r="A675" s="5" t="s">
        <v>56</v>
      </c>
      <c r="B675" s="5"/>
      <c r="C675" s="5"/>
      <c r="D675" s="5"/>
      <c r="E675" s="6" t="s">
        <v>233</v>
      </c>
      <c r="F675" s="5"/>
      <c r="G675" s="17" t="s">
        <v>234</v>
      </c>
      <c r="H675" s="5"/>
      <c r="I675" s="17" t="s">
        <v>235</v>
      </c>
      <c r="J675" s="17" t="s">
        <v>101</v>
      </c>
      <c r="K675" s="5"/>
      <c r="L675" s="17" t="s">
        <v>106</v>
      </c>
      <c r="M675" s="17" t="s">
        <v>236</v>
      </c>
      <c r="N675" s="5" t="s">
        <v>239</v>
      </c>
      <c r="O675" s="5"/>
      <c r="P675" s="5" t="s">
        <v>240</v>
      </c>
      <c r="Q675" s="17" t="s">
        <v>106</v>
      </c>
      <c r="R675" s="17" t="s">
        <v>236</v>
      </c>
      <c r="S675" s="5"/>
      <c r="T675" s="17" t="s">
        <v>241</v>
      </c>
      <c r="U675" s="17" t="s">
        <v>242</v>
      </c>
      <c r="V675" s="17" t="s">
        <v>243</v>
      </c>
      <c r="W675" s="5" t="s">
        <v>244</v>
      </c>
      <c r="X675" s="542"/>
      <c r="Z675" s="738"/>
      <c r="AB675" s="738"/>
      <c r="AD675" s="738"/>
      <c r="AF675" s="744"/>
    </row>
    <row r="676" spans="1:33" ht="14.45">
      <c r="A676" s="237" t="s">
        <v>57</v>
      </c>
      <c r="B676" s="58"/>
      <c r="C676" s="59" t="s">
        <v>194</v>
      </c>
      <c r="D676" s="58"/>
      <c r="E676" s="237" t="s">
        <v>245</v>
      </c>
      <c r="F676" s="58"/>
      <c r="G676" s="237" t="s">
        <v>246</v>
      </c>
      <c r="H676" s="58"/>
      <c r="I676" s="237" t="s">
        <v>247</v>
      </c>
      <c r="J676" s="237" t="s">
        <v>248</v>
      </c>
      <c r="K676" s="58"/>
      <c r="L676" s="237" t="s">
        <v>248</v>
      </c>
      <c r="M676" s="237" t="s">
        <v>248</v>
      </c>
      <c r="N676" s="237" t="s">
        <v>248</v>
      </c>
      <c r="O676" s="58"/>
      <c r="P676" s="237" t="s">
        <v>248</v>
      </c>
      <c r="Q676" s="237" t="s">
        <v>248</v>
      </c>
      <c r="R676" s="237" t="s">
        <v>248</v>
      </c>
      <c r="S676" s="58"/>
      <c r="T676" s="237" t="s">
        <v>248</v>
      </c>
      <c r="U676" s="237" t="s">
        <v>247</v>
      </c>
      <c r="V676" s="237" t="s">
        <v>248</v>
      </c>
      <c r="W676" s="237" t="s">
        <v>249</v>
      </c>
      <c r="X676" s="542"/>
      <c r="Z676" s="738"/>
      <c r="AB676" s="738"/>
      <c r="AD676" s="738"/>
      <c r="AF676" s="744"/>
    </row>
    <row r="677" spans="1:33">
      <c r="A677" s="6"/>
      <c r="B677" s="58"/>
      <c r="C677" s="58"/>
      <c r="D677" s="58"/>
      <c r="E677" s="6"/>
      <c r="F677" s="58"/>
      <c r="G677" s="6" t="s">
        <v>9</v>
      </c>
      <c r="H677" s="6"/>
      <c r="I677" s="6" t="s">
        <v>10</v>
      </c>
      <c r="J677" s="6" t="s">
        <v>58</v>
      </c>
      <c r="K677" s="6"/>
      <c r="L677" s="123" t="s">
        <v>12</v>
      </c>
      <c r="M677" s="123" t="s">
        <v>13</v>
      </c>
      <c r="N677" s="6" t="s">
        <v>473</v>
      </c>
      <c r="O677" s="6"/>
      <c r="P677" s="6" t="s">
        <v>474</v>
      </c>
      <c r="Q677" s="6" t="s">
        <v>210</v>
      </c>
      <c r="R677" s="6" t="s">
        <v>118</v>
      </c>
      <c r="S677" s="6"/>
      <c r="T677" s="6" t="s">
        <v>475</v>
      </c>
      <c r="U677" s="6" t="s">
        <v>120</v>
      </c>
      <c r="V677" s="6" t="s">
        <v>476</v>
      </c>
      <c r="W677" s="6" t="s">
        <v>477</v>
      </c>
      <c r="X677" s="542"/>
      <c r="Z677" s="738"/>
      <c r="AB677" s="738"/>
      <c r="AD677" s="738"/>
      <c r="AF677" s="744"/>
    </row>
    <row r="678" spans="1:33" ht="12.95">
      <c r="A678" s="6"/>
      <c r="B678" s="58"/>
      <c r="C678" s="9"/>
      <c r="D678" s="58"/>
      <c r="E678" s="128"/>
      <c r="F678" s="58"/>
      <c r="G678" s="575"/>
      <c r="H678" s="58"/>
      <c r="I678" s="58"/>
      <c r="J678" s="58"/>
      <c r="K678" s="58"/>
      <c r="L678" s="538"/>
      <c r="M678" s="538"/>
      <c r="N678" s="538"/>
      <c r="O678" s="564"/>
      <c r="P678" s="564"/>
      <c r="Q678" s="538"/>
      <c r="R678" s="538"/>
      <c r="S678" s="564"/>
      <c r="T678" s="564"/>
      <c r="U678" s="564"/>
      <c r="V678" s="538"/>
      <c r="W678" s="501"/>
      <c r="Z678" s="741"/>
      <c r="AA678" s="741"/>
      <c r="AB678" s="741"/>
      <c r="AC678" s="741"/>
      <c r="AD678" s="741"/>
      <c r="AE678" s="741"/>
      <c r="AF678" s="741"/>
      <c r="AG678" s="741"/>
    </row>
    <row r="679" spans="1:33">
      <c r="A679" s="6"/>
      <c r="C679" s="9" t="s">
        <v>154</v>
      </c>
      <c r="E679" s="30"/>
      <c r="G679" s="29"/>
      <c r="L679" s="538"/>
      <c r="M679" s="538"/>
      <c r="N679" s="538"/>
      <c r="O679" s="64"/>
      <c r="P679" s="64"/>
      <c r="Q679" s="538"/>
      <c r="R679" s="538"/>
      <c r="S679" s="64"/>
      <c r="T679" s="64"/>
      <c r="U679" s="64"/>
      <c r="V679" s="538"/>
      <c r="W679" s="501"/>
    </row>
    <row r="680" spans="1:33">
      <c r="A680" s="6">
        <v>310</v>
      </c>
      <c r="B680" s="58"/>
      <c r="C680" s="10" t="s">
        <v>258</v>
      </c>
      <c r="D680" s="58"/>
      <c r="E680" s="6" t="s">
        <v>366</v>
      </c>
      <c r="F680" s="58"/>
      <c r="G680" s="29">
        <v>12.000000000000004</v>
      </c>
      <c r="H680" s="58"/>
      <c r="I680" s="537">
        <v>22703.73</v>
      </c>
      <c r="J680" s="539">
        <f>G680*I680/1000</f>
        <v>272.44476000000009</v>
      </c>
      <c r="K680" s="58"/>
      <c r="L680" s="29">
        <v>0</v>
      </c>
      <c r="M680" s="29">
        <v>0</v>
      </c>
      <c r="N680" s="538">
        <f>J680-L680-M680</f>
        <v>272.44476000000009</v>
      </c>
      <c r="O680" s="564"/>
      <c r="P680" s="29">
        <v>7.4446311331911375</v>
      </c>
      <c r="Q680" s="29">
        <v>0</v>
      </c>
      <c r="R680" s="29">
        <v>0</v>
      </c>
      <c r="S680" s="564"/>
      <c r="T680" s="564">
        <f>N680+P680+Q680+R680</f>
        <v>279.88939113319122</v>
      </c>
      <c r="U680" s="577">
        <f>T680/G680*1000</f>
        <v>23324.115927765928</v>
      </c>
      <c r="V680" s="538">
        <f>T680-J680</f>
        <v>7.4446311331911375</v>
      </c>
      <c r="W680" s="541">
        <f>U680/I680-1</f>
        <v>2.7325286539521487E-2</v>
      </c>
      <c r="X680" s="542"/>
      <c r="Z680" s="738"/>
      <c r="AB680" s="738"/>
      <c r="AD680" s="738"/>
      <c r="AF680" s="739"/>
    </row>
    <row r="681" spans="1:33" ht="14.45">
      <c r="A681" s="6"/>
      <c r="B681" s="58"/>
      <c r="C681" s="10" t="s">
        <v>367</v>
      </c>
      <c r="D681" s="58"/>
      <c r="E681" s="6"/>
      <c r="F681" s="58"/>
      <c r="G681" s="29"/>
      <c r="H681" s="58"/>
      <c r="I681" s="537"/>
      <c r="J681" s="539"/>
      <c r="K681" s="58"/>
      <c r="L681" s="29"/>
      <c r="M681" s="29"/>
      <c r="N681" s="538"/>
      <c r="O681" s="564"/>
      <c r="P681" s="29"/>
      <c r="Q681" s="29"/>
      <c r="R681" s="29"/>
      <c r="S681" s="564"/>
      <c r="T681" s="564"/>
      <c r="U681" s="577"/>
      <c r="V681" s="538"/>
      <c r="W681" s="541"/>
      <c r="X681" s="542"/>
      <c r="Z681" s="738"/>
      <c r="AB681" s="738"/>
      <c r="AD681" s="738"/>
      <c r="AF681" s="739"/>
    </row>
    <row r="682" spans="1:33">
      <c r="A682" s="6">
        <f>MAX(A$679:A681)+1</f>
        <v>311</v>
      </c>
      <c r="B682" s="58"/>
      <c r="C682" s="526" t="s">
        <v>368</v>
      </c>
      <c r="D682" s="58"/>
      <c r="E682" s="522" t="s">
        <v>370</v>
      </c>
      <c r="F682" s="58"/>
      <c r="G682" s="29">
        <v>28200</v>
      </c>
      <c r="H682" s="58"/>
      <c r="I682" s="684">
        <v>20.7133</v>
      </c>
      <c r="J682" s="539">
        <f>G682*I682/100</f>
        <v>5841.1506000000008</v>
      </c>
      <c r="K682" s="58"/>
      <c r="L682" s="29">
        <v>106.2576</v>
      </c>
      <c r="M682" s="29">
        <v>0</v>
      </c>
      <c r="N682" s="538">
        <f t="shared" ref="N682:N685" si="228">J682-L682-M682</f>
        <v>5734.8930000000009</v>
      </c>
      <c r="O682" s="564"/>
      <c r="P682" s="29">
        <v>156.70759449849629</v>
      </c>
      <c r="Q682" s="29">
        <v>111.50384979625936</v>
      </c>
      <c r="R682" s="29">
        <v>0</v>
      </c>
      <c r="S682" s="564"/>
      <c r="T682" s="564">
        <f t="shared" ref="T682:T685" si="229">N682+P682+Q682+R682</f>
        <v>6003.1044442947568</v>
      </c>
      <c r="U682" s="565">
        <f>T682/G682*100</f>
        <v>21.287604412392756</v>
      </c>
      <c r="V682" s="538">
        <f>T682-J682</f>
        <v>161.95384429475598</v>
      </c>
      <c r="W682" s="541">
        <f>U682/I682-1</f>
        <v>2.7726359990573934E-2</v>
      </c>
      <c r="X682" s="542"/>
      <c r="Z682" s="738"/>
      <c r="AB682" s="738"/>
      <c r="AD682" s="738"/>
      <c r="AF682" s="744"/>
    </row>
    <row r="683" spans="1:33">
      <c r="A683" s="6">
        <f>MAX(A$679:A682)+1</f>
        <v>312</v>
      </c>
      <c r="B683" s="58"/>
      <c r="C683" s="12" t="s">
        <v>372</v>
      </c>
      <c r="D683" s="58"/>
      <c r="E683" s="522" t="s">
        <v>262</v>
      </c>
      <c r="F683" s="58"/>
      <c r="G683" s="29">
        <v>249200.14546999999</v>
      </c>
      <c r="H683" s="58"/>
      <c r="I683" s="684">
        <v>7.8E-2</v>
      </c>
      <c r="J683" s="539">
        <f t="shared" ref="J683" si="230">G683*I683/100</f>
        <v>194.3761134666</v>
      </c>
      <c r="K683" s="58"/>
      <c r="L683" s="29">
        <v>0</v>
      </c>
      <c r="M683" s="29">
        <v>0</v>
      </c>
      <c r="N683" s="538">
        <f t="shared" si="228"/>
        <v>194.3761134666</v>
      </c>
      <c r="O683" s="564"/>
      <c r="P683" s="29">
        <v>5.3113829969133803</v>
      </c>
      <c r="Q683" s="29">
        <v>0</v>
      </c>
      <c r="R683" s="29">
        <v>0</v>
      </c>
      <c r="S683" s="564"/>
      <c r="T683" s="564">
        <f t="shared" si="229"/>
        <v>199.68749646351338</v>
      </c>
      <c r="U683" s="565">
        <f>T683/G683*100</f>
        <v>8.0131372350082677E-2</v>
      </c>
      <c r="V683" s="538">
        <f>T683-J683</f>
        <v>5.3113829969133803</v>
      </c>
      <c r="W683" s="541">
        <f>U683/I683-1</f>
        <v>2.7325286539521487E-2</v>
      </c>
      <c r="X683" s="542"/>
      <c r="Z683" s="738"/>
      <c r="AB683" s="738"/>
      <c r="AD683" s="738"/>
      <c r="AF683" s="744"/>
    </row>
    <row r="684" spans="1:33">
      <c r="A684" s="6"/>
      <c r="B684" s="58"/>
      <c r="C684" s="12"/>
      <c r="D684" s="58"/>
      <c r="E684" s="522"/>
      <c r="F684" s="58"/>
      <c r="G684" s="29"/>
      <c r="H684" s="58"/>
      <c r="I684" s="684"/>
      <c r="J684" s="539"/>
      <c r="K684" s="58"/>
      <c r="L684" s="29"/>
      <c r="M684" s="29"/>
      <c r="N684" s="538"/>
      <c r="O684" s="564"/>
      <c r="P684" s="29"/>
      <c r="Q684" s="29"/>
      <c r="R684" s="29"/>
      <c r="S684" s="564"/>
      <c r="T684" s="564"/>
      <c r="U684" s="565"/>
      <c r="V684" s="538"/>
      <c r="W684" s="541"/>
      <c r="X684" s="542"/>
      <c r="Z684" s="738"/>
      <c r="AB684" s="738"/>
      <c r="AD684" s="738"/>
      <c r="AF684" s="744"/>
    </row>
    <row r="685" spans="1:33">
      <c r="A685" s="6">
        <f>MAX(A$679:A684)+1</f>
        <v>313</v>
      </c>
      <c r="B685" s="58"/>
      <c r="C685" s="12" t="s">
        <v>377</v>
      </c>
      <c r="D685" s="58"/>
      <c r="E685" s="522" t="s">
        <v>262</v>
      </c>
      <c r="F685" s="58"/>
      <c r="G685" s="29">
        <v>0</v>
      </c>
      <c r="H685" s="58"/>
      <c r="I685" s="29">
        <v>0</v>
      </c>
      <c r="J685" s="564">
        <f>G685*I685/1000</f>
        <v>0</v>
      </c>
      <c r="K685" s="58"/>
      <c r="L685" s="29">
        <v>0</v>
      </c>
      <c r="M685" s="29">
        <v>0</v>
      </c>
      <c r="N685" s="538">
        <f t="shared" si="228"/>
        <v>0</v>
      </c>
      <c r="O685" s="564"/>
      <c r="P685" s="29">
        <v>0</v>
      </c>
      <c r="Q685" s="29">
        <v>0</v>
      </c>
      <c r="R685" s="29">
        <v>0</v>
      </c>
      <c r="S685" s="564"/>
      <c r="T685" s="564">
        <f t="shared" si="229"/>
        <v>0</v>
      </c>
      <c r="U685" s="564">
        <v>0</v>
      </c>
      <c r="V685" s="538">
        <f>T685-J685</f>
        <v>0</v>
      </c>
      <c r="W685" s="599" t="str">
        <f>IFERROR(U685/I685-1,"-")</f>
        <v>-</v>
      </c>
      <c r="X685" s="542"/>
      <c r="Z685" s="738"/>
      <c r="AB685" s="738"/>
      <c r="AD685" s="738"/>
    </row>
    <row r="686" spans="1:33">
      <c r="A686" s="6"/>
      <c r="B686" s="58"/>
      <c r="C686" s="12"/>
      <c r="D686" s="58"/>
      <c r="E686" s="522"/>
      <c r="F686" s="58"/>
      <c r="G686" s="29"/>
      <c r="H686" s="58"/>
      <c r="I686" s="684"/>
      <c r="J686" s="539"/>
      <c r="K686" s="58"/>
      <c r="L686" s="538"/>
      <c r="M686" s="538"/>
      <c r="N686" s="538"/>
      <c r="O686" s="564"/>
      <c r="P686" s="564"/>
      <c r="Q686" s="538"/>
      <c r="R686" s="538"/>
      <c r="S686" s="564"/>
      <c r="T686" s="564"/>
      <c r="U686" s="565"/>
      <c r="V686" s="538"/>
      <c r="W686" s="541"/>
      <c r="X686" s="542"/>
      <c r="Z686" s="738"/>
      <c r="AB686" s="738"/>
      <c r="AD686" s="738"/>
    </row>
    <row r="687" spans="1:33">
      <c r="A687" s="6">
        <f>MAX(A$679:A686)+1</f>
        <v>314</v>
      </c>
      <c r="B687" s="58"/>
      <c r="C687" s="10" t="s">
        <v>378</v>
      </c>
      <c r="D687" s="58"/>
      <c r="E687" s="30"/>
      <c r="F687" s="58"/>
      <c r="G687" s="411">
        <f>G683</f>
        <v>249200.14546999999</v>
      </c>
      <c r="H687" s="58"/>
      <c r="I687" s="668">
        <f>J687/G687*100</f>
        <v>2.5312872356352569</v>
      </c>
      <c r="J687" s="554">
        <f>SUM(J680:J686)</f>
        <v>6307.9714734666013</v>
      </c>
      <c r="K687" s="58"/>
      <c r="L687" s="555">
        <f>SUM(L680:L686)</f>
        <v>106.2576</v>
      </c>
      <c r="M687" s="555">
        <f t="shared" ref="M687:N687" si="231">SUM(M680:M686)</f>
        <v>0</v>
      </c>
      <c r="N687" s="555">
        <f t="shared" si="231"/>
        <v>6201.7138734666014</v>
      </c>
      <c r="O687" s="538"/>
      <c r="P687" s="619">
        <f>SUM(P680:P686)</f>
        <v>169.46360862860081</v>
      </c>
      <c r="Q687" s="619">
        <f t="shared" ref="Q687:R687" si="232">SUM(Q680:Q686)</f>
        <v>111.50384979625936</v>
      </c>
      <c r="R687" s="619">
        <f t="shared" si="232"/>
        <v>0</v>
      </c>
      <c r="S687" s="564"/>
      <c r="T687" s="619">
        <f>SUM(T680:T686)</f>
        <v>6482.6813318914619</v>
      </c>
      <c r="U687" s="592">
        <f>T687/G687*100</f>
        <v>2.6013954846073237</v>
      </c>
      <c r="V687" s="555">
        <f>SUM(V680:V685)</f>
        <v>174.7098584248605</v>
      </c>
      <c r="W687" s="562">
        <f>U687/I687-1</f>
        <v>2.7696678585143797E-2</v>
      </c>
      <c r="X687" s="542"/>
      <c r="Z687" s="738"/>
      <c r="AB687" s="738"/>
      <c r="AD687" s="738"/>
      <c r="AF687" s="744"/>
    </row>
    <row r="688" spans="1:33">
      <c r="A688" s="6"/>
      <c r="E688" s="30"/>
      <c r="G688" s="29"/>
      <c r="I688" s="684"/>
      <c r="J688" s="567"/>
      <c r="L688" s="538"/>
      <c r="M688" s="538"/>
      <c r="N688" s="538"/>
      <c r="O688" s="64"/>
      <c r="P688" s="64"/>
      <c r="Q688" s="538"/>
      <c r="R688" s="538"/>
      <c r="S688" s="64"/>
      <c r="T688" s="64"/>
      <c r="U688" s="580"/>
      <c r="V688" s="538"/>
      <c r="W688" s="501"/>
      <c r="Z688" s="738"/>
      <c r="AB688" s="738"/>
      <c r="AD688" s="738"/>
      <c r="AF688" s="744"/>
    </row>
    <row r="689" spans="1:32">
      <c r="A689" s="6"/>
      <c r="C689" s="521" t="s">
        <v>379</v>
      </c>
      <c r="E689" s="30"/>
      <c r="G689" s="29"/>
      <c r="I689" s="684"/>
      <c r="J689" s="567"/>
      <c r="L689" s="538"/>
      <c r="M689" s="538"/>
      <c r="N689" s="538"/>
      <c r="O689" s="64"/>
      <c r="P689" s="64"/>
      <c r="Q689" s="538"/>
      <c r="R689" s="538"/>
      <c r="S689" s="64"/>
      <c r="T689" s="64"/>
      <c r="U689" s="580"/>
      <c r="V689" s="538"/>
      <c r="W689" s="501"/>
      <c r="Z689" s="738"/>
      <c r="AB689" s="738"/>
      <c r="AD689" s="738"/>
      <c r="AF689" s="744"/>
    </row>
    <row r="690" spans="1:32">
      <c r="A690" s="6"/>
      <c r="B690" s="58"/>
      <c r="C690" s="526" t="s">
        <v>380</v>
      </c>
      <c r="D690" s="58"/>
      <c r="E690" s="522"/>
      <c r="F690" s="58"/>
      <c r="G690" s="29"/>
      <c r="H690" s="58"/>
      <c r="I690" s="684"/>
      <c r="J690" s="539"/>
      <c r="K690" s="58"/>
      <c r="L690" s="538"/>
      <c r="M690" s="538"/>
      <c r="N690" s="538"/>
      <c r="O690" s="564"/>
      <c r="P690" s="564"/>
      <c r="Q690" s="538"/>
      <c r="R690" s="538"/>
      <c r="S690" s="564"/>
      <c r="T690" s="564"/>
      <c r="U690" s="565"/>
      <c r="V690" s="538"/>
      <c r="W690" s="501"/>
      <c r="Z690" s="738"/>
      <c r="AB690" s="738"/>
      <c r="AD690" s="738"/>
      <c r="AF690" s="744"/>
    </row>
    <row r="691" spans="1:32">
      <c r="A691" s="6">
        <f>MAX(A$679:A690)+1</f>
        <v>315</v>
      </c>
      <c r="C691" s="697" t="s">
        <v>381</v>
      </c>
      <c r="E691" s="522" t="s">
        <v>382</v>
      </c>
      <c r="G691" s="29">
        <v>38472252</v>
      </c>
      <c r="I691" s="684">
        <v>1.2E-2</v>
      </c>
      <c r="J691" s="567">
        <f>G691*I691/1000</f>
        <v>461.66702400000003</v>
      </c>
      <c r="L691" s="29">
        <v>0</v>
      </c>
      <c r="M691" s="29">
        <v>0</v>
      </c>
      <c r="N691" s="538">
        <f>J691-L691-M691</f>
        <v>461.66702400000003</v>
      </c>
      <c r="O691" s="64"/>
      <c r="P691" s="29">
        <v>12.615183716648119</v>
      </c>
      <c r="Q691" s="29">
        <v>0</v>
      </c>
      <c r="R691" s="29">
        <v>0</v>
      </c>
      <c r="S691" s="64"/>
      <c r="T691" s="64">
        <f>N691+P691+Q691+R691</f>
        <v>474.28220771664814</v>
      </c>
      <c r="U691" s="580">
        <f>T691/G691*1000</f>
        <v>1.2327903438474258E-2</v>
      </c>
      <c r="V691" s="538">
        <f>T691-J691</f>
        <v>12.615183716648119</v>
      </c>
      <c r="W691" s="541">
        <f>U691/I691-1</f>
        <v>2.7325286539521487E-2</v>
      </c>
      <c r="X691" s="542"/>
      <c r="Z691" s="738"/>
      <c r="AB691" s="738"/>
      <c r="AD691" s="738"/>
      <c r="AF691" s="744"/>
    </row>
    <row r="692" spans="1:32">
      <c r="A692" s="6"/>
      <c r="C692" s="526" t="s">
        <v>383</v>
      </c>
      <c r="E692" s="30"/>
      <c r="G692" s="29"/>
      <c r="I692" s="684"/>
      <c r="J692" s="567"/>
      <c r="L692" s="538"/>
      <c r="M692" s="538"/>
      <c r="N692" s="538"/>
      <c r="O692" s="64"/>
      <c r="P692" s="29"/>
      <c r="Q692" s="538"/>
      <c r="R692" s="538"/>
      <c r="S692" s="64"/>
      <c r="T692" s="64"/>
      <c r="U692" s="580"/>
      <c r="V692" s="538"/>
      <c r="W692" s="541"/>
      <c r="X692" s="542"/>
      <c r="AB692" s="738"/>
      <c r="AD692" s="738"/>
      <c r="AF692" s="744"/>
    </row>
    <row r="693" spans="1:32">
      <c r="A693" s="6">
        <f>MAX(A$679:A692)+1</f>
        <v>316</v>
      </c>
      <c r="B693" s="58"/>
      <c r="C693" s="697" t="s">
        <v>384</v>
      </c>
      <c r="D693" s="58"/>
      <c r="E693" s="522" t="s">
        <v>382</v>
      </c>
      <c r="F693" s="58"/>
      <c r="G693" s="29">
        <v>0</v>
      </c>
      <c r="H693" s="58"/>
      <c r="I693" s="684">
        <v>1.8779999999999999</v>
      </c>
      <c r="J693" s="64">
        <f t="shared" ref="J693:J700" si="233">G693*I693/1000</f>
        <v>0</v>
      </c>
      <c r="K693" s="58"/>
      <c r="L693" s="29">
        <v>0</v>
      </c>
      <c r="M693" s="29">
        <v>0</v>
      </c>
      <c r="N693" s="538">
        <f t="shared" ref="N693:N700" si="234">J693-L693-M693</f>
        <v>0</v>
      </c>
      <c r="O693" s="564"/>
      <c r="P693" s="29">
        <v>0</v>
      </c>
      <c r="Q693" s="29">
        <v>0</v>
      </c>
      <c r="R693" s="29">
        <v>0</v>
      </c>
      <c r="S693" s="564"/>
      <c r="T693" s="64">
        <f t="shared" ref="T693:T700" si="235">N693+P693+Q693+R693</f>
        <v>0</v>
      </c>
      <c r="U693" s="620">
        <v>1.927</v>
      </c>
      <c r="V693" s="29">
        <v>0</v>
      </c>
      <c r="W693" s="29">
        <v>0</v>
      </c>
      <c r="X693" s="542"/>
      <c r="Z693" s="738"/>
      <c r="AB693" s="738"/>
      <c r="AD693" s="738"/>
      <c r="AF693" s="744"/>
    </row>
    <row r="694" spans="1:32">
      <c r="A694" s="6">
        <f>MAX(A$679:A693)+1</f>
        <v>317</v>
      </c>
      <c r="B694" s="58"/>
      <c r="C694" s="697" t="s">
        <v>385</v>
      </c>
      <c r="D694" s="58"/>
      <c r="E694" s="522" t="s">
        <v>382</v>
      </c>
      <c r="F694" s="58"/>
      <c r="G694" s="29">
        <v>649668</v>
      </c>
      <c r="H694" s="58"/>
      <c r="I694" s="684">
        <v>1.4730000000000001</v>
      </c>
      <c r="J694" s="567">
        <f t="shared" si="233"/>
        <v>956.96096399999999</v>
      </c>
      <c r="K694" s="58"/>
      <c r="L694" s="29">
        <v>0</v>
      </c>
      <c r="M694" s="29">
        <v>0</v>
      </c>
      <c r="N694" s="538">
        <f t="shared" si="234"/>
        <v>956.96096399999999</v>
      </c>
      <c r="O694" s="564"/>
      <c r="P694" s="29">
        <v>26.149232548436657</v>
      </c>
      <c r="Q694" s="29">
        <v>0</v>
      </c>
      <c r="R694" s="29">
        <v>0</v>
      </c>
      <c r="S694" s="564"/>
      <c r="T694" s="64">
        <f t="shared" si="235"/>
        <v>983.11019654843665</v>
      </c>
      <c r="U694" s="620">
        <v>1.5187525197395906</v>
      </c>
      <c r="V694" s="538">
        <f>T694-J694</f>
        <v>26.149232548436657</v>
      </c>
      <c r="W694" s="541">
        <f>U694/I694-1</f>
        <v>3.1060773753964988E-2</v>
      </c>
      <c r="X694" s="542"/>
      <c r="Z694" s="738"/>
      <c r="AB694" s="738"/>
      <c r="AD694" s="738"/>
      <c r="AF694" s="744"/>
    </row>
    <row r="695" spans="1:32">
      <c r="A695" s="6">
        <f>MAX(A$679:A694)+1</f>
        <v>318</v>
      </c>
      <c r="C695" s="697" t="s">
        <v>386</v>
      </c>
      <c r="E695" s="522" t="s">
        <v>382</v>
      </c>
      <c r="G695" s="29">
        <v>0</v>
      </c>
      <c r="I695" s="684">
        <v>1.4730000000000001</v>
      </c>
      <c r="J695" s="64">
        <f t="shared" si="233"/>
        <v>0</v>
      </c>
      <c r="L695" s="29">
        <v>0</v>
      </c>
      <c r="M695" s="29">
        <v>0</v>
      </c>
      <c r="N695" s="538">
        <f t="shared" si="234"/>
        <v>0</v>
      </c>
      <c r="O695" s="64"/>
      <c r="P695" s="29">
        <v>0</v>
      </c>
      <c r="Q695" s="29">
        <v>0</v>
      </c>
      <c r="R695" s="29">
        <v>0</v>
      </c>
      <c r="S695" s="64"/>
      <c r="T695" s="64">
        <f t="shared" si="235"/>
        <v>0</v>
      </c>
      <c r="U695" s="620">
        <v>1.5187525197395906</v>
      </c>
      <c r="V695" s="29">
        <v>0</v>
      </c>
      <c r="W695" s="29">
        <v>0</v>
      </c>
      <c r="X695" s="542"/>
      <c r="Z695" s="738"/>
      <c r="AB695" s="738"/>
      <c r="AD695" s="738"/>
      <c r="AF695" s="744"/>
    </row>
    <row r="696" spans="1:32">
      <c r="A696" s="6">
        <f>MAX(A$679:A695)+1</f>
        <v>319</v>
      </c>
      <c r="B696" s="58"/>
      <c r="C696" s="697" t="s">
        <v>387</v>
      </c>
      <c r="D696" s="58"/>
      <c r="E696" s="522" t="s">
        <v>382</v>
      </c>
      <c r="F696" s="58"/>
      <c r="G696" s="29">
        <v>0</v>
      </c>
      <c r="H696" s="58"/>
      <c r="I696" s="684">
        <v>1.4730000000000001</v>
      </c>
      <c r="J696" s="64">
        <f t="shared" si="233"/>
        <v>0</v>
      </c>
      <c r="K696" s="58"/>
      <c r="L696" s="29">
        <v>0</v>
      </c>
      <c r="M696" s="29">
        <v>0</v>
      </c>
      <c r="N696" s="538">
        <f t="shared" si="234"/>
        <v>0</v>
      </c>
      <c r="O696" s="564"/>
      <c r="P696" s="29">
        <v>0</v>
      </c>
      <c r="Q696" s="29">
        <v>0</v>
      </c>
      <c r="R696" s="29">
        <v>0</v>
      </c>
      <c r="S696" s="564"/>
      <c r="T696" s="64">
        <f t="shared" si="235"/>
        <v>0</v>
      </c>
      <c r="U696" s="620">
        <v>1.5187525197395906</v>
      </c>
      <c r="V696" s="29">
        <v>0</v>
      </c>
      <c r="W696" s="29">
        <v>0</v>
      </c>
      <c r="X696" s="542"/>
      <c r="Z696" s="738"/>
      <c r="AB696" s="738"/>
      <c r="AD696" s="738"/>
      <c r="AF696" s="744"/>
    </row>
    <row r="697" spans="1:32">
      <c r="A697" s="6"/>
      <c r="B697" s="58"/>
      <c r="C697" s="526" t="s">
        <v>388</v>
      </c>
      <c r="D697" s="58"/>
      <c r="E697" s="574"/>
      <c r="F697" s="58"/>
      <c r="G697" s="29"/>
      <c r="H697" s="58"/>
      <c r="I697" s="684"/>
      <c r="J697" s="567"/>
      <c r="K697" s="58"/>
      <c r="L697" s="538"/>
      <c r="M697" s="538"/>
      <c r="N697" s="538"/>
      <c r="O697" s="564"/>
      <c r="P697" s="29"/>
      <c r="Q697" s="538"/>
      <c r="R697" s="538"/>
      <c r="S697" s="564"/>
      <c r="T697" s="64"/>
      <c r="U697" s="580"/>
      <c r="V697" s="538"/>
      <c r="W697" s="541"/>
      <c r="X697" s="542"/>
      <c r="Z697" s="738"/>
      <c r="AB697" s="738"/>
      <c r="AD697" s="738"/>
      <c r="AF697" s="744"/>
    </row>
    <row r="698" spans="1:32">
      <c r="A698" s="6">
        <f>MAX(A$679:A697)+1</f>
        <v>320</v>
      </c>
      <c r="B698" s="58"/>
      <c r="C698" s="697" t="s">
        <v>389</v>
      </c>
      <c r="D698" s="58"/>
      <c r="E698" s="522" t="s">
        <v>331</v>
      </c>
      <c r="F698" s="58"/>
      <c r="G698" s="29">
        <v>6433273.9199999999</v>
      </c>
      <c r="H698" s="58"/>
      <c r="I698" s="684">
        <v>1.2E-2</v>
      </c>
      <c r="J698" s="567">
        <f t="shared" si="233"/>
        <v>77.199287040000002</v>
      </c>
      <c r="K698" s="58"/>
      <c r="L698" s="29">
        <v>0</v>
      </c>
      <c r="M698" s="29">
        <v>0</v>
      </c>
      <c r="N698" s="538">
        <f t="shared" si="234"/>
        <v>77.199287040000002</v>
      </c>
      <c r="O698" s="564"/>
      <c r="P698" s="29">
        <v>2.1094926390147606</v>
      </c>
      <c r="Q698" s="29">
        <v>0</v>
      </c>
      <c r="R698" s="29">
        <v>0</v>
      </c>
      <c r="S698" s="564"/>
      <c r="T698" s="64">
        <f t="shared" si="235"/>
        <v>79.308779679014762</v>
      </c>
      <c r="U698" s="580">
        <f>T698/G698*1000</f>
        <v>1.2327903438474256E-2</v>
      </c>
      <c r="V698" s="538">
        <f>T698-J698</f>
        <v>2.1094926390147606</v>
      </c>
      <c r="W698" s="541">
        <f>U698/I698-1</f>
        <v>2.7325286539521265E-2</v>
      </c>
      <c r="X698" s="542"/>
      <c r="Z698" s="738"/>
      <c r="AB698" s="738"/>
      <c r="AD698" s="738"/>
      <c r="AF698" s="744"/>
    </row>
    <row r="699" spans="1:32">
      <c r="A699" s="6"/>
      <c r="B699" s="58"/>
      <c r="C699" s="697"/>
      <c r="D699" s="58"/>
      <c r="E699" s="522"/>
      <c r="F699" s="58"/>
      <c r="G699" s="29"/>
      <c r="H699" s="58"/>
      <c r="I699" s="684"/>
      <c r="J699" s="567"/>
      <c r="K699" s="58"/>
      <c r="L699" s="29"/>
      <c r="M699" s="29"/>
      <c r="N699" s="538"/>
      <c r="O699" s="564"/>
      <c r="P699" s="29"/>
      <c r="Q699" s="29"/>
      <c r="R699" s="29"/>
      <c r="S699" s="564"/>
      <c r="T699" s="64"/>
      <c r="U699" s="580"/>
      <c r="V699" s="538"/>
      <c r="W699" s="541"/>
      <c r="X699" s="542"/>
      <c r="Z699" s="738"/>
      <c r="AB699" s="738"/>
      <c r="AD699" s="738"/>
      <c r="AF699" s="744"/>
    </row>
    <row r="700" spans="1:32">
      <c r="A700" s="6">
        <f>MAX(A$679:A698)+1</f>
        <v>321</v>
      </c>
      <c r="C700" s="12" t="s">
        <v>390</v>
      </c>
      <c r="E700" s="522" t="s">
        <v>331</v>
      </c>
      <c r="G700" s="29">
        <v>0</v>
      </c>
      <c r="I700" s="29">
        <v>0</v>
      </c>
      <c r="J700" s="64">
        <f t="shared" si="233"/>
        <v>0</v>
      </c>
      <c r="L700" s="29">
        <v>0</v>
      </c>
      <c r="M700" s="29">
        <v>0</v>
      </c>
      <c r="N700" s="538">
        <f t="shared" si="234"/>
        <v>0</v>
      </c>
      <c r="O700" s="64"/>
      <c r="P700" s="29">
        <v>0</v>
      </c>
      <c r="Q700" s="29">
        <v>0</v>
      </c>
      <c r="R700" s="29">
        <v>0</v>
      </c>
      <c r="S700" s="64"/>
      <c r="T700" s="64">
        <f t="shared" si="235"/>
        <v>0</v>
      </c>
      <c r="U700" s="64">
        <v>0</v>
      </c>
      <c r="V700" s="538">
        <f>T700-J700</f>
        <v>0</v>
      </c>
      <c r="W700" s="599" t="str">
        <f>IFERROR(U700/I700-1,"-")</f>
        <v>-</v>
      </c>
      <c r="X700" s="542"/>
      <c r="Z700" s="738"/>
      <c r="AB700" s="738"/>
      <c r="AD700" s="738"/>
      <c r="AF700" s="744"/>
    </row>
    <row r="701" spans="1:32">
      <c r="A701" s="6"/>
      <c r="B701" s="58"/>
      <c r="D701" s="58"/>
      <c r="E701" s="30"/>
      <c r="F701" s="58"/>
      <c r="G701" s="29"/>
      <c r="H701" s="58"/>
      <c r="I701" s="58"/>
      <c r="J701" s="539"/>
      <c r="K701" s="58"/>
      <c r="L701" s="538"/>
      <c r="M701" s="538"/>
      <c r="N701" s="538"/>
      <c r="O701" s="564"/>
      <c r="P701" s="564"/>
      <c r="Q701" s="538"/>
      <c r="R701" s="538"/>
      <c r="S701" s="564"/>
      <c r="T701" s="564"/>
      <c r="U701" s="565"/>
      <c r="V701" s="538"/>
      <c r="W701" s="541"/>
      <c r="X701" s="542"/>
      <c r="Z701" s="738"/>
      <c r="AB701" s="738"/>
      <c r="AD701" s="738"/>
      <c r="AF701" s="744"/>
    </row>
    <row r="702" spans="1:32">
      <c r="A702" s="6">
        <f>MAX(A$679:A701)+1</f>
        <v>322</v>
      </c>
      <c r="B702" s="58"/>
      <c r="C702" s="10" t="s">
        <v>391</v>
      </c>
      <c r="D702" s="58"/>
      <c r="E702" s="522"/>
      <c r="F702" s="58"/>
      <c r="G702" s="411">
        <f>G687</f>
        <v>249200.14546999999</v>
      </c>
      <c r="H702" s="58"/>
      <c r="I702" s="556">
        <f>J702/G702*100</f>
        <v>0.60025136511008792</v>
      </c>
      <c r="J702" s="554">
        <f>SUM(J691:J700)</f>
        <v>1495.8272750399999</v>
      </c>
      <c r="K702" s="58"/>
      <c r="L702" s="555">
        <f>SUM(L691:L700)</f>
        <v>0</v>
      </c>
      <c r="M702" s="555">
        <f>SUM(M691:M700)</f>
        <v>0</v>
      </c>
      <c r="N702" s="555">
        <f>SUM(N691:N700)</f>
        <v>1495.8272750399999</v>
      </c>
      <c r="O702" s="564"/>
      <c r="P702" s="619">
        <f>SUM(P691:P700)</f>
        <v>40.873908904099537</v>
      </c>
      <c r="Q702" s="619">
        <f>SUM(Q691:Q700)</f>
        <v>0</v>
      </c>
      <c r="R702" s="619">
        <f>SUM(R691:R700)</f>
        <v>0</v>
      </c>
      <c r="S702" s="564"/>
      <c r="T702" s="619">
        <f>SUM(T691:T700)</f>
        <v>1536.7011839440995</v>
      </c>
      <c r="U702" s="592">
        <f>T702/G702*100</f>
        <v>0.61665340565746007</v>
      </c>
      <c r="V702" s="555">
        <f>SUM(V691:V700)</f>
        <v>40.873908904099537</v>
      </c>
      <c r="W702" s="562">
        <f>U702/I702-1</f>
        <v>2.7325286539521709E-2</v>
      </c>
      <c r="X702" s="542"/>
      <c r="Z702" s="738"/>
      <c r="AB702" s="738"/>
      <c r="AD702" s="738"/>
      <c r="AF702" s="744"/>
    </row>
    <row r="703" spans="1:32">
      <c r="A703" s="6"/>
      <c r="B703" s="58"/>
      <c r="C703" s="10"/>
      <c r="D703" s="58"/>
      <c r="E703" s="30"/>
      <c r="F703" s="58"/>
      <c r="G703" s="29"/>
      <c r="H703" s="58"/>
      <c r="I703" s="58"/>
      <c r="J703" s="539"/>
      <c r="K703" s="58"/>
      <c r="L703" s="538"/>
      <c r="M703" s="538"/>
      <c r="N703" s="538"/>
      <c r="O703" s="564"/>
      <c r="P703" s="564"/>
      <c r="Q703" s="538"/>
      <c r="R703" s="538"/>
      <c r="S703" s="564"/>
      <c r="T703" s="564"/>
      <c r="U703" s="565"/>
      <c r="V703" s="538"/>
      <c r="W703" s="501"/>
      <c r="Z703" s="738"/>
      <c r="AB703" s="738"/>
      <c r="AD703" s="738"/>
      <c r="AF703" s="744"/>
    </row>
    <row r="704" spans="1:32">
      <c r="A704" s="6">
        <f>MAX(A$679:A703)+1</f>
        <v>323</v>
      </c>
      <c r="B704" s="58"/>
      <c r="C704" s="10" t="s">
        <v>396</v>
      </c>
      <c r="D704" s="58"/>
      <c r="E704" s="30"/>
      <c r="F704" s="58"/>
      <c r="G704" s="132"/>
      <c r="H704" s="58"/>
      <c r="I704" s="58"/>
      <c r="J704" s="539"/>
      <c r="K704" s="58"/>
      <c r="L704" s="538"/>
      <c r="M704" s="538"/>
      <c r="N704" s="538"/>
      <c r="O704" s="564"/>
      <c r="P704" s="564"/>
      <c r="Q704" s="538"/>
      <c r="R704" s="538"/>
      <c r="S704" s="564"/>
      <c r="T704" s="564"/>
      <c r="U704" s="565"/>
      <c r="V704" s="538"/>
      <c r="W704" s="501"/>
      <c r="Z704" s="738"/>
      <c r="AB704" s="738"/>
      <c r="AD704" s="738"/>
      <c r="AF704" s="744"/>
    </row>
    <row r="705" spans="1:32" ht="12.95" thickBot="1">
      <c r="A705" s="6"/>
      <c r="B705" s="58"/>
      <c r="C705" s="10"/>
      <c r="D705" s="58"/>
      <c r="E705" s="30"/>
      <c r="F705" s="58"/>
      <c r="G705" s="439">
        <f>G687</f>
        <v>249200.14546999999</v>
      </c>
      <c r="H705" s="58"/>
      <c r="I705" s="572">
        <f>J705/G705*100</f>
        <v>3.131538600745345</v>
      </c>
      <c r="J705" s="627">
        <f>J687+J702</f>
        <v>7803.7987485066014</v>
      </c>
      <c r="K705" s="539"/>
      <c r="L705" s="628">
        <f>L687+L702</f>
        <v>106.2576</v>
      </c>
      <c r="M705" s="628">
        <f>M687+M702</f>
        <v>0</v>
      </c>
      <c r="N705" s="628">
        <f>N687+N702</f>
        <v>7697.5411485066015</v>
      </c>
      <c r="O705" s="564"/>
      <c r="P705" s="628">
        <f>P687+P702</f>
        <v>210.33751753270036</v>
      </c>
      <c r="Q705" s="628">
        <f>Q687+Q702</f>
        <v>111.50384979625936</v>
      </c>
      <c r="R705" s="628">
        <f>R687+R702</f>
        <v>0</v>
      </c>
      <c r="S705" s="564"/>
      <c r="T705" s="628">
        <f>T687+T702</f>
        <v>8019.3825158355612</v>
      </c>
      <c r="U705" s="590">
        <f>T705/G705*100</f>
        <v>3.2180488902647837</v>
      </c>
      <c r="V705" s="628">
        <f>V687+V702</f>
        <v>215.58376732896005</v>
      </c>
      <c r="W705" s="629">
        <f>U705/I705-1</f>
        <v>2.7625490389563856E-2</v>
      </c>
      <c r="X705" s="630"/>
      <c r="Z705" s="738"/>
      <c r="AB705" s="738"/>
      <c r="AD705" s="738"/>
      <c r="AF705" s="744"/>
    </row>
    <row r="706" spans="1:32" ht="12.95" thickTop="1">
      <c r="A706" s="6"/>
      <c r="B706" s="58"/>
      <c r="C706" s="10"/>
      <c r="D706" s="58"/>
      <c r="E706" s="30"/>
      <c r="F706" s="58"/>
      <c r="G706" s="132"/>
      <c r="H706" s="58"/>
      <c r="I706" s="548"/>
      <c r="J706" s="539"/>
      <c r="K706" s="539"/>
      <c r="L706" s="564"/>
      <c r="M706" s="564"/>
      <c r="N706" s="564"/>
      <c r="O706" s="564"/>
      <c r="P706" s="564"/>
      <c r="Q706" s="564"/>
      <c r="R706" s="564"/>
      <c r="S706" s="564"/>
      <c r="T706" s="564"/>
      <c r="U706" s="564"/>
      <c r="V706" s="564"/>
      <c r="W706" s="630"/>
      <c r="X706" s="630"/>
      <c r="AF706" s="744"/>
    </row>
    <row r="707" spans="1:32" ht="13.5" thickBot="1">
      <c r="A707" s="6">
        <f>MAX(A$679:A706)+1</f>
        <v>324</v>
      </c>
      <c r="B707" s="58"/>
      <c r="C707" s="501" t="s">
        <v>156</v>
      </c>
      <c r="D707" s="58"/>
      <c r="E707" s="128"/>
      <c r="F707" s="58"/>
      <c r="G707" s="575"/>
      <c r="H707" s="58"/>
      <c r="I707" s="58"/>
      <c r="J707" s="627">
        <f>J33+J57+J86+J108+J140+J149+J191+J216+J250+J270+J310+J339+J389+J405+J442+J459+J487+J516+J548+J566+J587+J621+J666+J705</f>
        <v>2667112.1376157831</v>
      </c>
      <c r="K707" s="539"/>
      <c r="L707" s="627">
        <f>L33+L57+L86+L108+L140+L149+L191+L216+L250+L270+L310+L339+L389+L405+L442+L459+L487+L516+L548+L566+L587+L621+L666+L705</f>
        <v>143871.4637834662</v>
      </c>
      <c r="M707" s="627">
        <f>M33+M57+M86+M108+M140+M149+M191+M216+M250+M270+M310+M339+M389+M405+M442+M459+M487+M516+M548+M566+M587+M621+M666+M705</f>
        <v>46925.204694014014</v>
      </c>
      <c r="N707" s="628">
        <f>N33+N57+N86+N108+N140+N149+N191+N216+N250+N270+N310+N339+N389+N405+N442+N459+N487+N516+N548+N566+N587+N621+N666+N705</f>
        <v>2478357.8662239052</v>
      </c>
      <c r="O707" s="539"/>
      <c r="P707" s="628">
        <f>P33+P57+P86+P108+P140+P149+P191+P216+P250+P270+P310+P339+P389+P405+P442+P459+P487+P516+P548+P566+P587+P621+P666+P705</f>
        <v>67721.838835478338</v>
      </c>
      <c r="Q707" s="628">
        <f>Q33+Q57+Q86+Q108+Q140+Q149+Q191+Q216+Q250+Q270+Q310+Q339+Q389+Q405+Q442+Q459+Q487+Q516+Q548+Q566+Q587+Q621+Q666+Q705</f>
        <v>183081.13465239876</v>
      </c>
      <c r="R707" s="628">
        <f>R33+R57+R86+R108+R140+R149+R191+R216+R250+R270+R310+R339+R389+R405+R442+R459+R487+R516+R548+R566+R587+R621+R666+R705</f>
        <v>46390.692841946395</v>
      </c>
      <c r="S707" s="539"/>
      <c r="T707" s="628">
        <f>T33+T57+T86+T108+T140+T149+T191+T216+T250+T270+T310+T339+T389+T405+T442+T459+T487+T516+T548+T566+T587+T621+T666+T705</f>
        <v>2775551.5325537296</v>
      </c>
      <c r="U707" s="539"/>
      <c r="V707" s="628">
        <f>V33+V57+V86+V108+V140+V149+V191+V216+V250+V270+V310+V339+V389+V405+V442+V459+V487+V516+V548+V566+V587+V621+V666+V705</f>
        <v>108439.39493794576</v>
      </c>
      <c r="W707" s="534"/>
      <c r="Z707" s="738"/>
      <c r="AB707" s="738"/>
      <c r="AD707" s="738"/>
    </row>
    <row r="708" spans="1:32" ht="13.5" thickTop="1">
      <c r="A708" s="6"/>
      <c r="B708" s="58"/>
      <c r="C708" s="501"/>
      <c r="D708" s="58"/>
      <c r="E708" s="128"/>
      <c r="F708" s="58"/>
      <c r="G708" s="575"/>
      <c r="H708" s="58"/>
      <c r="I708" s="58"/>
      <c r="J708" s="539"/>
      <c r="K708" s="539"/>
      <c r="L708" s="539"/>
      <c r="M708" s="539"/>
      <c r="N708" s="539"/>
      <c r="O708" s="539"/>
      <c r="P708" s="539"/>
      <c r="Q708" s="539"/>
      <c r="R708" s="539"/>
      <c r="S708" s="539"/>
      <c r="T708" s="539"/>
      <c r="U708" s="564"/>
      <c r="V708" s="564"/>
      <c r="W708" s="501"/>
      <c r="Z708" s="738"/>
      <c r="AB708" s="738"/>
      <c r="AD708" s="738"/>
    </row>
    <row r="709" spans="1:32">
      <c r="L709" s="2"/>
      <c r="M709" s="2"/>
      <c r="N709" s="501"/>
      <c r="Q709" s="501"/>
      <c r="R709" s="501"/>
      <c r="V709" s="501"/>
      <c r="W709" s="501"/>
      <c r="Z709" s="738"/>
      <c r="AB709" s="738"/>
      <c r="AD709" s="738"/>
    </row>
    <row r="710" spans="1:32">
      <c r="L710" s="2"/>
      <c r="M710" s="2"/>
      <c r="N710" s="501"/>
      <c r="Q710" s="501"/>
      <c r="R710" s="501"/>
      <c r="V710" s="501"/>
      <c r="W710" s="501"/>
      <c r="Z710" s="738"/>
      <c r="AB710" s="738"/>
      <c r="AD710" s="738"/>
    </row>
    <row r="711" spans="1:32">
      <c r="L711" s="2"/>
      <c r="M711" s="2"/>
      <c r="N711" s="501"/>
      <c r="Q711" s="501"/>
      <c r="R711" s="501"/>
      <c r="V711" s="501"/>
      <c r="W711" s="501"/>
    </row>
    <row r="712" spans="1:32">
      <c r="A712" s="1156" t="s">
        <v>279</v>
      </c>
      <c r="B712" s="1156"/>
      <c r="C712" s="1156"/>
      <c r="D712" s="1156"/>
      <c r="E712" s="1156"/>
      <c r="F712" s="1156"/>
      <c r="G712" s="1156"/>
      <c r="H712" s="1156"/>
      <c r="I712" s="1156"/>
      <c r="J712" s="1156"/>
      <c r="K712" s="1156"/>
      <c r="L712" s="1156"/>
      <c r="M712" s="1156"/>
      <c r="N712" s="1156"/>
      <c r="O712" s="1156"/>
      <c r="P712" s="1156"/>
      <c r="Q712" s="1156"/>
      <c r="R712" s="1156"/>
      <c r="S712" s="1156"/>
      <c r="T712" s="1156"/>
      <c r="U712" s="1156"/>
      <c r="V712" s="1156"/>
      <c r="W712" s="1156"/>
      <c r="X712" s="531"/>
    </row>
    <row r="713" spans="1:32">
      <c r="A713" s="1156" t="s">
        <v>478</v>
      </c>
      <c r="B713" s="1156"/>
      <c r="C713" s="1156"/>
      <c r="D713" s="1156"/>
      <c r="E713" s="1156"/>
      <c r="F713" s="1156"/>
      <c r="G713" s="1156"/>
      <c r="H713" s="1156"/>
      <c r="I713" s="1156"/>
      <c r="J713" s="1156"/>
      <c r="K713" s="1156"/>
      <c r="L713" s="1156"/>
      <c r="M713" s="1156"/>
      <c r="N713" s="1156"/>
      <c r="O713" s="1156"/>
      <c r="P713" s="1156"/>
      <c r="Q713" s="1156"/>
      <c r="R713" s="1156"/>
      <c r="S713" s="1156"/>
      <c r="T713" s="1156"/>
      <c r="U713" s="1156"/>
      <c r="V713" s="1156"/>
      <c r="W713" s="1156"/>
      <c r="X713" s="737"/>
      <c r="Y713" s="737"/>
    </row>
    <row r="714" spans="1:32">
      <c r="A714" s="57"/>
      <c r="B714" s="57"/>
      <c r="C714" s="57"/>
      <c r="D714" s="57"/>
      <c r="E714" s="3"/>
      <c r="F714" s="57"/>
      <c r="G714" s="3"/>
      <c r="H714" s="57"/>
      <c r="I714" s="57"/>
      <c r="J714" s="57"/>
      <c r="K714" s="57"/>
      <c r="L714" s="57"/>
      <c r="M714" s="57"/>
      <c r="N714" s="501"/>
      <c r="O714" s="57"/>
      <c r="P714" s="57"/>
      <c r="Q714" s="501"/>
      <c r="R714" s="501"/>
      <c r="S714" s="57"/>
      <c r="T714" s="57"/>
      <c r="U714" s="57"/>
      <c r="V714" s="501"/>
      <c r="W714" s="501"/>
    </row>
    <row r="715" spans="1:32" ht="26.65" customHeight="1">
      <c r="A715" s="3"/>
      <c r="B715" s="3"/>
      <c r="C715" s="3"/>
      <c r="D715" s="3"/>
      <c r="E715" s="57"/>
      <c r="F715" s="1152" t="s">
        <v>231</v>
      </c>
      <c r="G715" s="1152"/>
      <c r="H715" s="1152"/>
      <c r="I715" s="1152"/>
      <c r="J715" s="1152"/>
      <c r="K715" s="3"/>
      <c r="L715" s="1157" t="s">
        <v>94</v>
      </c>
      <c r="M715" s="1157"/>
      <c r="N715" s="58"/>
      <c r="O715" s="3"/>
      <c r="P715" s="59"/>
      <c r="Q715" s="1157" t="s">
        <v>95</v>
      </c>
      <c r="R715" s="1157"/>
      <c r="S715" s="3"/>
      <c r="T715" s="1152" t="s">
        <v>472</v>
      </c>
      <c r="U715" s="1152"/>
      <c r="V715" s="1152"/>
      <c r="W715" s="1152"/>
      <c r="X715" s="6"/>
    </row>
    <row r="716" spans="1:32" ht="37.5">
      <c r="A716" s="5" t="s">
        <v>56</v>
      </c>
      <c r="B716" s="5"/>
      <c r="C716" s="5"/>
      <c r="D716" s="5"/>
      <c r="E716" s="6" t="s">
        <v>233</v>
      </c>
      <c r="F716" s="5"/>
      <c r="G716" s="17" t="s">
        <v>234</v>
      </c>
      <c r="H716" s="5"/>
      <c r="I716" s="17" t="s">
        <v>235</v>
      </c>
      <c r="J716" s="17" t="s">
        <v>101</v>
      </c>
      <c r="K716" s="5"/>
      <c r="L716" s="17" t="s">
        <v>106</v>
      </c>
      <c r="M716" s="17" t="s">
        <v>236</v>
      </c>
      <c r="N716" s="5" t="s">
        <v>239</v>
      </c>
      <c r="O716" s="5"/>
      <c r="P716" s="5" t="s">
        <v>240</v>
      </c>
      <c r="Q716" s="17" t="s">
        <v>106</v>
      </c>
      <c r="R716" s="17" t="s">
        <v>236</v>
      </c>
      <c r="S716" s="5"/>
      <c r="T716" s="17" t="s">
        <v>241</v>
      </c>
      <c r="U716" s="17" t="s">
        <v>242</v>
      </c>
      <c r="V716" s="17" t="s">
        <v>243</v>
      </c>
      <c r="W716" s="5" t="s">
        <v>244</v>
      </c>
      <c r="X716" s="5"/>
    </row>
    <row r="717" spans="1:32">
      <c r="A717" s="237" t="s">
        <v>57</v>
      </c>
      <c r="B717" s="58"/>
      <c r="C717" s="59" t="s">
        <v>194</v>
      </c>
      <c r="D717" s="58"/>
      <c r="E717" s="237" t="s">
        <v>245</v>
      </c>
      <c r="F717" s="58"/>
      <c r="G717" s="237" t="s">
        <v>246</v>
      </c>
      <c r="H717" s="58"/>
      <c r="I717" s="237" t="s">
        <v>397</v>
      </c>
      <c r="J717" s="237" t="s">
        <v>248</v>
      </c>
      <c r="K717" s="58"/>
      <c r="L717" s="237" t="s">
        <v>248</v>
      </c>
      <c r="M717" s="237" t="s">
        <v>248</v>
      </c>
      <c r="N717" s="237" t="s">
        <v>248</v>
      </c>
      <c r="O717" s="58"/>
      <c r="P717" s="237" t="s">
        <v>248</v>
      </c>
      <c r="Q717" s="237" t="s">
        <v>248</v>
      </c>
      <c r="R717" s="237" t="s">
        <v>248</v>
      </c>
      <c r="S717" s="58"/>
      <c r="T717" s="237" t="s">
        <v>248</v>
      </c>
      <c r="U717" s="237" t="s">
        <v>397</v>
      </c>
      <c r="V717" s="237" t="s">
        <v>248</v>
      </c>
      <c r="W717" s="237" t="s">
        <v>249</v>
      </c>
      <c r="X717" s="6"/>
    </row>
    <row r="718" spans="1:32">
      <c r="A718" s="6"/>
      <c r="B718" s="58"/>
      <c r="C718" s="58"/>
      <c r="D718" s="58"/>
      <c r="E718" s="6"/>
      <c r="F718" s="58"/>
      <c r="G718" s="6" t="s">
        <v>9</v>
      </c>
      <c r="H718" s="6"/>
      <c r="I718" s="6" t="s">
        <v>10</v>
      </c>
      <c r="J718" s="6" t="s">
        <v>58</v>
      </c>
      <c r="K718" s="6"/>
      <c r="L718" s="123" t="s">
        <v>12</v>
      </c>
      <c r="M718" s="123" t="s">
        <v>13</v>
      </c>
      <c r="N718" s="6" t="s">
        <v>473</v>
      </c>
      <c r="O718" s="6"/>
      <c r="P718" s="6" t="s">
        <v>474</v>
      </c>
      <c r="Q718" s="6" t="s">
        <v>210</v>
      </c>
      <c r="R718" s="6" t="s">
        <v>118</v>
      </c>
      <c r="S718" s="6"/>
      <c r="T718" s="6" t="s">
        <v>475</v>
      </c>
      <c r="U718" s="6" t="s">
        <v>120</v>
      </c>
      <c r="V718" s="6" t="s">
        <v>476</v>
      </c>
      <c r="W718" s="6" t="s">
        <v>477</v>
      </c>
      <c r="X718" s="6"/>
    </row>
    <row r="719" spans="1:32">
      <c r="A719" s="6"/>
      <c r="C719" s="652" t="s">
        <v>157</v>
      </c>
      <c r="E719" s="30"/>
      <c r="G719" s="29"/>
      <c r="L719" s="538"/>
      <c r="M719" s="538"/>
      <c r="N719" s="538"/>
      <c r="O719" s="64"/>
      <c r="P719" s="64"/>
      <c r="Q719" s="538"/>
      <c r="R719" s="538"/>
      <c r="S719" s="64"/>
      <c r="T719" s="64"/>
      <c r="U719" s="64"/>
      <c r="V719" s="538"/>
      <c r="W719" s="501"/>
    </row>
    <row r="720" spans="1:32">
      <c r="A720" s="6"/>
      <c r="C720" s="9" t="s">
        <v>158</v>
      </c>
      <c r="E720" s="30"/>
      <c r="L720" s="538"/>
      <c r="M720" s="538"/>
      <c r="N720" s="538"/>
      <c r="O720" s="64"/>
      <c r="P720" s="64"/>
      <c r="Q720" s="538"/>
      <c r="R720" s="538"/>
      <c r="S720" s="64"/>
      <c r="T720" s="64"/>
      <c r="U720" s="64"/>
      <c r="V720" s="538"/>
      <c r="W720" s="501"/>
    </row>
    <row r="721" spans="1:32">
      <c r="A721" s="6"/>
      <c r="B721" s="58"/>
      <c r="C721" s="521" t="s">
        <v>398</v>
      </c>
      <c r="D721" s="58"/>
      <c r="E721" s="30"/>
      <c r="F721" s="58"/>
      <c r="H721" s="58"/>
      <c r="I721" s="58"/>
      <c r="J721" s="58"/>
      <c r="K721" s="58"/>
      <c r="L721" s="538"/>
      <c r="M721" s="538"/>
      <c r="N721" s="538"/>
      <c r="O721" s="564"/>
      <c r="P721" s="564"/>
      <c r="Q721" s="538"/>
      <c r="R721" s="538"/>
      <c r="S721" s="564"/>
      <c r="T721" s="564"/>
      <c r="U721" s="564"/>
      <c r="V721" s="538"/>
      <c r="W721" s="501"/>
    </row>
    <row r="722" spans="1:32">
      <c r="A722" s="6">
        <v>325</v>
      </c>
      <c r="B722" s="58"/>
      <c r="C722" s="705" t="s">
        <v>399</v>
      </c>
      <c r="D722" s="58"/>
      <c r="E722" s="522" t="s">
        <v>382</v>
      </c>
      <c r="F722" s="58"/>
      <c r="G722" s="29">
        <v>91095.48</v>
      </c>
      <c r="H722" s="58"/>
      <c r="I722" s="678">
        <v>0.15459999999999999</v>
      </c>
      <c r="J722" s="539">
        <f>(G722*I722*12/1000)</f>
        <v>169.00033449599997</v>
      </c>
      <c r="K722" s="58"/>
      <c r="L722" s="29">
        <v>0</v>
      </c>
      <c r="M722" s="29">
        <v>0</v>
      </c>
      <c r="N722" s="538">
        <f>J722-L722-M722</f>
        <v>169.00033449599997</v>
      </c>
      <c r="O722" s="564"/>
      <c r="P722" s="29">
        <v>4.6179825653781847</v>
      </c>
      <c r="Q722" s="29">
        <v>0</v>
      </c>
      <c r="R722" s="29">
        <v>0</v>
      </c>
      <c r="S722" s="564"/>
      <c r="T722" s="564">
        <f>N722+P722+Q722+R722</f>
        <v>173.61831706137815</v>
      </c>
      <c r="U722" s="706">
        <v>0.159</v>
      </c>
      <c r="V722" s="538">
        <f>T722-J722</f>
        <v>4.6179825653781847</v>
      </c>
      <c r="W722" s="541">
        <f>IFERROR((U722-I722)/I722,"")</f>
        <v>2.8460543337645635E-2</v>
      </c>
      <c r="X722" s="542"/>
      <c r="Z722" s="738"/>
      <c r="AB722" s="738"/>
      <c r="AD722" s="738"/>
      <c r="AF722" s="744"/>
    </row>
    <row r="723" spans="1:32">
      <c r="A723" s="1">
        <f>MAX(A$721:A722)+1</f>
        <v>326</v>
      </c>
      <c r="C723" s="705" t="s">
        <v>400</v>
      </c>
      <c r="E723" s="522" t="s">
        <v>331</v>
      </c>
      <c r="G723" s="564">
        <f>(D723*F723*12/1000)</f>
        <v>0</v>
      </c>
      <c r="I723" s="678">
        <v>5.8999999999999999E-3</v>
      </c>
      <c r="J723" s="564">
        <f>(G723*I723*12/1000)</f>
        <v>0</v>
      </c>
      <c r="L723" s="29">
        <v>0</v>
      </c>
      <c r="M723" s="29">
        <v>0</v>
      </c>
      <c r="N723" s="538">
        <f>J723-L723-M723</f>
        <v>0</v>
      </c>
      <c r="O723" s="64"/>
      <c r="P723" s="29">
        <v>0</v>
      </c>
      <c r="Q723" s="29">
        <v>0</v>
      </c>
      <c r="R723" s="29">
        <v>0</v>
      </c>
      <c r="S723" s="29"/>
      <c r="T723" s="564">
        <f>N723+P723+Q723+R723</f>
        <v>0</v>
      </c>
      <c r="U723" s="707">
        <f>I723</f>
        <v>5.8999999999999999E-3</v>
      </c>
      <c r="V723" s="538">
        <f>T723-J723</f>
        <v>0</v>
      </c>
      <c r="W723" s="541">
        <f>IFERROR((U723-I723)/I723,"")</f>
        <v>0</v>
      </c>
      <c r="X723" s="542"/>
    </row>
    <row r="724" spans="1:32">
      <c r="E724" s="30"/>
      <c r="G724" s="29"/>
      <c r="I724" s="759"/>
      <c r="J724" s="567"/>
      <c r="L724" s="538"/>
      <c r="M724" s="538"/>
      <c r="N724" s="538"/>
      <c r="O724" s="64"/>
      <c r="P724" s="64"/>
      <c r="Q724" s="538"/>
      <c r="R724" s="538"/>
      <c r="S724" s="64"/>
      <c r="T724" s="64"/>
      <c r="U724" s="760"/>
      <c r="V724" s="538"/>
      <c r="W724" s="501"/>
    </row>
    <row r="725" spans="1:32" ht="12.95" thickBot="1">
      <c r="A725" s="1">
        <f>MAX(A$721:A724)+1</f>
        <v>327</v>
      </c>
      <c r="C725" s="501" t="s">
        <v>401</v>
      </c>
      <c r="E725" s="30"/>
      <c r="G725" s="589">
        <f>G722+G723</f>
        <v>91095.48</v>
      </c>
      <c r="I725" s="708">
        <f>J725/G725*100</f>
        <v>0.18551999999999999</v>
      </c>
      <c r="J725" s="709">
        <f>SUM(J722:J724)</f>
        <v>169.00033449599997</v>
      </c>
      <c r="L725" s="587">
        <f>SUM(L722:L724)</f>
        <v>0</v>
      </c>
      <c r="M725" s="587">
        <f t="shared" ref="M725:N725" si="236">SUM(M722:M724)</f>
        <v>0</v>
      </c>
      <c r="N725" s="587">
        <f t="shared" si="236"/>
        <v>169.00033449599997</v>
      </c>
      <c r="O725" s="538"/>
      <c r="P725" s="587">
        <f t="shared" ref="P725:R725" si="237">SUM(P722:P724)</f>
        <v>4.6179825653781847</v>
      </c>
      <c r="Q725" s="587">
        <f t="shared" si="237"/>
        <v>0</v>
      </c>
      <c r="R725" s="587">
        <f t="shared" si="237"/>
        <v>0</v>
      </c>
      <c r="S725" s="64"/>
      <c r="T725" s="710">
        <f>SUM(T722:T724)</f>
        <v>173.61831706137815</v>
      </c>
      <c r="U725" s="761"/>
      <c r="V725" s="587">
        <f>SUM(V722:V724)</f>
        <v>4.6179825653781847</v>
      </c>
      <c r="W725" s="573">
        <f>(T725-J725)/J725</f>
        <v>2.7325286539521536E-2</v>
      </c>
      <c r="X725" s="542"/>
    </row>
    <row r="726" spans="1:32" ht="12.95" thickTop="1">
      <c r="C726" s="12"/>
      <c r="E726" s="30"/>
      <c r="G726" s="29"/>
      <c r="J726" s="567"/>
      <c r="L726" s="538"/>
      <c r="M726" s="538"/>
      <c r="N726" s="538"/>
      <c r="O726" s="64"/>
      <c r="P726" s="64"/>
      <c r="Q726" s="538"/>
      <c r="R726" s="538"/>
      <c r="S726" s="64"/>
      <c r="T726" s="64"/>
      <c r="U726" s="64"/>
      <c r="V726" s="538"/>
      <c r="W726" s="501"/>
    </row>
    <row r="727" spans="1:32">
      <c r="B727" s="58"/>
      <c r="C727" s="9" t="s">
        <v>159</v>
      </c>
      <c r="D727" s="58"/>
      <c r="E727" s="30"/>
      <c r="F727" s="58"/>
      <c r="G727" s="29"/>
      <c r="H727" s="58"/>
      <c r="I727" s="58"/>
      <c r="J727" s="539"/>
      <c r="K727" s="58"/>
      <c r="L727" s="538"/>
      <c r="M727" s="538"/>
      <c r="N727" s="538"/>
      <c r="O727" s="564"/>
      <c r="P727" s="564"/>
      <c r="Q727" s="538"/>
      <c r="R727" s="538"/>
      <c r="S727" s="564"/>
      <c r="T727" s="564"/>
      <c r="U727" s="564"/>
      <c r="V727" s="538"/>
      <c r="W727" s="501"/>
    </row>
    <row r="728" spans="1:32">
      <c r="A728" s="1">
        <f>MAX(A$721:A727)+1</f>
        <v>328</v>
      </c>
      <c r="C728" s="711" t="s">
        <v>402</v>
      </c>
      <c r="E728" s="522" t="s">
        <v>382</v>
      </c>
      <c r="G728" s="29">
        <v>1210000</v>
      </c>
      <c r="I728" s="678">
        <v>1.3209</v>
      </c>
      <c r="J728" s="567">
        <f>(G728*I728*12/1000)</f>
        <v>19179.468000000001</v>
      </c>
      <c r="L728" s="29">
        <v>0</v>
      </c>
      <c r="M728" s="29">
        <v>0</v>
      </c>
      <c r="N728" s="538">
        <f>J728-L728-M728</f>
        <v>19179.468000000001</v>
      </c>
      <c r="O728" s="64"/>
      <c r="P728" s="29">
        <v>524.08445877558188</v>
      </c>
      <c r="Q728" s="29">
        <v>0</v>
      </c>
      <c r="R728" s="29">
        <v>0</v>
      </c>
      <c r="S728" s="64"/>
      <c r="T728" s="64">
        <f>N728+P728+Q728+R728</f>
        <v>19703.552458775583</v>
      </c>
      <c r="U728" s="762">
        <f>(T728*1000)/(G728*12)</f>
        <v>1.356993970990054</v>
      </c>
      <c r="V728" s="538">
        <f>T728-J728</f>
        <v>524.08445877558188</v>
      </c>
      <c r="W728" s="541">
        <f>IFERROR((U728-I728)/I728,"")</f>
        <v>2.7325286539521591E-2</v>
      </c>
      <c r="X728" s="542"/>
      <c r="Z728" s="738"/>
      <c r="AB728" s="738"/>
      <c r="AD728" s="738"/>
      <c r="AF728" s="744"/>
    </row>
    <row r="729" spans="1:32">
      <c r="B729" s="58"/>
      <c r="C729" s="521"/>
      <c r="D729" s="58"/>
      <c r="E729" s="574"/>
      <c r="F729" s="58"/>
      <c r="G729" s="29"/>
      <c r="H729" s="58"/>
      <c r="I729" s="58"/>
      <c r="J729" s="539"/>
      <c r="K729" s="58"/>
      <c r="L729" s="538"/>
      <c r="M729" s="538"/>
      <c r="N729" s="538"/>
      <c r="O729" s="564"/>
      <c r="P729" s="564"/>
      <c r="Q729" s="538"/>
      <c r="R729" s="538"/>
      <c r="S729" s="564"/>
      <c r="T729" s="564"/>
      <c r="U729" s="564"/>
      <c r="V729" s="538"/>
      <c r="W729" s="501"/>
    </row>
    <row r="730" spans="1:32" ht="12.95" thickBot="1">
      <c r="A730" s="1">
        <f>MAX(A$721:A729)+1</f>
        <v>329</v>
      </c>
      <c r="B730" s="58"/>
      <c r="C730" s="501" t="s">
        <v>403</v>
      </c>
      <c r="D730" s="58"/>
      <c r="E730" s="30"/>
      <c r="F730" s="58"/>
      <c r="G730" s="439">
        <f>G728</f>
        <v>1210000</v>
      </c>
      <c r="H730" s="58"/>
      <c r="I730" s="712">
        <f>I728</f>
        <v>1.3209</v>
      </c>
      <c r="J730" s="627">
        <f>SUM(J728:J729)</f>
        <v>19179.468000000001</v>
      </c>
      <c r="K730" s="58"/>
      <c r="L730" s="587">
        <f>SUM(L728:L729)</f>
        <v>0</v>
      </c>
      <c r="M730" s="587">
        <f>SUM(M728:M729)</f>
        <v>0</v>
      </c>
      <c r="N730" s="587">
        <f>SUM(N728:N729)</f>
        <v>19179.468000000001</v>
      </c>
      <c r="O730" s="538"/>
      <c r="P730" s="628">
        <f>SUM(P728:P729)</f>
        <v>524.08445877558188</v>
      </c>
      <c r="Q730" s="628">
        <f>SUM(Q728:Q729)</f>
        <v>0</v>
      </c>
      <c r="R730" s="628">
        <f>SUM(R728:R729)</f>
        <v>0</v>
      </c>
      <c r="S730" s="564"/>
      <c r="T730" s="628">
        <f>SUM(T728:T729)</f>
        <v>19703.552458775583</v>
      </c>
      <c r="U730" s="763"/>
      <c r="V730" s="587">
        <f>SUM(V728:V729)</f>
        <v>524.08445877558188</v>
      </c>
      <c r="W730" s="573">
        <f>W728</f>
        <v>2.7325286539521591E-2</v>
      </c>
      <c r="X730" s="542"/>
    </row>
    <row r="731" spans="1:32" ht="12.95" thickTop="1">
      <c r="G731" s="129"/>
      <c r="L731" s="538"/>
      <c r="M731" s="538"/>
      <c r="N731" s="538"/>
      <c r="O731" s="64"/>
      <c r="P731" s="64"/>
      <c r="Q731" s="538"/>
      <c r="R731" s="538"/>
      <c r="S731" s="64"/>
      <c r="T731" s="64"/>
      <c r="U731" s="64"/>
      <c r="V731" s="538"/>
      <c r="W731" s="501"/>
    </row>
    <row r="732" spans="1:32">
      <c r="B732" s="58"/>
      <c r="C732" s="713" t="s">
        <v>404</v>
      </c>
      <c r="D732" s="58"/>
      <c r="E732" s="30"/>
      <c r="F732" s="58"/>
      <c r="G732" s="29"/>
      <c r="H732" s="58"/>
      <c r="I732" s="58"/>
      <c r="J732" s="58"/>
      <c r="K732" s="58"/>
      <c r="L732" s="538"/>
      <c r="M732" s="538"/>
      <c r="N732" s="538"/>
      <c r="O732" s="564"/>
      <c r="P732" s="564"/>
      <c r="Q732" s="538"/>
      <c r="R732" s="538"/>
      <c r="S732" s="564"/>
      <c r="T732" s="564"/>
      <c r="U732" s="564"/>
      <c r="V732" s="538"/>
      <c r="W732" s="501"/>
    </row>
    <row r="733" spans="1:32">
      <c r="A733" s="1">
        <f>MAX(A$721:A732)+1</f>
        <v>330</v>
      </c>
      <c r="B733" s="58"/>
      <c r="C733" s="521" t="s">
        <v>405</v>
      </c>
      <c r="D733" s="58"/>
      <c r="E733" s="30"/>
      <c r="F733" s="58"/>
      <c r="G733" s="29"/>
      <c r="H733" s="58"/>
      <c r="I733" s="58"/>
      <c r="J733" s="29">
        <v>3560.977942268019</v>
      </c>
      <c r="K733" s="58"/>
      <c r="L733" s="538"/>
      <c r="M733" s="538"/>
      <c r="N733" s="29">
        <f>J733</f>
        <v>3560.977942268019</v>
      </c>
      <c r="O733" s="564"/>
      <c r="P733" s="564"/>
      <c r="Q733" s="538"/>
      <c r="R733" s="538"/>
      <c r="S733" s="564"/>
      <c r="T733" s="29">
        <f>J733</f>
        <v>3560.977942268019</v>
      </c>
      <c r="U733" s="564"/>
      <c r="V733" s="538">
        <f>T733-J733</f>
        <v>0</v>
      </c>
      <c r="W733" s="501"/>
      <c r="Z733" s="738"/>
      <c r="AB733" s="738"/>
      <c r="AD733" s="738"/>
    </row>
    <row r="734" spans="1:32">
      <c r="B734" s="58"/>
      <c r="C734" s="10"/>
      <c r="D734" s="58"/>
      <c r="E734" s="30"/>
      <c r="F734" s="58"/>
      <c r="G734" s="132"/>
      <c r="H734" s="58"/>
      <c r="I734" s="58"/>
      <c r="J734" s="58"/>
      <c r="K734" s="58"/>
      <c r="L734" s="538"/>
      <c r="M734" s="538"/>
      <c r="N734" s="538"/>
      <c r="O734" s="564"/>
      <c r="P734" s="564"/>
      <c r="Q734" s="538"/>
      <c r="R734" s="538"/>
      <c r="S734" s="564"/>
      <c r="T734" s="564"/>
      <c r="U734" s="564"/>
      <c r="V734" s="538"/>
      <c r="W734" s="501"/>
    </row>
    <row r="735" spans="1:32">
      <c r="B735" s="58"/>
      <c r="C735" s="9" t="s">
        <v>406</v>
      </c>
      <c r="D735" s="58"/>
      <c r="E735" s="574"/>
      <c r="F735" s="58"/>
      <c r="G735" s="132"/>
      <c r="H735" s="58"/>
      <c r="I735" s="58"/>
      <c r="J735" s="58"/>
      <c r="K735" s="58"/>
      <c r="L735" s="538"/>
      <c r="M735" s="538"/>
      <c r="N735" s="538"/>
      <c r="O735" s="564"/>
      <c r="P735" s="564"/>
      <c r="Q735" s="538"/>
      <c r="R735" s="538"/>
      <c r="S735" s="564"/>
      <c r="T735" s="564"/>
      <c r="U735" s="564"/>
      <c r="V735" s="538"/>
      <c r="W735" s="501"/>
    </row>
    <row r="736" spans="1:32">
      <c r="B736" s="58"/>
      <c r="C736" s="10" t="s">
        <v>407</v>
      </c>
      <c r="D736" s="58"/>
      <c r="E736" s="501"/>
      <c r="F736" s="58"/>
      <c r="G736" s="132"/>
      <c r="H736" s="58"/>
      <c r="I736" s="58"/>
      <c r="J736" s="58"/>
      <c r="K736" s="58"/>
      <c r="L736" s="538"/>
      <c r="M736" s="538"/>
      <c r="N736" s="538"/>
      <c r="O736" s="564"/>
      <c r="P736" s="564"/>
      <c r="Q736" s="538"/>
      <c r="R736" s="538"/>
      <c r="S736" s="564"/>
      <c r="T736" s="564"/>
      <c r="U736" s="564"/>
      <c r="V736" s="538"/>
      <c r="W736" s="501"/>
    </row>
    <row r="737" spans="1:39">
      <c r="A737" s="1">
        <f>MAX(A$721:A736)+1</f>
        <v>331</v>
      </c>
      <c r="B737" s="58"/>
      <c r="C737" s="526" t="s">
        <v>408</v>
      </c>
      <c r="D737" s="581"/>
      <c r="E737" s="522" t="s">
        <v>382</v>
      </c>
      <c r="F737" s="581"/>
      <c r="G737" s="29">
        <v>22020420</v>
      </c>
      <c r="H737" s="581"/>
      <c r="I737" s="701">
        <v>3.76</v>
      </c>
      <c r="J737" s="539">
        <f>G737*I737/1000</f>
        <v>82796.77919999999</v>
      </c>
      <c r="K737" s="581"/>
      <c r="L737" s="29">
        <v>0</v>
      </c>
      <c r="M737" s="29">
        <v>0</v>
      </c>
      <c r="N737" s="538">
        <f>J737</f>
        <v>82796.77919999999</v>
      </c>
      <c r="O737" s="582"/>
      <c r="P737" s="29">
        <v>2318.315581713352</v>
      </c>
      <c r="Q737" s="29">
        <v>0</v>
      </c>
      <c r="R737" s="29">
        <v>0</v>
      </c>
      <c r="S737" s="582"/>
      <c r="T737" s="564">
        <f>N737+P737+Q737+R737</f>
        <v>85115.094781713342</v>
      </c>
      <c r="U737" s="701">
        <f>T737/G737*1000</f>
        <v>3.8652802617621891</v>
      </c>
      <c r="V737" s="538">
        <f>T737-J737</f>
        <v>2318.315581713352</v>
      </c>
      <c r="W737" s="541">
        <f>U737/I737-1</f>
        <v>2.8000069617603485E-2</v>
      </c>
      <c r="X737" s="542"/>
      <c r="Z737" s="738"/>
      <c r="AB737" s="738"/>
      <c r="AD737" s="738"/>
      <c r="AF737" s="764"/>
    </row>
    <row r="738" spans="1:39">
      <c r="A738" s="1">
        <f>MAX(A$721:A737)+1</f>
        <v>332</v>
      </c>
      <c r="C738" s="714" t="s">
        <v>409</v>
      </c>
      <c r="D738" s="57"/>
      <c r="E738" s="522" t="s">
        <v>382</v>
      </c>
      <c r="F738" s="57"/>
      <c r="G738" s="29">
        <v>5417148</v>
      </c>
      <c r="H738" s="57"/>
      <c r="I738" s="701">
        <v>7.6999999999999999E-2</v>
      </c>
      <c r="J738" s="539">
        <f>G738*I738/1000</f>
        <v>417.12039600000003</v>
      </c>
      <c r="K738" s="57"/>
      <c r="L738" s="29">
        <v>0</v>
      </c>
      <c r="M738" s="29">
        <v>0</v>
      </c>
      <c r="N738" s="538">
        <f>J738</f>
        <v>417.12039600000003</v>
      </c>
      <c r="O738" s="583"/>
      <c r="P738" s="29">
        <v>11.397934342178701</v>
      </c>
      <c r="Q738" s="29">
        <v>0</v>
      </c>
      <c r="R738" s="29">
        <v>0</v>
      </c>
      <c r="S738" s="583"/>
      <c r="T738" s="564">
        <f>N738+P738+Q738+R738</f>
        <v>428.51833034217873</v>
      </c>
      <c r="U738" s="701">
        <f>T738/G738*1000</f>
        <v>7.9104047063543154E-2</v>
      </c>
      <c r="V738" s="538">
        <f>T738-J738</f>
        <v>11.397934342178701</v>
      </c>
      <c r="W738" s="541">
        <f>U738/I738-1</f>
        <v>2.7325286539521487E-2</v>
      </c>
      <c r="X738" s="542"/>
      <c r="Z738" s="738"/>
      <c r="AB738" s="738"/>
      <c r="AD738" s="738"/>
      <c r="AF738" s="764"/>
    </row>
    <row r="739" spans="1:39">
      <c r="A739" s="1">
        <f>MAX(A$721:A738)+1</f>
        <v>333</v>
      </c>
      <c r="B739" s="581"/>
      <c r="C739" s="526" t="s">
        <v>410</v>
      </c>
      <c r="D739" s="58"/>
      <c r="E739" s="522" t="s">
        <v>382</v>
      </c>
      <c r="F739" s="58"/>
      <c r="G739" s="29">
        <v>594000</v>
      </c>
      <c r="H739" s="58"/>
      <c r="I739" s="701">
        <v>3.19</v>
      </c>
      <c r="J739" s="539">
        <f>G739*I739/1000</f>
        <v>1894.86</v>
      </c>
      <c r="K739" s="58"/>
      <c r="L739" s="29">
        <v>0</v>
      </c>
      <c r="M739" s="29">
        <v>0</v>
      </c>
      <c r="N739" s="538">
        <f>J739</f>
        <v>1894.86</v>
      </c>
      <c r="O739" s="564"/>
      <c r="P739" s="29">
        <v>54.542559408437228</v>
      </c>
      <c r="Q739" s="29">
        <v>0</v>
      </c>
      <c r="R739" s="29">
        <v>0</v>
      </c>
      <c r="S739" s="564"/>
      <c r="T739" s="564">
        <f>N739+P739+Q739+R739</f>
        <v>1949.4025594084371</v>
      </c>
      <c r="U739" s="701">
        <f>T739/G739*1000</f>
        <v>3.2818224905865945</v>
      </c>
      <c r="V739" s="538">
        <f>T739-J739</f>
        <v>54.542559408437228</v>
      </c>
      <c r="W739" s="541">
        <f>U739/I739-1</f>
        <v>2.8784479807709928E-2</v>
      </c>
      <c r="X739" s="542"/>
      <c r="Z739" s="738"/>
      <c r="AB739" s="738"/>
      <c r="AD739" s="738"/>
      <c r="AF739" s="764"/>
    </row>
    <row r="740" spans="1:39">
      <c r="A740" s="1">
        <f>MAX(A$721:A739)+1</f>
        <v>334</v>
      </c>
      <c r="B740" s="57"/>
      <c r="C740" s="714" t="s">
        <v>409</v>
      </c>
      <c r="E740" s="522" t="s">
        <v>382</v>
      </c>
      <c r="G740" s="29">
        <v>594000</v>
      </c>
      <c r="I740" s="701">
        <v>7.6999999999999999E-2</v>
      </c>
      <c r="J740" s="539">
        <f>G740*I740/1000</f>
        <v>45.738</v>
      </c>
      <c r="L740" s="29">
        <v>0</v>
      </c>
      <c r="M740" s="29">
        <v>0</v>
      </c>
      <c r="N740" s="538">
        <f>J740</f>
        <v>45.738</v>
      </c>
      <c r="O740" s="64"/>
      <c r="P740" s="29">
        <v>1.2498039557446319</v>
      </c>
      <c r="Q740" s="29">
        <v>0</v>
      </c>
      <c r="R740" s="29">
        <v>0</v>
      </c>
      <c r="S740" s="64"/>
      <c r="T740" s="564">
        <f>N740+P740+Q740+R740</f>
        <v>46.987803955744631</v>
      </c>
      <c r="U740" s="701">
        <f>T740/G740*1000</f>
        <v>7.9104047063543154E-2</v>
      </c>
      <c r="V740" s="538">
        <f>T740-J740</f>
        <v>1.2498039557446319</v>
      </c>
      <c r="W740" s="541">
        <f>U740/I740-1</f>
        <v>2.7325286539521487E-2</v>
      </c>
      <c r="X740" s="542"/>
      <c r="Z740" s="738"/>
      <c r="AB740" s="738"/>
      <c r="AD740" s="738"/>
      <c r="AF740" s="764"/>
    </row>
    <row r="741" spans="1:39">
      <c r="A741" s="1">
        <f>MAX(A$721:A740)+1</f>
        <v>335</v>
      </c>
      <c r="B741" s="5"/>
      <c r="C741" s="12" t="s">
        <v>412</v>
      </c>
      <c r="D741" s="5"/>
      <c r="E741" s="522" t="s">
        <v>382</v>
      </c>
      <c r="F741" s="5"/>
      <c r="G741" s="29">
        <v>654156</v>
      </c>
      <c r="H741" s="5"/>
      <c r="I741" s="701">
        <v>4.6479999999999997</v>
      </c>
      <c r="J741" s="539">
        <f t="shared" ref="J741:J743" si="238">G741*I741/1000</f>
        <v>3040.5170880000001</v>
      </c>
      <c r="K741" s="5"/>
      <c r="L741" s="29">
        <v>0</v>
      </c>
      <c r="M741" s="29">
        <v>0</v>
      </c>
      <c r="N741" s="538">
        <f>J741</f>
        <v>3040.5170880000001</v>
      </c>
      <c r="O741" s="585"/>
      <c r="P741" s="29">
        <v>82.460136797450104</v>
      </c>
      <c r="Q741" s="29"/>
      <c r="R741" s="29"/>
      <c r="S741" s="585"/>
      <c r="T741" s="564">
        <f t="shared" ref="T741" si="239">N741+P741+Q741+R741</f>
        <v>3122.9772247974502</v>
      </c>
      <c r="U741" s="701">
        <f>T741/G741*1000</f>
        <v>4.7740557677334614</v>
      </c>
      <c r="V741" s="538">
        <f>T741-J741</f>
        <v>82.460136797450104</v>
      </c>
      <c r="W741" s="541">
        <f>U741/I741-1</f>
        <v>2.7120431956424662E-2</v>
      </c>
      <c r="X741" s="542"/>
      <c r="Z741" s="738"/>
      <c r="AB741" s="738"/>
      <c r="AD741" s="738"/>
      <c r="AF741" s="764"/>
    </row>
    <row r="742" spans="1:39">
      <c r="B742" s="58"/>
      <c r="C742" s="714" t="s">
        <v>413</v>
      </c>
      <c r="D742" s="58"/>
      <c r="E742" s="6"/>
      <c r="F742" s="58"/>
      <c r="G742" s="6"/>
      <c r="H742" s="58"/>
      <c r="I742" s="702"/>
      <c r="J742" s="539"/>
      <c r="K742" s="58"/>
      <c r="L742" s="538"/>
      <c r="M742" s="538"/>
      <c r="N742" s="538"/>
      <c r="O742" s="564"/>
      <c r="P742" s="29"/>
      <c r="Q742" s="29"/>
      <c r="R742" s="29"/>
      <c r="S742" s="564"/>
      <c r="T742" s="564"/>
      <c r="U742" s="701"/>
      <c r="V742" s="538"/>
      <c r="W742" s="541"/>
      <c r="X742" s="542"/>
      <c r="Z742" s="738"/>
      <c r="AB742" s="738"/>
      <c r="AD742" s="738"/>
      <c r="AF742" s="764"/>
    </row>
    <row r="743" spans="1:39">
      <c r="A743" s="1">
        <f>MAX(A$721:A742)+1</f>
        <v>336</v>
      </c>
      <c r="B743" s="58"/>
      <c r="C743" s="526" t="s">
        <v>411</v>
      </c>
      <c r="D743" s="58"/>
      <c r="E743" s="522" t="s">
        <v>382</v>
      </c>
      <c r="F743" s="58"/>
      <c r="G743" s="29">
        <v>4604866</v>
      </c>
      <c r="H743" s="58"/>
      <c r="I743" s="701">
        <v>0.56999999999999995</v>
      </c>
      <c r="J743" s="539">
        <f t="shared" si="238"/>
        <v>2624.7736199999995</v>
      </c>
      <c r="K743" s="58"/>
      <c r="L743" s="29">
        <v>0</v>
      </c>
      <c r="M743" s="29">
        <v>0</v>
      </c>
      <c r="N743" s="538">
        <f>J743</f>
        <v>2624.7736199999995</v>
      </c>
      <c r="O743" s="564"/>
      <c r="P743" s="29">
        <v>61.971232922274339</v>
      </c>
      <c r="Q743" s="29">
        <v>0</v>
      </c>
      <c r="R743" s="29">
        <v>0</v>
      </c>
      <c r="S743" s="564"/>
      <c r="T743" s="564">
        <f>N743+P743+Q743+R743</f>
        <v>2686.7448529222738</v>
      </c>
      <c r="U743" s="701">
        <f>T743/G743*1000</f>
        <v>0.58345777117559416</v>
      </c>
      <c r="V743" s="538">
        <f>T743-J743</f>
        <v>61.971232922274339</v>
      </c>
      <c r="W743" s="541">
        <f>U743/I743-1</f>
        <v>2.3610124869463567E-2</v>
      </c>
      <c r="X743" s="542"/>
      <c r="Z743" s="738"/>
      <c r="AB743" s="738"/>
      <c r="AD743" s="738"/>
      <c r="AF743" s="764"/>
    </row>
    <row r="744" spans="1:39">
      <c r="B744" s="58"/>
      <c r="C744" s="526"/>
      <c r="D744" s="58"/>
      <c r="E744" s="6"/>
      <c r="F744" s="58"/>
      <c r="G744" s="6"/>
      <c r="H744" s="58"/>
      <c r="I744" s="702"/>
      <c r="J744" s="539"/>
      <c r="K744" s="58"/>
      <c r="L744" s="538"/>
      <c r="M744" s="538"/>
      <c r="N744" s="538"/>
      <c r="O744" s="564"/>
      <c r="P744" s="29"/>
      <c r="Q744" s="538"/>
      <c r="R744" s="538"/>
      <c r="S744" s="564"/>
      <c r="T744" s="564"/>
      <c r="U744" s="701"/>
      <c r="V744" s="538"/>
      <c r="W744" s="541"/>
      <c r="X744" s="542"/>
      <c r="Z744" s="738"/>
      <c r="AB744" s="738"/>
      <c r="AD744" s="738"/>
      <c r="AF744" s="764"/>
    </row>
    <row r="745" spans="1:39">
      <c r="B745" s="58"/>
      <c r="C745" s="521" t="s">
        <v>414</v>
      </c>
      <c r="D745" s="58"/>
      <c r="E745" s="574"/>
      <c r="F745" s="58"/>
      <c r="G745" s="132"/>
      <c r="H745" s="58"/>
      <c r="I745" s="702"/>
      <c r="J745" s="539"/>
      <c r="K745" s="58"/>
      <c r="L745" s="538"/>
      <c r="M745" s="538"/>
      <c r="N745" s="538"/>
      <c r="O745" s="564"/>
      <c r="P745" s="29"/>
      <c r="Q745" s="538"/>
      <c r="R745" s="538"/>
      <c r="S745" s="564"/>
      <c r="T745" s="564"/>
      <c r="U745" s="701"/>
      <c r="V745" s="538"/>
      <c r="W745" s="541"/>
      <c r="X745" s="542"/>
      <c r="Z745" s="738"/>
      <c r="AB745" s="738"/>
      <c r="AD745" s="738"/>
      <c r="AF745" s="764"/>
    </row>
    <row r="746" spans="1:39">
      <c r="A746" s="1">
        <f>MAX(A$721:A745)+1</f>
        <v>337</v>
      </c>
      <c r="B746" s="58"/>
      <c r="C746" s="526" t="s">
        <v>415</v>
      </c>
      <c r="D746" s="58"/>
      <c r="E746" s="522" t="s">
        <v>382</v>
      </c>
      <c r="F746" s="58"/>
      <c r="G746" s="29">
        <v>393912</v>
      </c>
      <c r="H746" s="58"/>
      <c r="I746" s="701">
        <v>3.76</v>
      </c>
      <c r="J746" s="539">
        <f>G746*I746/1000</f>
        <v>1481.1091199999998</v>
      </c>
      <c r="K746" s="58"/>
      <c r="L746" s="29">
        <v>0</v>
      </c>
      <c r="M746" s="29">
        <v>0</v>
      </c>
      <c r="N746" s="538">
        <f>J746</f>
        <v>1481.1091199999998</v>
      </c>
      <c r="O746" s="564"/>
      <c r="P746" s="29">
        <v>41.471158471267472</v>
      </c>
      <c r="Q746" s="29">
        <v>0</v>
      </c>
      <c r="R746" s="29">
        <v>0</v>
      </c>
      <c r="S746" s="564"/>
      <c r="T746" s="564">
        <f>N746+P746+Q746+R746</f>
        <v>1522.5802784712673</v>
      </c>
      <c r="U746" s="701">
        <f>T746/G746*1000</f>
        <v>3.8652802617621886</v>
      </c>
      <c r="V746" s="538">
        <f t="shared" ref="V746:V750" si="240">T746-J746</f>
        <v>41.471158471267472</v>
      </c>
      <c r="W746" s="541">
        <f t="shared" ref="W746:W750" si="241">U746/I746-1</f>
        <v>2.8000069617603485E-2</v>
      </c>
      <c r="X746" s="542"/>
      <c r="Z746" s="738"/>
      <c r="AB746" s="738"/>
      <c r="AD746" s="738"/>
      <c r="AF746" s="764"/>
    </row>
    <row r="747" spans="1:39">
      <c r="A747" s="1">
        <f>MAX(A$721:A746)+1</f>
        <v>338</v>
      </c>
      <c r="C747" s="526" t="s">
        <v>410</v>
      </c>
      <c r="D747" s="501"/>
      <c r="E747" s="522" t="s">
        <v>382</v>
      </c>
      <c r="F747" s="501"/>
      <c r="G747" s="29">
        <v>0</v>
      </c>
      <c r="H747" s="501"/>
      <c r="I747" s="715">
        <f>I739</f>
        <v>3.19</v>
      </c>
      <c r="J747" s="538">
        <v>0</v>
      </c>
      <c r="K747" s="501"/>
      <c r="L747" s="29">
        <v>0</v>
      </c>
      <c r="M747" s="29">
        <v>0</v>
      </c>
      <c r="N747" s="29">
        <v>0</v>
      </c>
      <c r="O747" s="29"/>
      <c r="P747" s="29">
        <v>0</v>
      </c>
      <c r="Q747" s="29">
        <v>0</v>
      </c>
      <c r="R747" s="29">
        <v>0</v>
      </c>
      <c r="S747" s="29">
        <v>0</v>
      </c>
      <c r="T747" s="29">
        <v>0</v>
      </c>
      <c r="U747" s="715">
        <f>U739</f>
        <v>3.2818224905865945</v>
      </c>
      <c r="V747" s="538">
        <f t="shared" si="240"/>
        <v>0</v>
      </c>
      <c r="W747" s="541">
        <f t="shared" si="241"/>
        <v>2.8784479807709928E-2</v>
      </c>
      <c r="X747" s="29"/>
      <c r="Y747" s="29"/>
      <c r="Z747" s="29"/>
      <c r="AA747" s="765"/>
      <c r="AB747" s="29"/>
      <c r="AC747" s="542"/>
      <c r="AD747" s="252"/>
      <c r="AF747" s="252"/>
    </row>
    <row r="748" spans="1:39">
      <c r="A748" s="1">
        <f>MAX(A$721:A747)+1</f>
        <v>339</v>
      </c>
      <c r="B748" s="58"/>
      <c r="C748" s="526" t="s">
        <v>411</v>
      </c>
      <c r="E748" s="522" t="s">
        <v>382</v>
      </c>
      <c r="G748" s="29">
        <v>0</v>
      </c>
      <c r="I748" s="701">
        <v>0.56999999999999995</v>
      </c>
      <c r="J748" s="564">
        <f>G748*I748/1000</f>
        <v>0</v>
      </c>
      <c r="L748" s="29">
        <v>0</v>
      </c>
      <c r="M748" s="29">
        <v>0</v>
      </c>
      <c r="N748" s="538">
        <f>J748</f>
        <v>0</v>
      </c>
      <c r="O748" s="64"/>
      <c r="P748" s="29">
        <v>0</v>
      </c>
      <c r="Q748" s="29">
        <v>0</v>
      </c>
      <c r="R748" s="29">
        <v>0</v>
      </c>
      <c r="S748" s="64"/>
      <c r="T748" s="564">
        <f>N748+P748+Q748+R748</f>
        <v>0</v>
      </c>
      <c r="U748" s="701">
        <v>0.58345777117559416</v>
      </c>
      <c r="V748" s="538">
        <f t="shared" si="240"/>
        <v>0</v>
      </c>
      <c r="W748" s="541">
        <f t="shared" si="241"/>
        <v>2.3610124869463567E-2</v>
      </c>
      <c r="X748" s="542"/>
      <c r="Z748" s="738"/>
      <c r="AB748" s="738"/>
      <c r="AD748" s="738"/>
      <c r="AF748" s="764"/>
    </row>
    <row r="749" spans="1:39">
      <c r="A749" s="1">
        <f>MAX(A$721:A748)+1</f>
        <v>340</v>
      </c>
      <c r="C749" s="526" t="s">
        <v>416</v>
      </c>
      <c r="D749" s="58"/>
      <c r="E749" s="522" t="s">
        <v>382</v>
      </c>
      <c r="F749" s="58"/>
      <c r="G749" s="29">
        <v>12566292</v>
      </c>
      <c r="H749" s="58"/>
      <c r="I749" s="701">
        <v>0.88800000000000001</v>
      </c>
      <c r="J749" s="539">
        <f>G749*I749/1000</f>
        <v>11158.867296</v>
      </c>
      <c r="K749" s="58"/>
      <c r="L749" s="29">
        <v>0</v>
      </c>
      <c r="M749" s="29">
        <v>0</v>
      </c>
      <c r="N749" s="538">
        <f>J749</f>
        <v>11158.867296</v>
      </c>
      <c r="O749" s="564"/>
      <c r="P749" s="29">
        <v>261.07107448275929</v>
      </c>
      <c r="Q749" s="29">
        <v>0</v>
      </c>
      <c r="R749" s="29">
        <v>0</v>
      </c>
      <c r="S749" s="564"/>
      <c r="T749" s="564">
        <f>N749+P749+Q749+R749</f>
        <v>11419.93837048276</v>
      </c>
      <c r="U749" s="701">
        <f>T749/G749*1000</f>
        <v>0.90877550597127288</v>
      </c>
      <c r="V749" s="538">
        <f t="shared" si="240"/>
        <v>261.07107448275929</v>
      </c>
      <c r="W749" s="541">
        <f t="shared" si="241"/>
        <v>2.3395840057739647E-2</v>
      </c>
      <c r="X749" s="542"/>
      <c r="Z749" s="738"/>
      <c r="AB749" s="738"/>
      <c r="AD749" s="738"/>
      <c r="AF749" s="764"/>
    </row>
    <row r="750" spans="1:39">
      <c r="A750" s="1">
        <f>MAX(A$721:A749)+1</f>
        <v>341</v>
      </c>
      <c r="B750" s="58"/>
      <c r="C750" s="526" t="s">
        <v>417</v>
      </c>
      <c r="E750" s="522" t="s">
        <v>382</v>
      </c>
      <c r="G750" s="29">
        <v>759948</v>
      </c>
      <c r="I750" s="701">
        <v>1.5669999999999999</v>
      </c>
      <c r="J750" s="539">
        <f>G750*I750/1000</f>
        <v>1190.838516</v>
      </c>
      <c r="L750" s="29">
        <v>0</v>
      </c>
      <c r="M750" s="29">
        <v>0</v>
      </c>
      <c r="N750" s="538">
        <f>J750</f>
        <v>1190.838516</v>
      </c>
      <c r="O750" s="64"/>
      <c r="P750" s="29">
        <v>27.128237864001221</v>
      </c>
      <c r="Q750" s="29">
        <v>0</v>
      </c>
      <c r="R750" s="29">
        <v>0</v>
      </c>
      <c r="S750" s="64"/>
      <c r="T750" s="564">
        <f>N750+P750+Q750+R750</f>
        <v>1217.9667538640012</v>
      </c>
      <c r="U750" s="701">
        <f>T750/G750*1000</f>
        <v>1.6026974922810524</v>
      </c>
      <c r="V750" s="538">
        <f t="shared" si="240"/>
        <v>27.128237864001221</v>
      </c>
      <c r="W750" s="541">
        <f t="shared" si="241"/>
        <v>2.2780786395055763E-2</v>
      </c>
      <c r="X750" s="542"/>
      <c r="Z750" s="738"/>
      <c r="AB750" s="738"/>
      <c r="AD750" s="738"/>
      <c r="AF750" s="764"/>
    </row>
    <row r="751" spans="1:39">
      <c r="A751" s="1">
        <f>MAX(A$721:A750)+1</f>
        <v>342</v>
      </c>
      <c r="B751" s="58"/>
      <c r="C751" s="526" t="s">
        <v>411</v>
      </c>
      <c r="E751" s="522" t="s">
        <v>382</v>
      </c>
      <c r="G751" s="29">
        <v>0</v>
      </c>
      <c r="I751" s="715">
        <f>I743</f>
        <v>0.56999999999999995</v>
      </c>
      <c r="J751" s="564">
        <f>G751*I751/1000</f>
        <v>0</v>
      </c>
      <c r="L751" s="29">
        <v>0</v>
      </c>
      <c r="M751" s="29">
        <v>0</v>
      </c>
      <c r="N751" s="29">
        <v>0</v>
      </c>
      <c r="O751" s="29"/>
      <c r="P751" s="29">
        <v>0</v>
      </c>
      <c r="Q751" s="538">
        <f>SUM(J751-L751-M751-N751-O751-P751)</f>
        <v>0</v>
      </c>
      <c r="R751" s="64"/>
      <c r="S751" s="29">
        <v>0</v>
      </c>
      <c r="T751" s="29">
        <v>0</v>
      </c>
      <c r="U751" s="715">
        <f>U743</f>
        <v>0.58345777117559416</v>
      </c>
      <c r="V751" s="538">
        <f>T751-J751</f>
        <v>0</v>
      </c>
      <c r="W751" s="541">
        <f>U751/I751-1</f>
        <v>2.3610124869463567E-2</v>
      </c>
      <c r="X751" s="29"/>
      <c r="Y751" s="64"/>
      <c r="Z751" s="564"/>
      <c r="AB751" s="563"/>
      <c r="AD751" s="542"/>
      <c r="AF751" s="543"/>
      <c r="AG751" s="530"/>
      <c r="AH751" s="543"/>
      <c r="AI751" s="543"/>
      <c r="AJ751" s="530"/>
      <c r="AK751" s="543"/>
      <c r="AL751" s="530"/>
      <c r="AM751" s="560"/>
    </row>
    <row r="752" spans="1:39">
      <c r="C752" s="521" t="s">
        <v>418</v>
      </c>
      <c r="E752" s="30"/>
      <c r="G752" s="29"/>
      <c r="J752" s="567"/>
      <c r="L752" s="538"/>
      <c r="M752" s="538"/>
      <c r="N752" s="538"/>
      <c r="O752" s="64"/>
      <c r="P752" s="130"/>
      <c r="Q752" s="538"/>
      <c r="R752" s="538"/>
      <c r="S752" s="64"/>
      <c r="T752" s="564"/>
      <c r="U752" s="766"/>
      <c r="V752" s="538"/>
      <c r="W752" s="501"/>
    </row>
    <row r="753" spans="1:30">
      <c r="A753" s="1">
        <f>MAX(A$721:A752)+1</f>
        <v>343</v>
      </c>
      <c r="B753" s="58"/>
      <c r="C753" s="12" t="s">
        <v>419</v>
      </c>
      <c r="D753" s="58"/>
      <c r="E753" s="522" t="s">
        <v>331</v>
      </c>
      <c r="F753" s="58"/>
      <c r="G753" s="29">
        <v>349244186.82099998</v>
      </c>
      <c r="H753" s="58"/>
      <c r="I753" s="29">
        <v>0</v>
      </c>
      <c r="J753" s="29">
        <v>0</v>
      </c>
      <c r="K753" s="58"/>
      <c r="L753" s="29">
        <v>0</v>
      </c>
      <c r="M753" s="29">
        <v>0</v>
      </c>
      <c r="N753" s="538">
        <f>J753</f>
        <v>0</v>
      </c>
      <c r="O753" s="564"/>
      <c r="P753" s="29">
        <v>0</v>
      </c>
      <c r="Q753" s="29">
        <v>0</v>
      </c>
      <c r="R753" s="29">
        <v>0</v>
      </c>
      <c r="S753" s="564"/>
      <c r="T753" s="564">
        <f t="shared" ref="T753:T758" si="242">N753+P753+Q753+R753</f>
        <v>0</v>
      </c>
      <c r="U753" s="29">
        <v>0</v>
      </c>
      <c r="V753" s="538">
        <f>T753-J753</f>
        <v>0</v>
      </c>
      <c r="W753" s="29">
        <v>0</v>
      </c>
      <c r="X753" s="29"/>
    </row>
    <row r="754" spans="1:30">
      <c r="A754" s="1">
        <f>MAX(A$721:A753)+1</f>
        <v>344</v>
      </c>
      <c r="B754" s="58"/>
      <c r="C754" s="12" t="s">
        <v>420</v>
      </c>
      <c r="D754" s="58"/>
      <c r="E754" s="522" t="s">
        <v>331</v>
      </c>
      <c r="F754" s="58"/>
      <c r="G754" s="29">
        <v>17399687.223999999</v>
      </c>
      <c r="H754" s="58"/>
      <c r="I754" s="29">
        <v>0</v>
      </c>
      <c r="J754" s="29">
        <v>0</v>
      </c>
      <c r="K754" s="58"/>
      <c r="L754" s="29">
        <v>0</v>
      </c>
      <c r="M754" s="29">
        <v>0</v>
      </c>
      <c r="N754" s="538">
        <f>J754</f>
        <v>0</v>
      </c>
      <c r="O754" s="564"/>
      <c r="P754" s="29">
        <v>0</v>
      </c>
      <c r="Q754" s="29">
        <v>0</v>
      </c>
      <c r="R754" s="29">
        <v>0</v>
      </c>
      <c r="S754" s="564"/>
      <c r="T754" s="564">
        <f t="shared" si="242"/>
        <v>0</v>
      </c>
      <c r="U754" s="29">
        <v>0</v>
      </c>
      <c r="V754" s="538">
        <f>T754-J754</f>
        <v>0</v>
      </c>
      <c r="W754" s="29">
        <v>0</v>
      </c>
      <c r="X754" s="29"/>
    </row>
    <row r="755" spans="1:30">
      <c r="B755" s="58"/>
      <c r="C755" s="521"/>
      <c r="D755" s="58"/>
      <c r="E755" s="574"/>
      <c r="F755" s="58"/>
      <c r="G755" s="29"/>
      <c r="H755" s="58"/>
      <c r="I755" s="58"/>
      <c r="J755" s="539"/>
      <c r="K755" s="58"/>
      <c r="L755" s="538"/>
      <c r="M755" s="538"/>
      <c r="N755" s="538"/>
      <c r="O755" s="564"/>
      <c r="P755" s="132"/>
      <c r="Q755" s="538"/>
      <c r="R755" s="538"/>
      <c r="S755" s="564"/>
      <c r="T755" s="564"/>
      <c r="U755" s="564"/>
      <c r="V755" s="538"/>
      <c r="W755" s="501"/>
    </row>
    <row r="756" spans="1:30">
      <c r="B756" s="58"/>
      <c r="C756" s="521" t="s">
        <v>421</v>
      </c>
      <c r="D756" s="58"/>
      <c r="E756" s="30"/>
      <c r="F756" s="58"/>
      <c r="G756" s="132"/>
      <c r="H756" s="58"/>
      <c r="I756" s="58"/>
      <c r="K756" s="58"/>
      <c r="L756" s="538"/>
      <c r="M756" s="538"/>
      <c r="N756" s="538"/>
      <c r="O756" s="564"/>
      <c r="P756" s="132"/>
      <c r="Q756" s="538"/>
      <c r="R756" s="538"/>
      <c r="S756" s="564"/>
      <c r="T756" s="564"/>
      <c r="U756" s="564"/>
      <c r="V756" s="538"/>
      <c r="W756" s="501"/>
    </row>
    <row r="757" spans="1:30">
      <c r="A757" s="1">
        <f>MAX(A$721:A756)+1</f>
        <v>345</v>
      </c>
      <c r="C757" s="12" t="s">
        <v>419</v>
      </c>
      <c r="E757" s="522" t="s">
        <v>331</v>
      </c>
      <c r="G757" s="29">
        <v>4834911.8473035097</v>
      </c>
      <c r="I757" s="29">
        <v>0</v>
      </c>
      <c r="J757" s="29">
        <v>0</v>
      </c>
      <c r="L757" s="29">
        <v>0</v>
      </c>
      <c r="M757" s="29">
        <v>0</v>
      </c>
      <c r="N757" s="538">
        <f>J758</f>
        <v>0</v>
      </c>
      <c r="O757" s="64"/>
      <c r="P757" s="29">
        <v>0</v>
      </c>
      <c r="Q757" s="29">
        <v>0</v>
      </c>
      <c r="R757" s="29">
        <v>0</v>
      </c>
      <c r="S757" s="64"/>
      <c r="T757" s="564">
        <f t="shared" si="242"/>
        <v>0</v>
      </c>
      <c r="U757" s="29">
        <v>0</v>
      </c>
      <c r="V757" s="538">
        <f>T757-J758</f>
        <v>0</v>
      </c>
      <c r="W757" s="29">
        <v>0</v>
      </c>
      <c r="X757" s="29"/>
    </row>
    <row r="758" spans="1:30">
      <c r="A758" s="1">
        <f>MAX(A$721:A757)+1</f>
        <v>346</v>
      </c>
      <c r="B758" s="58"/>
      <c r="C758" s="12" t="s">
        <v>420</v>
      </c>
      <c r="D758" s="58"/>
      <c r="E758" s="522" t="s">
        <v>331</v>
      </c>
      <c r="F758" s="58"/>
      <c r="G758" s="29">
        <v>204967728.36268201</v>
      </c>
      <c r="H758" s="58"/>
      <c r="I758" s="29">
        <v>0</v>
      </c>
      <c r="J758" s="29">
        <v>0</v>
      </c>
      <c r="K758" s="58"/>
      <c r="L758" s="29">
        <v>0</v>
      </c>
      <c r="M758" s="29">
        <v>0</v>
      </c>
      <c r="N758" s="538">
        <f>J759</f>
        <v>0</v>
      </c>
      <c r="O758" s="564"/>
      <c r="P758" s="29">
        <v>0</v>
      </c>
      <c r="Q758" s="29">
        <v>0</v>
      </c>
      <c r="R758" s="29">
        <v>0</v>
      </c>
      <c r="S758" s="564"/>
      <c r="T758" s="564">
        <f t="shared" si="242"/>
        <v>0</v>
      </c>
      <c r="U758" s="29">
        <v>0</v>
      </c>
      <c r="V758" s="538">
        <f>T758-J759</f>
        <v>0</v>
      </c>
      <c r="W758" s="29">
        <v>0</v>
      </c>
      <c r="X758" s="29"/>
    </row>
    <row r="759" spans="1:30">
      <c r="B759" s="58"/>
      <c r="D759" s="58"/>
      <c r="E759" s="30"/>
      <c r="F759" s="58"/>
      <c r="G759" s="29"/>
      <c r="H759" s="58"/>
      <c r="I759" s="58"/>
      <c r="J759" s="539"/>
      <c r="K759" s="58"/>
      <c r="L759" s="538"/>
      <c r="M759" s="538"/>
      <c r="N759" s="538"/>
      <c r="O759" s="564"/>
      <c r="P759" s="132"/>
      <c r="Q759" s="538"/>
      <c r="R759" s="538"/>
      <c r="S759" s="564"/>
      <c r="T759" s="564"/>
      <c r="U759" s="766"/>
      <c r="V759" s="538"/>
      <c r="W759" s="501"/>
    </row>
    <row r="760" spans="1:30" ht="12.95" thickBot="1">
      <c r="A760" s="1">
        <f>MAX(A$721:A759)+1</f>
        <v>347</v>
      </c>
      <c r="B760" s="58"/>
      <c r="C760" s="16" t="s">
        <v>422</v>
      </c>
      <c r="D760" s="58"/>
      <c r="E760" s="30"/>
      <c r="F760" s="58"/>
      <c r="G760" s="439">
        <f>SUM(G737:G759)</f>
        <v>624051256.25498545</v>
      </c>
      <c r="H760" s="58"/>
      <c r="I760" s="712">
        <f>J760/G760*100</f>
        <v>1.6769552530672263E-2</v>
      </c>
      <c r="J760" s="627">
        <f>SUM(J737:J758)</f>
        <v>104650.60323599997</v>
      </c>
      <c r="K760" s="539"/>
      <c r="L760" s="628">
        <f>SUM(L737:L758)</f>
        <v>0</v>
      </c>
      <c r="M760" s="628">
        <f>SUM(M737:M758)</f>
        <v>0</v>
      </c>
      <c r="N760" s="628">
        <f>SUM(N737:N758)</f>
        <v>104650.60323599997</v>
      </c>
      <c r="O760" s="564"/>
      <c r="P760" s="628">
        <f>SUM(P737:P758)</f>
        <v>2859.6077199574652</v>
      </c>
      <c r="Q760" s="628">
        <f>SUM(Q737:Q758)</f>
        <v>0</v>
      </c>
      <c r="R760" s="628">
        <f>SUM(R737:R758)</f>
        <v>0</v>
      </c>
      <c r="S760" s="564"/>
      <c r="T760" s="628">
        <f>SUM(T737:T758)</f>
        <v>107510.21095595747</v>
      </c>
      <c r="U760" s="712">
        <f>T760/G760*100</f>
        <v>1.7227785358712448E-2</v>
      </c>
      <c r="V760" s="628">
        <f>SUM(V737:V758)</f>
        <v>2859.6077199574652</v>
      </c>
      <c r="W760" s="629">
        <f>U760/I760-1</f>
        <v>2.7325286539521931E-2</v>
      </c>
      <c r="X760" s="630"/>
      <c r="Z760" s="738"/>
      <c r="AB760" s="738"/>
      <c r="AD760" s="738"/>
    </row>
    <row r="761" spans="1:30" ht="12.95" thickTop="1">
      <c r="A761" s="6"/>
      <c r="B761" s="58"/>
      <c r="C761" s="16"/>
      <c r="D761" s="58"/>
      <c r="E761" s="30"/>
      <c r="F761" s="58"/>
      <c r="G761" s="132"/>
      <c r="H761" s="58"/>
      <c r="I761" s="548"/>
      <c r="J761" s="539"/>
      <c r="K761" s="539"/>
      <c r="L761" s="564"/>
      <c r="M761" s="564"/>
      <c r="N761" s="564"/>
      <c r="O761" s="564"/>
      <c r="P761" s="564"/>
      <c r="Q761" s="564"/>
      <c r="R761" s="564"/>
      <c r="S761" s="564"/>
      <c r="T761" s="564"/>
      <c r="U761" s="564"/>
      <c r="V761" s="564"/>
      <c r="W761" s="630"/>
      <c r="X761" s="630"/>
    </row>
    <row r="762" spans="1:30">
      <c r="L762" s="2"/>
      <c r="M762" s="2"/>
      <c r="N762" s="501"/>
      <c r="Q762" s="501"/>
      <c r="R762" s="501"/>
      <c r="V762" s="501"/>
      <c r="W762" s="501"/>
    </row>
    <row r="763" spans="1:30">
      <c r="L763" s="2"/>
      <c r="M763" s="2"/>
      <c r="N763" s="501"/>
      <c r="Q763" s="501"/>
      <c r="R763" s="501"/>
      <c r="V763" s="538"/>
      <c r="W763" s="501"/>
    </row>
    <row r="764" spans="1:30">
      <c r="L764" s="2"/>
      <c r="M764" s="2"/>
      <c r="N764" s="501"/>
      <c r="Q764" s="501"/>
      <c r="R764" s="501"/>
      <c r="V764" s="501"/>
      <c r="W764" s="501"/>
    </row>
    <row r="765" spans="1:30">
      <c r="A765" s="1156" t="s">
        <v>279</v>
      </c>
      <c r="B765" s="1156"/>
      <c r="C765" s="1156"/>
      <c r="D765" s="1156"/>
      <c r="E765" s="1156"/>
      <c r="F765" s="1156"/>
      <c r="G765" s="1156"/>
      <c r="H765" s="1156"/>
      <c r="I765" s="1156"/>
      <c r="J765" s="1156"/>
      <c r="K765" s="1156"/>
      <c r="L765" s="1156"/>
      <c r="M765" s="1156"/>
      <c r="N765" s="1156"/>
      <c r="O765" s="1156"/>
      <c r="P765" s="1156"/>
      <c r="Q765" s="1156"/>
      <c r="R765" s="1156"/>
      <c r="S765" s="1156"/>
      <c r="T765" s="1156"/>
      <c r="U765" s="1156"/>
      <c r="V765" s="1156"/>
      <c r="W765" s="1156"/>
      <c r="X765" s="531"/>
    </row>
    <row r="766" spans="1:30">
      <c r="A766" s="1156" t="s">
        <v>478</v>
      </c>
      <c r="B766" s="1156"/>
      <c r="C766" s="1156"/>
      <c r="D766" s="1156"/>
      <c r="E766" s="1156"/>
      <c r="F766" s="1156"/>
      <c r="G766" s="1156"/>
      <c r="H766" s="1156"/>
      <c r="I766" s="1156"/>
      <c r="J766" s="1156"/>
      <c r="K766" s="1156"/>
      <c r="L766" s="1156"/>
      <c r="M766" s="1156"/>
      <c r="N766" s="1156"/>
      <c r="O766" s="1156"/>
      <c r="P766" s="1156"/>
      <c r="Q766" s="1156"/>
      <c r="R766" s="1156"/>
      <c r="S766" s="1156"/>
      <c r="T766" s="1156"/>
      <c r="U766" s="1156"/>
      <c r="V766" s="1156"/>
      <c r="W766" s="1156"/>
      <c r="X766" s="737"/>
      <c r="Y766" s="737"/>
    </row>
    <row r="767" spans="1:30">
      <c r="A767" s="57"/>
      <c r="B767" s="57"/>
      <c r="C767" s="57"/>
      <c r="D767" s="57"/>
      <c r="E767" s="3"/>
      <c r="F767" s="57"/>
      <c r="G767" s="3"/>
      <c r="H767" s="57"/>
      <c r="I767" s="57"/>
      <c r="J767" s="57"/>
      <c r="K767" s="57"/>
      <c r="L767" s="57"/>
      <c r="M767" s="57"/>
      <c r="N767" s="501"/>
      <c r="O767" s="57"/>
      <c r="P767" s="57"/>
      <c r="Q767" s="501"/>
      <c r="R767" s="501"/>
      <c r="S767" s="57"/>
      <c r="T767" s="57"/>
      <c r="U767" s="57"/>
      <c r="V767" s="501"/>
      <c r="W767" s="501"/>
    </row>
    <row r="768" spans="1:30" ht="26.65" customHeight="1">
      <c r="A768" s="3"/>
      <c r="B768" s="3"/>
      <c r="C768" s="3"/>
      <c r="D768" s="3"/>
      <c r="E768" s="57"/>
      <c r="F768" s="1152" t="s">
        <v>231</v>
      </c>
      <c r="G768" s="1152"/>
      <c r="H768" s="1152"/>
      <c r="I768" s="1152"/>
      <c r="J768" s="1152"/>
      <c r="K768" s="3"/>
      <c r="L768" s="1157" t="s">
        <v>94</v>
      </c>
      <c r="M768" s="1157"/>
      <c r="N768" s="58"/>
      <c r="O768" s="3"/>
      <c r="P768" s="59"/>
      <c r="Q768" s="1157" t="s">
        <v>95</v>
      </c>
      <c r="R768" s="1157"/>
      <c r="S768" s="3"/>
      <c r="T768" s="1152" t="s">
        <v>472</v>
      </c>
      <c r="U768" s="1152"/>
      <c r="V768" s="1152"/>
      <c r="W768" s="1152"/>
      <c r="X768" s="6"/>
    </row>
    <row r="769" spans="1:32" ht="37.5">
      <c r="A769" s="5" t="s">
        <v>56</v>
      </c>
      <c r="B769" s="5"/>
      <c r="C769" s="5"/>
      <c r="D769" s="5"/>
      <c r="E769" s="6" t="s">
        <v>233</v>
      </c>
      <c r="F769" s="5"/>
      <c r="G769" s="17" t="s">
        <v>234</v>
      </c>
      <c r="H769" s="5"/>
      <c r="I769" s="17" t="s">
        <v>235</v>
      </c>
      <c r="J769" s="17" t="s">
        <v>101</v>
      </c>
      <c r="K769" s="5"/>
      <c r="L769" s="17" t="s">
        <v>106</v>
      </c>
      <c r="M769" s="17" t="s">
        <v>236</v>
      </c>
      <c r="N769" s="5" t="s">
        <v>239</v>
      </c>
      <c r="O769" s="5"/>
      <c r="P769" s="5" t="s">
        <v>240</v>
      </c>
      <c r="Q769" s="17" t="s">
        <v>106</v>
      </c>
      <c r="R769" s="17" t="s">
        <v>236</v>
      </c>
      <c r="S769" s="5"/>
      <c r="T769" s="17" t="s">
        <v>241</v>
      </c>
      <c r="U769" s="17" t="s">
        <v>242</v>
      </c>
      <c r="V769" s="17" t="s">
        <v>243</v>
      </c>
      <c r="W769" s="5" t="s">
        <v>244</v>
      </c>
      <c r="X769" s="5"/>
    </row>
    <row r="770" spans="1:32">
      <c r="A770" s="237" t="s">
        <v>57</v>
      </c>
      <c r="B770" s="58"/>
      <c r="C770" s="59" t="s">
        <v>194</v>
      </c>
      <c r="D770" s="58"/>
      <c r="E770" s="237" t="s">
        <v>245</v>
      </c>
      <c r="F770" s="58"/>
      <c r="G770" s="237" t="s">
        <v>246</v>
      </c>
      <c r="H770" s="58"/>
      <c r="I770" s="237" t="s">
        <v>397</v>
      </c>
      <c r="J770" s="237" t="s">
        <v>248</v>
      </c>
      <c r="K770" s="58"/>
      <c r="L770" s="237" t="s">
        <v>248</v>
      </c>
      <c r="M770" s="237" t="s">
        <v>248</v>
      </c>
      <c r="N770" s="237" t="s">
        <v>248</v>
      </c>
      <c r="O770" s="58"/>
      <c r="P770" s="237" t="s">
        <v>248</v>
      </c>
      <c r="Q770" s="237" t="s">
        <v>248</v>
      </c>
      <c r="R770" s="237" t="s">
        <v>248</v>
      </c>
      <c r="S770" s="58"/>
      <c r="T770" s="237" t="s">
        <v>248</v>
      </c>
      <c r="U770" s="237" t="s">
        <v>397</v>
      </c>
      <c r="V770" s="237" t="s">
        <v>248</v>
      </c>
      <c r="W770" s="237" t="s">
        <v>249</v>
      </c>
      <c r="X770" s="6"/>
    </row>
    <row r="771" spans="1:32">
      <c r="A771" s="6"/>
      <c r="B771" s="58"/>
      <c r="C771" s="58"/>
      <c r="D771" s="58"/>
      <c r="E771" s="6"/>
      <c r="F771" s="58"/>
      <c r="G771" s="6" t="s">
        <v>9</v>
      </c>
      <c r="H771" s="6"/>
      <c r="I771" s="6" t="s">
        <v>10</v>
      </c>
      <c r="J771" s="6" t="s">
        <v>58</v>
      </c>
      <c r="K771" s="6"/>
      <c r="L771" s="123" t="s">
        <v>12</v>
      </c>
      <c r="M771" s="123" t="s">
        <v>13</v>
      </c>
      <c r="N771" s="6" t="s">
        <v>473</v>
      </c>
      <c r="O771" s="6"/>
      <c r="P771" s="6" t="s">
        <v>474</v>
      </c>
      <c r="Q771" s="6" t="s">
        <v>210</v>
      </c>
      <c r="R771" s="6" t="s">
        <v>118</v>
      </c>
      <c r="S771" s="6"/>
      <c r="T771" s="6" t="s">
        <v>475</v>
      </c>
      <c r="U771" s="6" t="s">
        <v>120</v>
      </c>
      <c r="V771" s="6" t="s">
        <v>476</v>
      </c>
      <c r="W771" s="6" t="s">
        <v>477</v>
      </c>
    </row>
    <row r="772" spans="1:32" ht="12.95">
      <c r="A772" s="6"/>
      <c r="B772" s="58"/>
      <c r="C772" s="9" t="s">
        <v>162</v>
      </c>
      <c r="D772" s="58"/>
      <c r="E772" s="128"/>
      <c r="F772" s="58"/>
      <c r="G772" s="575"/>
      <c r="H772" s="58"/>
      <c r="I772" s="58"/>
      <c r="J772" s="58"/>
      <c r="K772" s="58"/>
      <c r="L772" s="538"/>
      <c r="M772" s="538"/>
      <c r="N772" s="538"/>
      <c r="O772" s="564"/>
      <c r="P772" s="564"/>
      <c r="Q772" s="538"/>
      <c r="R772" s="538"/>
      <c r="S772" s="564"/>
      <c r="T772" s="564"/>
      <c r="U772" s="564"/>
      <c r="V772" s="538"/>
      <c r="W772" s="501"/>
    </row>
    <row r="773" spans="1:32">
      <c r="A773" s="6"/>
      <c r="C773" s="10" t="s">
        <v>423</v>
      </c>
      <c r="E773" s="522"/>
      <c r="G773" s="29"/>
      <c r="L773" s="538"/>
      <c r="M773" s="538"/>
      <c r="N773" s="538"/>
      <c r="O773" s="64"/>
      <c r="P773" s="64"/>
      <c r="Q773" s="538"/>
      <c r="R773" s="538"/>
      <c r="S773" s="64"/>
      <c r="T773" s="64"/>
      <c r="U773" s="64"/>
      <c r="V773" s="538"/>
      <c r="W773" s="501"/>
    </row>
    <row r="774" spans="1:32" ht="24.95">
      <c r="A774" s="1">
        <v>348</v>
      </c>
      <c r="C774" s="717" t="s">
        <v>424</v>
      </c>
      <c r="E774" s="522" t="s">
        <v>425</v>
      </c>
      <c r="G774" s="29">
        <v>443124</v>
      </c>
      <c r="I774" s="701">
        <v>2.3260000000000001</v>
      </c>
      <c r="J774" s="567">
        <v>959.80658399999993</v>
      </c>
      <c r="L774" s="29">
        <v>0</v>
      </c>
      <c r="M774" s="29">
        <v>0</v>
      </c>
      <c r="N774" s="64">
        <f>J774</f>
        <v>959.80658399999993</v>
      </c>
      <c r="O774" s="64"/>
      <c r="P774" s="29">
        <v>26.226989930319291</v>
      </c>
      <c r="Q774" s="29">
        <v>0</v>
      </c>
      <c r="R774" s="29">
        <v>0</v>
      </c>
      <c r="S774" s="64"/>
      <c r="T774" s="64">
        <f>N774+P774+Q774+R774</f>
        <v>986.03357393031922</v>
      </c>
      <c r="U774" s="701">
        <f>T774/G774*1000</f>
        <v>2.2251865706446035</v>
      </c>
      <c r="V774" s="538">
        <f>T774-J774</f>
        <v>26.226989930319291</v>
      </c>
      <c r="W774" s="559">
        <f>U774/I774-1</f>
        <v>-4.3341973067668405E-2</v>
      </c>
      <c r="X774" s="542"/>
      <c r="Z774" s="738"/>
      <c r="AB774" s="738"/>
      <c r="AD774" s="738"/>
      <c r="AF774" s="764"/>
    </row>
    <row r="775" spans="1:32">
      <c r="A775" s="6"/>
      <c r="B775" s="58"/>
      <c r="C775" s="717"/>
      <c r="D775" s="58"/>
      <c r="E775" s="522"/>
      <c r="F775" s="58"/>
      <c r="G775" s="29"/>
      <c r="H775" s="58"/>
      <c r="I775" s="701"/>
      <c r="J775" s="64"/>
      <c r="K775" s="58"/>
      <c r="L775" s="29"/>
      <c r="M775" s="29"/>
      <c r="N775" s="64"/>
      <c r="O775" s="564"/>
      <c r="P775" s="29"/>
      <c r="Q775" s="29"/>
      <c r="R775" s="29"/>
      <c r="S775" s="564"/>
      <c r="T775" s="64"/>
      <c r="U775" s="767"/>
      <c r="V775" s="538"/>
      <c r="W775" s="541"/>
      <c r="X775" s="542"/>
      <c r="Z775" s="738"/>
      <c r="AB775" s="738"/>
      <c r="AD775" s="738"/>
      <c r="AF775" s="764"/>
    </row>
    <row r="776" spans="1:32">
      <c r="A776" s="6">
        <f>MAX(A$773:A775)+1</f>
        <v>349</v>
      </c>
      <c r="B776" s="58"/>
      <c r="C776" s="12" t="s">
        <v>426</v>
      </c>
      <c r="D776" s="58"/>
      <c r="E776" s="522" t="s">
        <v>425</v>
      </c>
      <c r="F776" s="58"/>
      <c r="G776" s="29">
        <v>2443512</v>
      </c>
      <c r="H776" s="58"/>
      <c r="I776" s="701">
        <v>3.2000000000000001E-2</v>
      </c>
      <c r="J776" s="567">
        <f t="shared" ref="J776:J784" si="243">G776*I776/1000</f>
        <v>78.192384000000004</v>
      </c>
      <c r="K776" s="58"/>
      <c r="L776" s="29">
        <v>0</v>
      </c>
      <c r="M776" s="29">
        <v>0</v>
      </c>
      <c r="N776" s="64">
        <f>J776</f>
        <v>78.192384000000004</v>
      </c>
      <c r="O776" s="564"/>
      <c r="P776" s="29">
        <v>2.1366292980083017</v>
      </c>
      <c r="Q776" s="29">
        <v>0</v>
      </c>
      <c r="R776" s="29">
        <v>0</v>
      </c>
      <c r="S776" s="564"/>
      <c r="T776" s="64">
        <f t="shared" ref="T776:T792" si="244">N776+P776+Q776+R776</f>
        <v>80.329013298008306</v>
      </c>
      <c r="U776" s="701">
        <f>T776/G776*1000</f>
        <v>3.2874409169264693E-2</v>
      </c>
      <c r="V776" s="538">
        <f>T776-J776</f>
        <v>2.1366292980083017</v>
      </c>
      <c r="W776" s="541">
        <f>U776/I776-1</f>
        <v>2.7325286539521709E-2</v>
      </c>
      <c r="X776" s="542"/>
      <c r="Z776" s="738"/>
      <c r="AB776" s="738"/>
      <c r="AD776" s="738"/>
      <c r="AF776" s="764"/>
    </row>
    <row r="777" spans="1:32">
      <c r="A777" s="6">
        <f>MAX(A$773:A776)+1</f>
        <v>350</v>
      </c>
      <c r="B777" s="58"/>
      <c r="C777" s="718" t="s">
        <v>409</v>
      </c>
      <c r="D777" s="58"/>
      <c r="E777" s="522" t="s">
        <v>425</v>
      </c>
      <c r="F777" s="58"/>
      <c r="G777" s="29">
        <v>1329372</v>
      </c>
      <c r="H777" s="58"/>
      <c r="I777" s="701">
        <v>7.6999999999999999E-2</v>
      </c>
      <c r="J777" s="567">
        <f t="shared" si="243"/>
        <v>102.361644</v>
      </c>
      <c r="K777" s="58"/>
      <c r="L777" s="29">
        <v>0</v>
      </c>
      <c r="M777" s="29">
        <v>0</v>
      </c>
      <c r="N777" s="64">
        <f>J777</f>
        <v>102.361644</v>
      </c>
      <c r="O777" s="564"/>
      <c r="P777" s="29">
        <v>2.797061252956496</v>
      </c>
      <c r="Q777" s="29">
        <v>0</v>
      </c>
      <c r="R777" s="29">
        <v>0</v>
      </c>
      <c r="S777" s="564"/>
      <c r="T777" s="64">
        <f t="shared" si="244"/>
        <v>105.15870525295649</v>
      </c>
      <c r="U777" s="701">
        <f>T777/G777*1000</f>
        <v>7.9104047063543154E-2</v>
      </c>
      <c r="V777" s="538">
        <f>T777-J777</f>
        <v>2.797061252956496</v>
      </c>
      <c r="W777" s="541">
        <f>U777/I777-1</f>
        <v>2.7325286539521487E-2</v>
      </c>
      <c r="X777" s="542"/>
      <c r="Z777" s="738"/>
      <c r="AB777" s="738"/>
      <c r="AD777" s="738"/>
      <c r="AF777" s="764"/>
    </row>
    <row r="778" spans="1:32">
      <c r="A778" s="6">
        <f>MAX(A$773:A777)+1</f>
        <v>351</v>
      </c>
      <c r="B778" s="58"/>
      <c r="C778" s="12" t="s">
        <v>427</v>
      </c>
      <c r="D778" s="58"/>
      <c r="E778" s="522" t="s">
        <v>425</v>
      </c>
      <c r="F778" s="58"/>
      <c r="G778" s="29">
        <v>6000000</v>
      </c>
      <c r="H778" s="58"/>
      <c r="I778" s="701">
        <v>0.152</v>
      </c>
      <c r="J778" s="567">
        <f t="shared" si="243"/>
        <v>912</v>
      </c>
      <c r="K778" s="58"/>
      <c r="L778" s="29">
        <v>0</v>
      </c>
      <c r="M778" s="29">
        <v>0</v>
      </c>
      <c r="N778" s="64">
        <f>J778</f>
        <v>912</v>
      </c>
      <c r="O778" s="564"/>
      <c r="P778" s="29">
        <v>24.920661324043635</v>
      </c>
      <c r="Q778" s="29">
        <v>0</v>
      </c>
      <c r="R778" s="29">
        <v>0</v>
      </c>
      <c r="S778" s="564"/>
      <c r="T778" s="64">
        <f t="shared" si="244"/>
        <v>936.92066132404364</v>
      </c>
      <c r="U778" s="701">
        <f>T778/G778*1000</f>
        <v>0.15615344355400726</v>
      </c>
      <c r="V778" s="538">
        <f>T778-J778</f>
        <v>24.920661324043635</v>
      </c>
      <c r="W778" s="541">
        <f>U778/I778-1</f>
        <v>2.7325286539521487E-2</v>
      </c>
      <c r="X778" s="542"/>
      <c r="Z778" s="738"/>
      <c r="AB778" s="738"/>
      <c r="AD778" s="738"/>
      <c r="AF778" s="764"/>
    </row>
    <row r="779" spans="1:32">
      <c r="A779" s="6"/>
      <c r="B779" s="58"/>
      <c r="D779" s="58"/>
      <c r="E779" s="574"/>
      <c r="F779" s="58"/>
      <c r="G779" s="29"/>
      <c r="H779" s="58"/>
      <c r="I779" s="706"/>
      <c r="J779" s="567"/>
      <c r="K779" s="58"/>
      <c r="L779" s="538"/>
      <c r="M779" s="538"/>
      <c r="N779" s="64"/>
      <c r="O779" s="564"/>
      <c r="P779" s="29"/>
      <c r="Q779" s="538"/>
      <c r="R779" s="538"/>
      <c r="S779" s="564"/>
      <c r="T779" s="64"/>
      <c r="U779" s="768"/>
      <c r="V779" s="538"/>
      <c r="W779" s="501"/>
      <c r="AD779" s="738"/>
    </row>
    <row r="780" spans="1:32">
      <c r="A780" s="6"/>
      <c r="B780" s="58"/>
      <c r="C780" s="10" t="s">
        <v>428</v>
      </c>
      <c r="D780" s="58"/>
      <c r="E780" s="574"/>
      <c r="F780" s="58"/>
      <c r="G780" s="29"/>
      <c r="H780" s="58"/>
      <c r="I780" s="58"/>
      <c r="J780" s="567"/>
      <c r="K780" s="58"/>
      <c r="L780" s="538"/>
      <c r="M780" s="538"/>
      <c r="N780" s="64"/>
      <c r="O780" s="564"/>
      <c r="P780" s="29"/>
      <c r="Q780" s="538"/>
      <c r="R780" s="538"/>
      <c r="S780" s="564"/>
      <c r="T780" s="64"/>
      <c r="U780" s="768"/>
      <c r="V780" s="538"/>
      <c r="W780" s="501"/>
    </row>
    <row r="781" spans="1:32">
      <c r="A781" s="6"/>
      <c r="B781" s="58"/>
      <c r="C781" s="526" t="s">
        <v>419</v>
      </c>
      <c r="D781" s="58"/>
      <c r="E781" s="30"/>
      <c r="F781" s="58"/>
      <c r="G781" s="29"/>
      <c r="H781" s="58"/>
      <c r="I781" s="58"/>
      <c r="J781" s="567"/>
      <c r="K781" s="58"/>
      <c r="L781" s="538"/>
      <c r="M781" s="538"/>
      <c r="N781" s="64"/>
      <c r="O781" s="564"/>
      <c r="P781" s="29"/>
      <c r="Q781" s="538"/>
      <c r="R781" s="538"/>
      <c r="S781" s="564"/>
      <c r="T781" s="64"/>
      <c r="U781" s="768"/>
      <c r="V781" s="538"/>
      <c r="W781" s="501"/>
    </row>
    <row r="782" spans="1:32">
      <c r="A782" s="6">
        <f>MAX(A$773:A781)+1</f>
        <v>352</v>
      </c>
      <c r="B782" s="58"/>
      <c r="C782" s="719" t="s">
        <v>429</v>
      </c>
      <c r="D782" s="58"/>
      <c r="E782" s="522" t="s">
        <v>331</v>
      </c>
      <c r="F782" s="58"/>
      <c r="G782" s="29">
        <v>182561.93109999999</v>
      </c>
      <c r="H782" s="58"/>
      <c r="I782" s="29">
        <v>0</v>
      </c>
      <c r="J782" s="64">
        <f t="shared" si="243"/>
        <v>0</v>
      </c>
      <c r="K782" s="58"/>
      <c r="L782" s="29">
        <v>0</v>
      </c>
      <c r="M782" s="29">
        <v>0</v>
      </c>
      <c r="N782" s="64">
        <f>J782</f>
        <v>0</v>
      </c>
      <c r="O782" s="564"/>
      <c r="P782" s="29">
        <v>0</v>
      </c>
      <c r="Q782" s="29">
        <v>0</v>
      </c>
      <c r="R782" s="29">
        <v>0</v>
      </c>
      <c r="S782" s="564"/>
      <c r="T782" s="64">
        <f t="shared" si="244"/>
        <v>0</v>
      </c>
      <c r="U782" s="29">
        <v>0</v>
      </c>
      <c r="V782" s="538">
        <f>T782-J782</f>
        <v>0</v>
      </c>
      <c r="W782" s="29"/>
      <c r="X782" s="29"/>
    </row>
    <row r="783" spans="1:32">
      <c r="A783" s="6">
        <f>MAX(A$773:A782)+1</f>
        <v>353</v>
      </c>
      <c r="B783" s="58"/>
      <c r="C783" s="719" t="s">
        <v>430</v>
      </c>
      <c r="D783" s="58"/>
      <c r="E783" s="522" t="s">
        <v>331</v>
      </c>
      <c r="F783" s="58"/>
      <c r="G783" s="29">
        <v>36496498.858000003</v>
      </c>
      <c r="H783" s="58"/>
      <c r="I783" s="29">
        <v>0</v>
      </c>
      <c r="J783" s="64">
        <f t="shared" si="243"/>
        <v>0</v>
      </c>
      <c r="K783" s="58"/>
      <c r="L783" s="29">
        <v>0</v>
      </c>
      <c r="M783" s="29">
        <v>0</v>
      </c>
      <c r="N783" s="64">
        <f>J783</f>
        <v>0</v>
      </c>
      <c r="O783" s="564"/>
      <c r="P783" s="29">
        <v>0</v>
      </c>
      <c r="Q783" s="29">
        <v>0</v>
      </c>
      <c r="R783" s="29">
        <v>0</v>
      </c>
      <c r="S783" s="564"/>
      <c r="T783" s="64">
        <f t="shared" si="244"/>
        <v>0</v>
      </c>
      <c r="U783" s="29">
        <v>0</v>
      </c>
      <c r="V783" s="538">
        <f>T783-J783</f>
        <v>0</v>
      </c>
      <c r="W783" s="29"/>
      <c r="X783" s="29"/>
    </row>
    <row r="784" spans="1:32">
      <c r="A784" s="6">
        <f>MAX(A$773:A783)+1</f>
        <v>354</v>
      </c>
      <c r="B784" s="58"/>
      <c r="C784" s="719" t="s">
        <v>431</v>
      </c>
      <c r="D784" s="58"/>
      <c r="E784" s="522" t="s">
        <v>331</v>
      </c>
      <c r="F784" s="58"/>
      <c r="G784" s="29">
        <v>10101454.704</v>
      </c>
      <c r="H784" s="58"/>
      <c r="I784" s="29">
        <v>0</v>
      </c>
      <c r="J784" s="64">
        <f t="shared" si="243"/>
        <v>0</v>
      </c>
      <c r="K784" s="58"/>
      <c r="L784" s="29">
        <v>0</v>
      </c>
      <c r="M784" s="29">
        <v>0</v>
      </c>
      <c r="N784" s="64">
        <f>J784</f>
        <v>0</v>
      </c>
      <c r="O784" s="564"/>
      <c r="P784" s="29">
        <v>0</v>
      </c>
      <c r="Q784" s="29">
        <v>0</v>
      </c>
      <c r="R784" s="29">
        <v>0</v>
      </c>
      <c r="S784" s="564"/>
      <c r="T784" s="64">
        <f t="shared" si="244"/>
        <v>0</v>
      </c>
      <c r="U784" s="29">
        <v>0</v>
      </c>
      <c r="V784" s="538">
        <f>T784-J784</f>
        <v>0</v>
      </c>
      <c r="W784" s="29"/>
      <c r="X784" s="29"/>
    </row>
    <row r="785" spans="1:30">
      <c r="A785" s="6">
        <f>MAX(A$773:A784)+1</f>
        <v>355</v>
      </c>
      <c r="C785" s="719" t="s">
        <v>432</v>
      </c>
      <c r="E785" s="522" t="s">
        <v>331</v>
      </c>
      <c r="G785" s="29">
        <v>0</v>
      </c>
      <c r="I785" s="29">
        <v>0</v>
      </c>
      <c r="J785" s="567"/>
      <c r="L785" s="538"/>
      <c r="M785" s="538"/>
      <c r="N785" s="538"/>
      <c r="O785" s="64"/>
      <c r="P785" s="29"/>
      <c r="Q785" s="538"/>
      <c r="R785" s="538"/>
      <c r="S785" s="64"/>
      <c r="T785" s="64"/>
      <c r="U785" s="64"/>
      <c r="V785" s="538">
        <f>T785-J785</f>
        <v>0</v>
      </c>
      <c r="W785" s="29"/>
      <c r="X785" s="29"/>
    </row>
    <row r="786" spans="1:30">
      <c r="A786" s="6"/>
      <c r="C786" s="501"/>
      <c r="E786" s="30"/>
      <c r="G786" s="29"/>
      <c r="J786" s="567"/>
      <c r="L786" s="538"/>
      <c r="M786" s="538"/>
      <c r="N786" s="538"/>
      <c r="O786" s="64"/>
      <c r="P786" s="29"/>
      <c r="Q786" s="538"/>
      <c r="R786" s="538"/>
      <c r="S786" s="64"/>
      <c r="T786" s="64"/>
      <c r="U786" s="64"/>
      <c r="V786" s="538"/>
      <c r="W786" s="501"/>
    </row>
    <row r="787" spans="1:30">
      <c r="A787" s="6"/>
      <c r="C787" s="521" t="s">
        <v>433</v>
      </c>
      <c r="E787" s="30"/>
      <c r="G787" s="29"/>
      <c r="J787" s="567"/>
      <c r="L787" s="538"/>
      <c r="M787" s="538"/>
      <c r="N787" s="538"/>
      <c r="O787" s="64"/>
      <c r="P787" s="29"/>
      <c r="Q787" s="538"/>
      <c r="R787" s="538"/>
      <c r="S787" s="64"/>
      <c r="T787" s="64"/>
      <c r="U787" s="64"/>
      <c r="V787" s="538"/>
      <c r="W787" s="501"/>
    </row>
    <row r="788" spans="1:30">
      <c r="A788" s="6">
        <f>MAX(A$773:A787)+1</f>
        <v>356</v>
      </c>
      <c r="C788" s="719" t="s">
        <v>434</v>
      </c>
      <c r="E788" s="522" t="s">
        <v>331</v>
      </c>
      <c r="G788" s="29">
        <v>0</v>
      </c>
      <c r="I788" s="29">
        <v>0</v>
      </c>
      <c r="J788" s="29">
        <v>0</v>
      </c>
      <c r="L788" s="29">
        <v>0</v>
      </c>
      <c r="M788" s="29">
        <v>0</v>
      </c>
      <c r="N788" s="538">
        <f>J788</f>
        <v>0</v>
      </c>
      <c r="O788" s="64"/>
      <c r="P788" s="29">
        <v>0</v>
      </c>
      <c r="Q788" s="29">
        <v>0</v>
      </c>
      <c r="R788" s="29">
        <v>0</v>
      </c>
      <c r="S788" s="64"/>
      <c r="T788" s="64">
        <f t="shared" si="244"/>
        <v>0</v>
      </c>
      <c r="U788" s="29">
        <v>0</v>
      </c>
      <c r="V788" s="538">
        <f>T788-J788</f>
        <v>0</v>
      </c>
      <c r="W788" s="29"/>
      <c r="X788" s="29"/>
    </row>
    <row r="789" spans="1:30">
      <c r="A789" s="6">
        <f>MAX(A$773:A788)+1</f>
        <v>357</v>
      </c>
      <c r="C789" s="719" t="s">
        <v>417</v>
      </c>
      <c r="E789" s="522" t="s">
        <v>331</v>
      </c>
      <c r="G789" s="29">
        <v>0</v>
      </c>
      <c r="I789" s="29">
        <v>0</v>
      </c>
      <c r="J789" s="29">
        <v>0</v>
      </c>
      <c r="L789" s="29">
        <v>0</v>
      </c>
      <c r="M789" s="29">
        <v>0</v>
      </c>
      <c r="N789" s="538">
        <f>J789</f>
        <v>0</v>
      </c>
      <c r="O789" s="64"/>
      <c r="P789" s="29">
        <v>0</v>
      </c>
      <c r="Q789" s="29">
        <v>0</v>
      </c>
      <c r="R789" s="29">
        <v>0</v>
      </c>
      <c r="S789" s="64"/>
      <c r="T789" s="64">
        <f t="shared" si="244"/>
        <v>0</v>
      </c>
      <c r="U789" s="29">
        <v>0</v>
      </c>
      <c r="V789" s="538">
        <f>T789-J789</f>
        <v>0</v>
      </c>
      <c r="W789" s="29"/>
      <c r="X789" s="29"/>
    </row>
    <row r="790" spans="1:30">
      <c r="A790" s="6"/>
      <c r="E790" s="30"/>
      <c r="G790" s="29"/>
      <c r="J790" s="567"/>
      <c r="L790" s="538"/>
      <c r="M790" s="538"/>
      <c r="N790" s="538"/>
      <c r="O790" s="64"/>
      <c r="P790" s="29"/>
      <c r="Q790" s="538"/>
      <c r="R790" s="538"/>
      <c r="S790" s="64"/>
      <c r="T790" s="64"/>
      <c r="U790" s="64"/>
      <c r="V790" s="538"/>
      <c r="W790" s="501"/>
    </row>
    <row r="791" spans="1:30">
      <c r="A791" s="6">
        <f>MAX(A$773:A790)+1</f>
        <v>358</v>
      </c>
      <c r="C791" s="2" t="s">
        <v>435</v>
      </c>
      <c r="E791" s="522" t="s">
        <v>331</v>
      </c>
      <c r="G791" s="29">
        <v>45665000</v>
      </c>
      <c r="I791" s="29">
        <v>0</v>
      </c>
      <c r="J791" s="29">
        <v>12138.692302499876</v>
      </c>
      <c r="L791" s="29">
        <v>0</v>
      </c>
      <c r="M791" s="29">
        <v>0</v>
      </c>
      <c r="N791" s="538">
        <f>J791</f>
        <v>12138.692302499876</v>
      </c>
      <c r="O791" s="64"/>
      <c r="P791" s="29">
        <v>0</v>
      </c>
      <c r="Q791" s="29">
        <v>0</v>
      </c>
      <c r="R791" s="29">
        <v>0</v>
      </c>
      <c r="S791" s="64"/>
      <c r="T791" s="64">
        <f t="shared" si="244"/>
        <v>12138.692302499876</v>
      </c>
      <c r="U791" s="29">
        <v>0</v>
      </c>
      <c r="V791" s="538">
        <f>T791-J791</f>
        <v>0</v>
      </c>
      <c r="W791" s="29"/>
      <c r="X791" s="29"/>
    </row>
    <row r="792" spans="1:30">
      <c r="A792" s="6">
        <f>MAX(A$773:A791)+1</f>
        <v>359</v>
      </c>
      <c r="C792" s="2" t="s">
        <v>436</v>
      </c>
      <c r="E792" s="522" t="s">
        <v>331</v>
      </c>
      <c r="G792" s="29">
        <v>0</v>
      </c>
      <c r="I792" s="29">
        <v>0</v>
      </c>
      <c r="J792" s="29">
        <v>0</v>
      </c>
      <c r="L792" s="29">
        <v>0</v>
      </c>
      <c r="M792" s="29">
        <v>0</v>
      </c>
      <c r="N792" s="29">
        <v>0</v>
      </c>
      <c r="O792" s="64"/>
      <c r="P792" s="29">
        <v>0</v>
      </c>
      <c r="Q792" s="29">
        <v>0</v>
      </c>
      <c r="R792" s="29">
        <v>0</v>
      </c>
      <c r="S792" s="64"/>
      <c r="T792" s="64">
        <f t="shared" si="244"/>
        <v>0</v>
      </c>
      <c r="U792" s="29">
        <v>0</v>
      </c>
      <c r="V792" s="538">
        <f>T792-J792</f>
        <v>0</v>
      </c>
      <c r="W792" s="29"/>
      <c r="X792" s="29"/>
    </row>
    <row r="793" spans="1:30">
      <c r="A793" s="6"/>
      <c r="E793" s="30"/>
      <c r="G793" s="29"/>
      <c r="J793" s="567"/>
      <c r="L793" s="538"/>
      <c r="M793" s="538"/>
      <c r="N793" s="538"/>
      <c r="O793" s="64"/>
      <c r="P793" s="64"/>
      <c r="Q793" s="538"/>
      <c r="R793" s="538"/>
      <c r="S793" s="64"/>
      <c r="T793" s="64"/>
      <c r="U793" s="64"/>
      <c r="V793" s="538"/>
      <c r="W793" s="501"/>
    </row>
    <row r="794" spans="1:30" ht="12.95" thickBot="1">
      <c r="A794" s="6">
        <f>MAX(A$773:A793)+1</f>
        <v>360</v>
      </c>
      <c r="C794" s="2" t="str">
        <f>"Total " &amp;C772</f>
        <v>Total Rate C1</v>
      </c>
      <c r="E794" s="30"/>
      <c r="G794" s="589">
        <f>SUM(G774:G792)</f>
        <v>102661523.4931</v>
      </c>
      <c r="I794" s="720">
        <f>J794/G794*100</f>
        <v>1.38231466197301E-2</v>
      </c>
      <c r="J794" s="709">
        <f>SUM(J774:J792)</f>
        <v>14191.052914499876</v>
      </c>
      <c r="K794" s="567"/>
      <c r="L794" s="710">
        <f>SUM(L774:L792)</f>
        <v>0</v>
      </c>
      <c r="M794" s="710">
        <f>SUM(M774:M792)</f>
        <v>0</v>
      </c>
      <c r="N794" s="710">
        <f>SUM(N774:N792)</f>
        <v>14191.052914499876</v>
      </c>
      <c r="O794" s="64"/>
      <c r="P794" s="710">
        <f>SUM(P774:P792)</f>
        <v>56.081341805327725</v>
      </c>
      <c r="Q794" s="710">
        <f>SUM(Q774:Q792)</f>
        <v>0</v>
      </c>
      <c r="R794" s="710">
        <f>SUM(R774:R792)</f>
        <v>0</v>
      </c>
      <c r="S794" s="64"/>
      <c r="T794" s="710">
        <f>SUM(T774:T792)</f>
        <v>14247.134256305204</v>
      </c>
      <c r="U794" s="769">
        <f>T794/G794*100</f>
        <v>1.3877774039913571E-2</v>
      </c>
      <c r="V794" s="710">
        <f>SUM(V774:V792)</f>
        <v>56.081341805327725</v>
      </c>
      <c r="W794" s="721">
        <f>U794/I794-1</f>
        <v>3.951880254637441E-3</v>
      </c>
      <c r="X794" s="722"/>
      <c r="Z794" s="738"/>
      <c r="AB794" s="738"/>
      <c r="AD794" s="738"/>
    </row>
    <row r="795" spans="1:30" ht="12.95" thickTop="1">
      <c r="L795" s="2"/>
      <c r="M795" s="2"/>
      <c r="N795" s="501"/>
      <c r="Q795" s="501"/>
      <c r="R795" s="501"/>
      <c r="V795" s="501"/>
      <c r="W795" s="501"/>
    </row>
    <row r="796" spans="1:30">
      <c r="L796" s="2"/>
      <c r="M796" s="2"/>
      <c r="N796" s="501"/>
      <c r="Q796" s="501"/>
      <c r="R796" s="501"/>
      <c r="V796" s="538"/>
      <c r="W796" s="501"/>
    </row>
    <row r="797" spans="1:30">
      <c r="L797" s="2"/>
      <c r="M797" s="2"/>
      <c r="N797" s="501"/>
      <c r="Q797" s="501"/>
      <c r="R797" s="501"/>
      <c r="V797" s="501"/>
      <c r="W797" s="501"/>
    </row>
    <row r="798" spans="1:30">
      <c r="L798" s="2"/>
      <c r="M798" s="2"/>
      <c r="N798" s="501"/>
      <c r="Q798" s="501"/>
      <c r="R798" s="501"/>
      <c r="V798" s="501"/>
      <c r="W798" s="501"/>
    </row>
    <row r="799" spans="1:30">
      <c r="A799" s="1156" t="s">
        <v>279</v>
      </c>
      <c r="B799" s="1156"/>
      <c r="C799" s="1156"/>
      <c r="D799" s="1156"/>
      <c r="E799" s="1156"/>
      <c r="F799" s="1156"/>
      <c r="G799" s="1156"/>
      <c r="H799" s="1156"/>
      <c r="I799" s="1156"/>
      <c r="J799" s="1156"/>
      <c r="K799" s="1156"/>
      <c r="L799" s="1156"/>
      <c r="M799" s="1156"/>
      <c r="N799" s="1156"/>
      <c r="O799" s="1156"/>
      <c r="P799" s="1156"/>
      <c r="Q799" s="1156"/>
      <c r="R799" s="1156"/>
      <c r="S799" s="1156"/>
      <c r="T799" s="1156"/>
      <c r="U799" s="1156"/>
      <c r="V799" s="1156"/>
      <c r="W799" s="1156"/>
      <c r="X799" s="531"/>
    </row>
    <row r="800" spans="1:30">
      <c r="A800" s="1156" t="s">
        <v>478</v>
      </c>
      <c r="B800" s="1156"/>
      <c r="C800" s="1156"/>
      <c r="D800" s="1156"/>
      <c r="E800" s="1156"/>
      <c r="F800" s="1156"/>
      <c r="G800" s="1156"/>
      <c r="H800" s="1156"/>
      <c r="I800" s="1156"/>
      <c r="J800" s="1156"/>
      <c r="K800" s="1156"/>
      <c r="L800" s="1156"/>
      <c r="M800" s="1156"/>
      <c r="N800" s="1156"/>
      <c r="O800" s="1156"/>
      <c r="P800" s="1156"/>
      <c r="Q800" s="1156"/>
      <c r="R800" s="1156"/>
      <c r="S800" s="1156"/>
      <c r="T800" s="1156"/>
      <c r="U800" s="1156"/>
      <c r="V800" s="1156"/>
      <c r="W800" s="1156"/>
      <c r="X800" s="737"/>
      <c r="Y800" s="737"/>
    </row>
    <row r="801" spans="1:32">
      <c r="A801" s="57"/>
      <c r="B801" s="57"/>
      <c r="C801" s="57"/>
      <c r="D801" s="57"/>
      <c r="E801" s="3"/>
      <c r="F801" s="57"/>
      <c r="G801" s="3"/>
      <c r="H801" s="57"/>
      <c r="I801" s="57"/>
      <c r="J801" s="57"/>
      <c r="K801" s="57"/>
      <c r="L801" s="57"/>
      <c r="M801" s="57"/>
      <c r="N801" s="501"/>
      <c r="O801" s="57"/>
      <c r="P801" s="57"/>
      <c r="Q801" s="501"/>
      <c r="R801" s="501"/>
      <c r="S801" s="57"/>
      <c r="T801" s="57"/>
      <c r="U801" s="57"/>
      <c r="V801" s="501"/>
      <c r="W801" s="501"/>
    </row>
    <row r="802" spans="1:32" ht="26.65" customHeight="1">
      <c r="A802" s="3"/>
      <c r="B802" s="3"/>
      <c r="C802" s="3"/>
      <c r="D802" s="3"/>
      <c r="E802" s="57"/>
      <c r="F802" s="1152" t="s">
        <v>231</v>
      </c>
      <c r="G802" s="1152"/>
      <c r="H802" s="1152"/>
      <c r="I802" s="1152"/>
      <c r="J802" s="1152"/>
      <c r="K802" s="3"/>
      <c r="L802" s="1157" t="s">
        <v>94</v>
      </c>
      <c r="M802" s="1157"/>
      <c r="N802" s="58"/>
      <c r="O802" s="3"/>
      <c r="P802" s="59"/>
      <c r="Q802" s="1157" t="s">
        <v>95</v>
      </c>
      <c r="R802" s="1157"/>
      <c r="S802" s="3"/>
      <c r="T802" s="1152" t="s">
        <v>472</v>
      </c>
      <c r="U802" s="1152"/>
      <c r="V802" s="1152"/>
      <c r="W802" s="1152"/>
      <c r="X802" s="6"/>
    </row>
    <row r="803" spans="1:32" ht="37.5">
      <c r="A803" s="5" t="s">
        <v>56</v>
      </c>
      <c r="B803" s="5"/>
      <c r="C803" s="5"/>
      <c r="D803" s="5"/>
      <c r="E803" s="6" t="s">
        <v>233</v>
      </c>
      <c r="F803" s="5"/>
      <c r="G803" s="17" t="s">
        <v>234</v>
      </c>
      <c r="H803" s="5"/>
      <c r="I803" s="17" t="s">
        <v>235</v>
      </c>
      <c r="J803" s="17" t="s">
        <v>101</v>
      </c>
      <c r="K803" s="5"/>
      <c r="L803" s="17" t="s">
        <v>106</v>
      </c>
      <c r="M803" s="17" t="s">
        <v>236</v>
      </c>
      <c r="N803" s="5" t="s">
        <v>239</v>
      </c>
      <c r="O803" s="5"/>
      <c r="P803" s="5" t="s">
        <v>240</v>
      </c>
      <c r="Q803" s="17" t="s">
        <v>106</v>
      </c>
      <c r="R803" s="17" t="s">
        <v>236</v>
      </c>
      <c r="S803" s="5"/>
      <c r="T803" s="17" t="s">
        <v>241</v>
      </c>
      <c r="U803" s="17" t="s">
        <v>242</v>
      </c>
      <c r="V803" s="17" t="s">
        <v>243</v>
      </c>
      <c r="W803" s="5" t="s">
        <v>244</v>
      </c>
      <c r="X803" s="5"/>
    </row>
    <row r="804" spans="1:32">
      <c r="A804" s="237" t="s">
        <v>57</v>
      </c>
      <c r="B804" s="58"/>
      <c r="C804" s="59" t="s">
        <v>194</v>
      </c>
      <c r="D804" s="58"/>
      <c r="E804" s="237" t="s">
        <v>245</v>
      </c>
      <c r="F804" s="58"/>
      <c r="G804" s="237" t="s">
        <v>246</v>
      </c>
      <c r="H804" s="58"/>
      <c r="I804" s="237" t="s">
        <v>397</v>
      </c>
      <c r="J804" s="237" t="s">
        <v>248</v>
      </c>
      <c r="K804" s="58"/>
      <c r="L804" s="237" t="s">
        <v>248</v>
      </c>
      <c r="M804" s="237" t="s">
        <v>248</v>
      </c>
      <c r="N804" s="237" t="s">
        <v>248</v>
      </c>
      <c r="O804" s="58"/>
      <c r="P804" s="237" t="s">
        <v>248</v>
      </c>
      <c r="Q804" s="237" t="s">
        <v>248</v>
      </c>
      <c r="R804" s="237" t="s">
        <v>248</v>
      </c>
      <c r="S804" s="58"/>
      <c r="T804" s="237" t="s">
        <v>248</v>
      </c>
      <c r="U804" s="237" t="s">
        <v>397</v>
      </c>
      <c r="V804" s="237" t="s">
        <v>248</v>
      </c>
      <c r="W804" s="237" t="s">
        <v>249</v>
      </c>
      <c r="X804" s="6"/>
    </row>
    <row r="805" spans="1:32">
      <c r="A805" s="6"/>
      <c r="B805" s="58"/>
      <c r="C805" s="58"/>
      <c r="D805" s="58"/>
      <c r="E805" s="6"/>
      <c r="F805" s="58"/>
      <c r="G805" s="6" t="s">
        <v>9</v>
      </c>
      <c r="H805" s="6"/>
      <c r="I805" s="6" t="s">
        <v>10</v>
      </c>
      <c r="J805" s="6" t="s">
        <v>58</v>
      </c>
      <c r="K805" s="6"/>
      <c r="L805" s="123" t="s">
        <v>12</v>
      </c>
      <c r="M805" s="123" t="s">
        <v>13</v>
      </c>
      <c r="N805" s="6" t="s">
        <v>473</v>
      </c>
      <c r="O805" s="6"/>
      <c r="P805" s="6" t="s">
        <v>474</v>
      </c>
      <c r="Q805" s="6" t="s">
        <v>210</v>
      </c>
      <c r="R805" s="6" t="s">
        <v>118</v>
      </c>
      <c r="S805" s="6"/>
      <c r="T805" s="6" t="s">
        <v>475</v>
      </c>
      <c r="U805" s="6" t="s">
        <v>120</v>
      </c>
      <c r="V805" s="6" t="s">
        <v>476</v>
      </c>
      <c r="W805" s="6" t="s">
        <v>477</v>
      </c>
    </row>
    <row r="806" spans="1:32">
      <c r="C806" s="521"/>
      <c r="E806" s="30"/>
      <c r="G806" s="29"/>
      <c r="J806" s="567"/>
      <c r="L806" s="538"/>
      <c r="M806" s="538"/>
      <c r="N806" s="538"/>
      <c r="O806" s="64"/>
      <c r="P806" s="64"/>
      <c r="Q806" s="538"/>
      <c r="R806" s="538"/>
      <c r="S806" s="64"/>
      <c r="T806" s="64"/>
      <c r="U806" s="64"/>
      <c r="V806" s="538"/>
      <c r="W806" s="501"/>
    </row>
    <row r="807" spans="1:32">
      <c r="A807" s="6"/>
      <c r="B807" s="58"/>
      <c r="C807" s="723" t="s">
        <v>437</v>
      </c>
      <c r="D807" s="58"/>
      <c r="E807" s="574"/>
      <c r="F807" s="58"/>
      <c r="G807" s="29"/>
      <c r="H807" s="58"/>
      <c r="I807" s="58"/>
      <c r="J807" s="58"/>
      <c r="K807" s="58"/>
      <c r="L807" s="538"/>
      <c r="M807" s="538"/>
      <c r="N807" s="538"/>
      <c r="O807" s="564"/>
      <c r="P807" s="564"/>
      <c r="Q807" s="538"/>
      <c r="R807" s="538"/>
      <c r="S807" s="564"/>
      <c r="T807" s="564"/>
      <c r="U807" s="564"/>
      <c r="V807" s="538"/>
      <c r="W807" s="501"/>
      <c r="Z807" s="738"/>
      <c r="AB807" s="738"/>
    </row>
    <row r="808" spans="1:32">
      <c r="A808" s="6">
        <f>MAX(A$773:A807)+1</f>
        <v>361</v>
      </c>
      <c r="C808" s="521" t="s">
        <v>438</v>
      </c>
      <c r="E808" s="522" t="s">
        <v>259</v>
      </c>
      <c r="G808" s="29">
        <v>129</v>
      </c>
      <c r="I808" s="537">
        <v>1047.53</v>
      </c>
      <c r="J808" s="567">
        <f>G808*I808/1000</f>
        <v>135.13137</v>
      </c>
      <c r="L808" s="29">
        <v>0</v>
      </c>
      <c r="M808" s="29">
        <v>0</v>
      </c>
      <c r="N808" s="538">
        <f>J808</f>
        <v>135.13137</v>
      </c>
      <c r="O808" s="64"/>
      <c r="P808" s="29">
        <v>0</v>
      </c>
      <c r="Q808" s="29">
        <v>0</v>
      </c>
      <c r="R808" s="29">
        <v>0</v>
      </c>
      <c r="S808" s="64"/>
      <c r="T808" s="64">
        <f>N808+P808+Q808+R808</f>
        <v>135.13137</v>
      </c>
      <c r="U808" s="537">
        <f>T808/G808*1000</f>
        <v>1047.53</v>
      </c>
      <c r="V808" s="538">
        <f>T808-N808</f>
        <v>0</v>
      </c>
      <c r="W808" s="541">
        <f>U808/I808-1</f>
        <v>0</v>
      </c>
      <c r="X808" s="542"/>
      <c r="Z808" s="738"/>
      <c r="AB808" s="738"/>
      <c r="AD808" s="738"/>
      <c r="AF808" s="770"/>
    </row>
    <row r="809" spans="1:32">
      <c r="A809" s="6">
        <f>MAX(A$807:A808)+1</f>
        <v>362</v>
      </c>
      <c r="B809" s="58"/>
      <c r="C809" s="521" t="s">
        <v>439</v>
      </c>
      <c r="D809" s="58"/>
      <c r="E809" s="522" t="s">
        <v>331</v>
      </c>
      <c r="F809" s="58"/>
      <c r="G809" s="29">
        <v>4791112.166666666</v>
      </c>
      <c r="H809" s="58"/>
      <c r="I809" s="701">
        <v>3.7999999999999999E-2</v>
      </c>
      <c r="J809" s="567">
        <f t="shared" ref="J809:J810" si="245">G809*I809/1000</f>
        <v>182.06226233333331</v>
      </c>
      <c r="K809" s="58"/>
      <c r="L809" s="29">
        <v>0</v>
      </c>
      <c r="M809" s="29">
        <v>0</v>
      </c>
      <c r="N809" s="538">
        <f>J809</f>
        <v>182.06226233333331</v>
      </c>
      <c r="O809" s="564"/>
      <c r="P809" s="29">
        <v>4.9749034862918506</v>
      </c>
      <c r="Q809" s="29">
        <v>0</v>
      </c>
      <c r="R809" s="29">
        <v>0</v>
      </c>
      <c r="S809" s="564"/>
      <c r="T809" s="64">
        <f t="shared" ref="T809:T811" si="246">N809+P809+Q809+R809</f>
        <v>187.03716581962516</v>
      </c>
      <c r="U809" s="701">
        <f>T809/G809*1000</f>
        <v>3.9038360888501815E-2</v>
      </c>
      <c r="V809" s="538">
        <f>T809-N809</f>
        <v>4.9749034862918506</v>
      </c>
      <c r="W809" s="541">
        <f>U809/I809-1</f>
        <v>2.7325286539521487E-2</v>
      </c>
      <c r="X809" s="542"/>
      <c r="Z809" s="738"/>
      <c r="AB809" s="738"/>
      <c r="AD809" s="738"/>
      <c r="AF809" s="764"/>
    </row>
    <row r="810" spans="1:32">
      <c r="A810" s="6">
        <f>MAX(A$807:A809)+1</f>
        <v>363</v>
      </c>
      <c r="B810" s="58"/>
      <c r="C810" s="521" t="s">
        <v>440</v>
      </c>
      <c r="D810" s="58"/>
      <c r="E810" s="522" t="s">
        <v>331</v>
      </c>
      <c r="F810" s="58"/>
      <c r="G810" s="29">
        <v>0</v>
      </c>
      <c r="H810" s="58"/>
      <c r="I810" s="29">
        <v>0</v>
      </c>
      <c r="J810" s="64">
        <f t="shared" si="245"/>
        <v>0</v>
      </c>
      <c r="K810" s="58"/>
      <c r="L810" s="29">
        <v>0</v>
      </c>
      <c r="M810" s="29">
        <v>0</v>
      </c>
      <c r="N810" s="538">
        <v>0</v>
      </c>
      <c r="O810" s="564"/>
      <c r="P810" s="29">
        <v>0</v>
      </c>
      <c r="Q810" s="538">
        <v>0</v>
      </c>
      <c r="R810" s="538">
        <v>0</v>
      </c>
      <c r="S810" s="564"/>
      <c r="T810" s="64">
        <v>0</v>
      </c>
      <c r="U810" s="29">
        <v>0</v>
      </c>
      <c r="V810" s="538">
        <v>0</v>
      </c>
      <c r="W810" s="541"/>
      <c r="X810" s="542"/>
      <c r="Z810" s="738"/>
      <c r="AB810" s="738"/>
      <c r="AD810" s="738"/>
      <c r="AF810" s="764"/>
    </row>
    <row r="811" spans="1:32">
      <c r="A811" s="6">
        <f>MAX(A$807:A810)+1</f>
        <v>364</v>
      </c>
      <c r="B811" s="58"/>
      <c r="C811" s="521" t="s">
        <v>441</v>
      </c>
      <c r="D811" s="58"/>
      <c r="E811" s="522" t="s">
        <v>331</v>
      </c>
      <c r="F811" s="58"/>
      <c r="G811" s="29">
        <v>4791112.166666666</v>
      </c>
      <c r="H811" s="58"/>
      <c r="I811" s="29">
        <v>0</v>
      </c>
      <c r="J811" s="29">
        <v>0</v>
      </c>
      <c r="K811" s="58"/>
      <c r="L811" s="29">
        <v>0</v>
      </c>
      <c r="M811" s="29">
        <v>0</v>
      </c>
      <c r="N811" s="538">
        <f t="shared" ref="N811" si="247">J811</f>
        <v>0</v>
      </c>
      <c r="O811" s="564"/>
      <c r="P811" s="29">
        <v>0</v>
      </c>
      <c r="Q811" s="29">
        <v>0</v>
      </c>
      <c r="R811" s="29">
        <v>0</v>
      </c>
      <c r="S811" s="564"/>
      <c r="T811" s="64">
        <f t="shared" si="246"/>
        <v>0</v>
      </c>
      <c r="U811" s="29">
        <f>T811/G811*1000</f>
        <v>0</v>
      </c>
      <c r="V811" s="538">
        <f>T811-N811</f>
        <v>0</v>
      </c>
      <c r="W811" s="29"/>
      <c r="X811" s="29"/>
      <c r="Z811" s="738"/>
      <c r="AB811" s="738"/>
      <c r="AD811" s="738"/>
      <c r="AF811" s="764"/>
    </row>
    <row r="812" spans="1:32">
      <c r="A812" s="6"/>
      <c r="B812" s="58"/>
      <c r="C812" s="10"/>
      <c r="D812" s="58"/>
      <c r="E812" s="574"/>
      <c r="F812" s="58"/>
      <c r="G812" s="132"/>
      <c r="H812" s="58"/>
      <c r="I812" s="58"/>
      <c r="J812" s="58"/>
      <c r="K812" s="58"/>
      <c r="L812" s="538"/>
      <c r="M812" s="538"/>
      <c r="N812" s="538"/>
      <c r="O812" s="564"/>
      <c r="P812" s="564"/>
      <c r="Q812" s="538"/>
      <c r="R812" s="538"/>
      <c r="S812" s="564"/>
      <c r="T812" s="564"/>
      <c r="U812" s="564"/>
      <c r="V812" s="538"/>
      <c r="W812" s="541"/>
      <c r="X812" s="542"/>
      <c r="Z812" s="738"/>
      <c r="AD812" s="738"/>
    </row>
    <row r="813" spans="1:32" ht="12.95" thickBot="1">
      <c r="A813" s="6">
        <f>MAX(A$807:A812)+1</f>
        <v>365</v>
      </c>
      <c r="C813" s="724" t="str">
        <f>"Total " &amp;C807</f>
        <v>Total Rate M13</v>
      </c>
      <c r="G813" s="710">
        <f>G811</f>
        <v>4791112.166666666</v>
      </c>
      <c r="I813" s="720">
        <f>J813/G813*100</f>
        <v>6.6204593275889711E-3</v>
      </c>
      <c r="J813" s="709">
        <f>SUM(J808:J812)</f>
        <v>317.19363233333331</v>
      </c>
      <c r="K813" s="567"/>
      <c r="L813" s="710">
        <f>SUM(L808:L812)</f>
        <v>0</v>
      </c>
      <c r="M813" s="710">
        <f>SUM(M808:M812)</f>
        <v>0</v>
      </c>
      <c r="N813" s="710">
        <f>SUM(N808:N812)</f>
        <v>317.19363233333331</v>
      </c>
      <c r="O813" s="64"/>
      <c r="P813" s="710">
        <f>SUM(P808:P812)</f>
        <v>4.9749034862918506</v>
      </c>
      <c r="Q813" s="710">
        <f>SUM(Q808:Q812)</f>
        <v>0</v>
      </c>
      <c r="R813" s="710">
        <f>SUM(R808:R812)</f>
        <v>0</v>
      </c>
      <c r="S813" s="64"/>
      <c r="T813" s="710">
        <f>SUM(T808:T812)</f>
        <v>322.16853581962516</v>
      </c>
      <c r="U813" s="771">
        <f>T813/G813*100</f>
        <v>6.7242954164391522E-3</v>
      </c>
      <c r="V813" s="710">
        <f>SUM(V808:V811)</f>
        <v>4.9749034862918506</v>
      </c>
      <c r="W813" s="721">
        <f>U813/I813-1</f>
        <v>1.5684121555957997E-2</v>
      </c>
      <c r="X813" s="722"/>
      <c r="Z813" s="738"/>
      <c r="AB813" s="738"/>
      <c r="AD813" s="738"/>
    </row>
    <row r="814" spans="1:32" ht="12.95" thickTop="1">
      <c r="A814" s="6"/>
      <c r="B814" s="581"/>
      <c r="C814" s="10"/>
      <c r="D814" s="581"/>
      <c r="E814" s="581"/>
      <c r="F814" s="581"/>
      <c r="G814" s="581"/>
      <c r="H814" s="581"/>
      <c r="I814" s="581"/>
      <c r="J814" s="581"/>
      <c r="K814" s="581"/>
      <c r="L814" s="538"/>
      <c r="M814" s="538"/>
      <c r="N814" s="538"/>
      <c r="O814" s="582"/>
      <c r="P814" s="582"/>
      <c r="Q814" s="538"/>
      <c r="R814" s="538"/>
      <c r="S814" s="582"/>
      <c r="T814" s="582"/>
      <c r="U814" s="582"/>
      <c r="V814" s="538"/>
      <c r="W814" s="501"/>
    </row>
    <row r="815" spans="1:32">
      <c r="A815" s="6">
        <f>MAX(A$807:A814)+1</f>
        <v>366</v>
      </c>
      <c r="B815" s="57"/>
      <c r="C815" s="521" t="s">
        <v>442</v>
      </c>
      <c r="D815" s="57"/>
      <c r="E815" s="522" t="s">
        <v>259</v>
      </c>
      <c r="F815" s="57"/>
      <c r="G815" s="29">
        <v>768</v>
      </c>
      <c r="H815" s="57"/>
      <c r="I815" s="725">
        <v>90</v>
      </c>
      <c r="J815" s="536">
        <v>63.72</v>
      </c>
      <c r="K815" s="57"/>
      <c r="L815" s="538">
        <v>0</v>
      </c>
      <c r="M815" s="538">
        <v>0</v>
      </c>
      <c r="N815" s="538">
        <f>J815</f>
        <v>63.72</v>
      </c>
      <c r="O815" s="583"/>
      <c r="P815" s="583">
        <v>0</v>
      </c>
      <c r="Q815" s="538">
        <v>0</v>
      </c>
      <c r="R815" s="538">
        <v>0</v>
      </c>
      <c r="S815" s="583"/>
      <c r="T815" s="132">
        <f>J815</f>
        <v>63.72</v>
      </c>
      <c r="U815" s="725">
        <f>I815</f>
        <v>90</v>
      </c>
      <c r="V815" s="538">
        <v>0</v>
      </c>
      <c r="W815" s="501"/>
      <c r="Z815" s="738"/>
      <c r="AB815" s="738"/>
      <c r="AD815" s="738"/>
    </row>
    <row r="816" spans="1:32">
      <c r="A816" s="6"/>
      <c r="B816" s="3"/>
      <c r="C816" s="3"/>
      <c r="D816" s="3"/>
      <c r="E816" s="57"/>
      <c r="F816" s="3"/>
      <c r="G816" s="57"/>
      <c r="H816" s="3"/>
      <c r="I816" s="3"/>
      <c r="J816" s="3"/>
      <c r="K816" s="3"/>
      <c r="L816" s="538"/>
      <c r="M816" s="538"/>
      <c r="N816" s="538"/>
      <c r="O816" s="584"/>
      <c r="P816" s="584"/>
      <c r="Q816" s="538"/>
      <c r="R816" s="538"/>
      <c r="S816" s="584"/>
      <c r="T816" s="584"/>
      <c r="U816" s="584"/>
      <c r="V816" s="538"/>
      <c r="W816" s="501"/>
    </row>
    <row r="817" spans="1:32">
      <c r="A817" s="6"/>
      <c r="B817" s="5"/>
      <c r="C817" s="9" t="s">
        <v>164</v>
      </c>
      <c r="D817" s="5"/>
      <c r="E817" s="6"/>
      <c r="F817" s="5"/>
      <c r="G817" s="17"/>
      <c r="H817" s="5"/>
      <c r="I817" s="5"/>
      <c r="J817" s="5"/>
      <c r="K817" s="5"/>
      <c r="L817" s="538"/>
      <c r="M817" s="538"/>
      <c r="N817" s="538"/>
      <c r="O817" s="585"/>
      <c r="P817" s="585"/>
      <c r="Q817" s="538"/>
      <c r="R817" s="538"/>
      <c r="S817" s="585"/>
      <c r="T817" s="585"/>
      <c r="U817" s="585"/>
      <c r="V817" s="538"/>
      <c r="W817" s="501"/>
    </row>
    <row r="818" spans="1:32">
      <c r="A818" s="6">
        <f>MAX(A$807:A817)+1</f>
        <v>367</v>
      </c>
      <c r="B818" s="58"/>
      <c r="C818" s="521" t="s">
        <v>438</v>
      </c>
      <c r="D818" s="58"/>
      <c r="E818" s="522" t="s">
        <v>259</v>
      </c>
      <c r="F818" s="58"/>
      <c r="G818" s="29">
        <v>24</v>
      </c>
      <c r="H818" s="58"/>
      <c r="I818" s="537">
        <v>1666.51</v>
      </c>
      <c r="J818" s="539">
        <f>G818*I818/1000</f>
        <v>39.99624</v>
      </c>
      <c r="K818" s="58"/>
      <c r="L818" s="29">
        <v>0</v>
      </c>
      <c r="M818" s="29">
        <v>0</v>
      </c>
      <c r="N818" s="538">
        <f>J818</f>
        <v>39.99624</v>
      </c>
      <c r="O818" s="564"/>
      <c r="P818" s="29">
        <v>1.0929087185034732</v>
      </c>
      <c r="Q818" s="29">
        <v>0</v>
      </c>
      <c r="R818" s="29">
        <v>0</v>
      </c>
      <c r="S818" s="564"/>
      <c r="T818" s="538">
        <f>N818+P818+Q818+R818</f>
        <v>41.089148718503473</v>
      </c>
      <c r="U818" s="537">
        <f>T818/G818*1000</f>
        <v>1712.047863270978</v>
      </c>
      <c r="V818" s="538">
        <f>T818-J818</f>
        <v>1.0929087185034732</v>
      </c>
      <c r="W818" s="541">
        <f>U818/I818-1</f>
        <v>2.7325286539521487E-2</v>
      </c>
      <c r="X818" s="542"/>
      <c r="Z818" s="738"/>
      <c r="AB818" s="738"/>
      <c r="AD818" s="738"/>
      <c r="AF818" s="770"/>
    </row>
    <row r="819" spans="1:32">
      <c r="A819" s="6">
        <f>MAX(A$807:A818)+1</f>
        <v>368</v>
      </c>
      <c r="B819" s="58"/>
      <c r="C819" s="521" t="s">
        <v>439</v>
      </c>
      <c r="D819" s="58"/>
      <c r="E819" s="522" t="s">
        <v>331</v>
      </c>
      <c r="F819" s="58"/>
      <c r="G819" s="29">
        <v>5198226.8965517245</v>
      </c>
      <c r="H819" s="58"/>
      <c r="I819" s="701">
        <v>3.7999999999999999E-2</v>
      </c>
      <c r="J819" s="539">
        <f t="shared" ref="J819" si="248">G819*I819/1000</f>
        <v>197.53262206896551</v>
      </c>
      <c r="K819" s="58"/>
      <c r="L819" s="29">
        <v>0</v>
      </c>
      <c r="M819" s="29">
        <v>0</v>
      </c>
      <c r="N819" s="538">
        <f>J819</f>
        <v>197.53262206896551</v>
      </c>
      <c r="O819" s="564"/>
      <c r="P819" s="29">
        <v>5.3976354989374897</v>
      </c>
      <c r="Q819" s="29">
        <v>0</v>
      </c>
      <c r="R819" s="29">
        <v>0</v>
      </c>
      <c r="S819" s="564"/>
      <c r="T819" s="538">
        <f>N819+P819+Q819+R819</f>
        <v>202.930257567903</v>
      </c>
      <c r="U819" s="701">
        <f>T819/G819*1000</f>
        <v>3.9038360888501808E-2</v>
      </c>
      <c r="V819" s="538">
        <f>T819-J819</f>
        <v>5.3976354989374897</v>
      </c>
      <c r="W819" s="541">
        <f>U819/I819-1</f>
        <v>2.7325286539521265E-2</v>
      </c>
      <c r="X819" s="542"/>
      <c r="Z819" s="738"/>
      <c r="AB819" s="738"/>
      <c r="AD819" s="738"/>
      <c r="AF819" s="764"/>
    </row>
    <row r="820" spans="1:32">
      <c r="A820" s="6"/>
      <c r="B820" s="58"/>
      <c r="C820" s="521" t="s">
        <v>443</v>
      </c>
      <c r="D820" s="58"/>
      <c r="E820" s="522"/>
      <c r="F820" s="58"/>
      <c r="G820" s="29"/>
      <c r="H820" s="58"/>
      <c r="I820" s="701"/>
      <c r="J820" s="539"/>
      <c r="K820" s="58"/>
      <c r="L820" s="538"/>
      <c r="M820" s="538"/>
      <c r="N820" s="538"/>
      <c r="O820" s="564"/>
      <c r="P820" s="29"/>
      <c r="Q820" s="538"/>
      <c r="R820" s="538"/>
      <c r="S820" s="564"/>
      <c r="T820" s="538"/>
      <c r="U820" s="701"/>
      <c r="V820" s="538"/>
      <c r="W820" s="541"/>
      <c r="X820" s="542"/>
      <c r="Z820" s="738"/>
      <c r="AB820" s="738"/>
      <c r="AD820" s="738"/>
      <c r="AF820" s="764"/>
    </row>
    <row r="821" spans="1:32">
      <c r="A821" s="6">
        <f>MAX(A$807:A820)+1</f>
        <v>369</v>
      </c>
      <c r="B821" s="58"/>
      <c r="C821" s="526" t="s">
        <v>444</v>
      </c>
      <c r="D821" s="58"/>
      <c r="E821" s="522" t="s">
        <v>329</v>
      </c>
      <c r="F821" s="58"/>
      <c r="G821" s="29">
        <v>7333.3333333333339</v>
      </c>
      <c r="H821" s="58"/>
      <c r="I821" s="701">
        <v>2.3260000000000001</v>
      </c>
      <c r="J821" s="536">
        <v>190.608</v>
      </c>
      <c r="K821" s="58"/>
      <c r="L821" s="29">
        <v>0</v>
      </c>
      <c r="M821" s="29">
        <v>0</v>
      </c>
      <c r="N821" s="538">
        <f>J821</f>
        <v>190.608</v>
      </c>
      <c r="O821" s="564"/>
      <c r="P821" s="29">
        <v>5.2084182167251072</v>
      </c>
      <c r="Q821" s="29">
        <v>0</v>
      </c>
      <c r="R821" s="29">
        <v>0</v>
      </c>
      <c r="S821" s="564"/>
      <c r="T821" s="538">
        <f>N821+P821+Q821+R821</f>
        <v>195.81641821672511</v>
      </c>
      <c r="U821" s="701">
        <f>T821/G821*100</f>
        <v>2.6702238847735238</v>
      </c>
      <c r="V821" s="538">
        <f>T821-J821</f>
        <v>5.2084182167251072</v>
      </c>
      <c r="W821" s="541">
        <f>U821/I821-1</f>
        <v>0.14798963231879791</v>
      </c>
      <c r="X821" s="542"/>
      <c r="Z821" s="738"/>
      <c r="AB821" s="738"/>
      <c r="AD821" s="738"/>
    </row>
    <row r="822" spans="1:32">
      <c r="A822" s="6">
        <f>MAX(A$807:A821)+1</f>
        <v>370</v>
      </c>
      <c r="C822" s="526" t="s">
        <v>445</v>
      </c>
      <c r="E822" s="522" t="s">
        <v>331</v>
      </c>
      <c r="G822" s="29">
        <v>655235.89655172406</v>
      </c>
      <c r="I822" s="29">
        <v>0</v>
      </c>
      <c r="J822" s="29">
        <v>0</v>
      </c>
      <c r="L822" s="29">
        <v>0</v>
      </c>
      <c r="M822" s="29">
        <v>0</v>
      </c>
      <c r="N822" s="29">
        <v>0</v>
      </c>
      <c r="O822" s="29"/>
      <c r="P822" s="29">
        <v>0</v>
      </c>
      <c r="Q822" s="29">
        <v>0</v>
      </c>
      <c r="R822" s="29">
        <v>0</v>
      </c>
      <c r="S822" s="64"/>
      <c r="T822" s="29">
        <v>0</v>
      </c>
      <c r="U822" s="29">
        <v>0</v>
      </c>
      <c r="V822" s="538">
        <f>T822-J822</f>
        <v>0</v>
      </c>
      <c r="W822" s="29">
        <v>0</v>
      </c>
      <c r="X822" s="563"/>
      <c r="Z822" s="738"/>
      <c r="AB822" s="738"/>
      <c r="AD822" s="738"/>
    </row>
    <row r="823" spans="1:32">
      <c r="A823" s="6">
        <f>MAX(A$807:A822)+1</f>
        <v>371</v>
      </c>
      <c r="C823" s="526" t="s">
        <v>446</v>
      </c>
      <c r="E823" s="522" t="s">
        <v>331</v>
      </c>
      <c r="G823" s="29">
        <v>642043</v>
      </c>
      <c r="I823" s="29">
        <v>0</v>
      </c>
      <c r="J823" s="29">
        <v>0</v>
      </c>
      <c r="L823" s="29">
        <v>0</v>
      </c>
      <c r="M823" s="29">
        <v>0</v>
      </c>
      <c r="N823" s="29">
        <v>0</v>
      </c>
      <c r="O823" s="29"/>
      <c r="P823" s="29">
        <v>0</v>
      </c>
      <c r="Q823" s="29">
        <v>0</v>
      </c>
      <c r="R823" s="29">
        <v>0</v>
      </c>
      <c r="S823" s="64"/>
      <c r="T823" s="29">
        <v>0</v>
      </c>
      <c r="U823" s="29">
        <v>0</v>
      </c>
      <c r="V823" s="538">
        <f>T823-J823</f>
        <v>0</v>
      </c>
      <c r="W823" s="29"/>
      <c r="X823" s="563"/>
      <c r="Z823" s="738"/>
      <c r="AB823" s="738"/>
      <c r="AD823" s="738"/>
    </row>
    <row r="824" spans="1:32">
      <c r="A824" s="6">
        <f>MAX(A$807:A823)+1</f>
        <v>372</v>
      </c>
      <c r="B824" s="58"/>
      <c r="C824" s="526" t="s">
        <v>447</v>
      </c>
      <c r="D824" s="58"/>
      <c r="E824" s="522" t="s">
        <v>331</v>
      </c>
      <c r="F824" s="58"/>
      <c r="G824" s="29">
        <v>4542991</v>
      </c>
      <c r="H824" s="58"/>
      <c r="I824" s="29">
        <v>0</v>
      </c>
      <c r="J824" s="29">
        <v>0</v>
      </c>
      <c r="K824" s="58"/>
      <c r="L824" s="29">
        <v>0</v>
      </c>
      <c r="M824" s="29">
        <v>0</v>
      </c>
      <c r="N824" s="29">
        <v>0</v>
      </c>
      <c r="O824" s="29"/>
      <c r="P824" s="29">
        <v>0</v>
      </c>
      <c r="Q824" s="29">
        <v>0</v>
      </c>
      <c r="R824" s="29">
        <v>0</v>
      </c>
      <c r="S824" s="564"/>
      <c r="T824" s="29">
        <v>0</v>
      </c>
      <c r="U824" s="29">
        <v>0</v>
      </c>
      <c r="V824" s="538">
        <f>T824-J824</f>
        <v>0</v>
      </c>
      <c r="W824" s="29"/>
      <c r="X824" s="563"/>
      <c r="Z824" s="738"/>
      <c r="AB824" s="738"/>
      <c r="AD824" s="738"/>
    </row>
    <row r="825" spans="1:32">
      <c r="A825" s="6">
        <f>MAX(A$807:A824)+1</f>
        <v>373</v>
      </c>
      <c r="B825" s="58"/>
      <c r="C825" s="526" t="s">
        <v>448</v>
      </c>
      <c r="D825" s="58"/>
      <c r="E825" s="522" t="s">
        <v>331</v>
      </c>
      <c r="F825" s="58"/>
      <c r="G825" s="29">
        <v>5048908.75</v>
      </c>
      <c r="H825" s="58"/>
      <c r="I825" s="29">
        <v>0</v>
      </c>
      <c r="J825" s="29">
        <v>0</v>
      </c>
      <c r="K825" s="58"/>
      <c r="L825" s="29">
        <v>0</v>
      </c>
      <c r="M825" s="29">
        <v>0</v>
      </c>
      <c r="N825" s="29">
        <v>0</v>
      </c>
      <c r="O825" s="29"/>
      <c r="P825" s="29">
        <v>0</v>
      </c>
      <c r="Q825" s="29">
        <v>0</v>
      </c>
      <c r="R825" s="29">
        <v>0</v>
      </c>
      <c r="S825" s="564"/>
      <c r="T825" s="29">
        <v>0</v>
      </c>
      <c r="U825" s="29">
        <v>0</v>
      </c>
      <c r="V825" s="538">
        <f>T825-J825</f>
        <v>0</v>
      </c>
      <c r="W825" s="29"/>
      <c r="X825" s="563"/>
      <c r="Z825" s="738"/>
      <c r="AB825" s="738"/>
      <c r="AD825" s="738"/>
    </row>
    <row r="826" spans="1:32">
      <c r="A826" s="6"/>
      <c r="B826" s="58"/>
      <c r="C826" s="521" t="s">
        <v>449</v>
      </c>
      <c r="D826" s="58"/>
      <c r="E826" s="522"/>
      <c r="F826" s="58"/>
      <c r="G826" s="29"/>
      <c r="H826" s="58"/>
      <c r="I826" s="58"/>
      <c r="J826" s="539"/>
      <c r="K826" s="58"/>
      <c r="L826" s="538"/>
      <c r="M826" s="538"/>
      <c r="N826" s="29"/>
      <c r="O826" s="29"/>
      <c r="P826" s="29"/>
      <c r="Q826" s="538"/>
      <c r="R826" s="538"/>
      <c r="S826" s="564"/>
      <c r="T826" s="564"/>
      <c r="U826" s="564"/>
      <c r="V826" s="538"/>
      <c r="W826" s="564"/>
      <c r="X826" s="542"/>
    </row>
    <row r="827" spans="1:32">
      <c r="A827" s="6">
        <f>MAX(A$807:A826)+1</f>
        <v>374</v>
      </c>
      <c r="B827" s="58"/>
      <c r="C827" s="526" t="s">
        <v>444</v>
      </c>
      <c r="D827" s="58"/>
      <c r="E827" s="522" t="s">
        <v>329</v>
      </c>
      <c r="F827" s="58"/>
      <c r="G827" s="29">
        <v>0</v>
      </c>
      <c r="H827" s="58"/>
      <c r="I827" s="29">
        <v>0</v>
      </c>
      <c r="J827" s="29">
        <v>0</v>
      </c>
      <c r="K827" s="58"/>
      <c r="L827" s="29">
        <v>0</v>
      </c>
      <c r="M827" s="29">
        <v>0</v>
      </c>
      <c r="N827" s="29">
        <v>0</v>
      </c>
      <c r="O827" s="564"/>
      <c r="P827" s="29">
        <v>0</v>
      </c>
      <c r="Q827" s="29">
        <v>0</v>
      </c>
      <c r="R827" s="29">
        <v>0</v>
      </c>
      <c r="S827" s="564"/>
      <c r="T827" s="29">
        <v>0</v>
      </c>
      <c r="U827" s="29">
        <v>0</v>
      </c>
      <c r="V827" s="538">
        <f>T827-J827</f>
        <v>0</v>
      </c>
      <c r="W827" s="29"/>
      <c r="X827" s="563"/>
    </row>
    <row r="828" spans="1:32">
      <c r="A828" s="6">
        <f>MAX(A$807:A827)+1</f>
        <v>375</v>
      </c>
      <c r="B828" s="58"/>
      <c r="C828" s="526" t="s">
        <v>445</v>
      </c>
      <c r="D828" s="58"/>
      <c r="E828" s="522" t="s">
        <v>331</v>
      </c>
      <c r="F828" s="58"/>
      <c r="G828" s="29">
        <v>0</v>
      </c>
      <c r="H828" s="58"/>
      <c r="I828" s="29">
        <v>0</v>
      </c>
      <c r="J828" s="29">
        <v>0</v>
      </c>
      <c r="K828" s="58"/>
      <c r="L828" s="29">
        <v>0</v>
      </c>
      <c r="M828" s="29">
        <v>0</v>
      </c>
      <c r="N828" s="29">
        <v>0</v>
      </c>
      <c r="O828" s="564"/>
      <c r="P828" s="29">
        <v>0</v>
      </c>
      <c r="Q828" s="29">
        <v>0</v>
      </c>
      <c r="R828" s="29">
        <v>0</v>
      </c>
      <c r="S828" s="564"/>
      <c r="T828" s="29">
        <v>0</v>
      </c>
      <c r="U828" s="29">
        <v>0</v>
      </c>
      <c r="V828" s="538">
        <f>T828-J828</f>
        <v>0</v>
      </c>
      <c r="W828" s="29"/>
      <c r="X828" s="563"/>
    </row>
    <row r="829" spans="1:32">
      <c r="A829" s="6">
        <f>MAX(A$807:A828)+1</f>
        <v>376</v>
      </c>
      <c r="B829" s="58"/>
      <c r="C829" s="526" t="s">
        <v>446</v>
      </c>
      <c r="D829" s="58"/>
      <c r="E829" s="522" t="s">
        <v>331</v>
      </c>
      <c r="F829" s="58"/>
      <c r="G829" s="29">
        <v>0</v>
      </c>
      <c r="H829" s="58"/>
      <c r="I829" s="29">
        <v>0</v>
      </c>
      <c r="J829" s="29">
        <v>0</v>
      </c>
      <c r="K829" s="58"/>
      <c r="L829" s="29">
        <v>0</v>
      </c>
      <c r="M829" s="29">
        <v>0</v>
      </c>
      <c r="N829" s="29">
        <v>0</v>
      </c>
      <c r="O829" s="564"/>
      <c r="P829" s="29">
        <v>0</v>
      </c>
      <c r="Q829" s="29">
        <v>0</v>
      </c>
      <c r="R829" s="29">
        <v>0</v>
      </c>
      <c r="S829" s="564"/>
      <c r="T829" s="29">
        <v>0</v>
      </c>
      <c r="U829" s="29">
        <v>0</v>
      </c>
      <c r="V829" s="538">
        <f>T829-J829</f>
        <v>0</v>
      </c>
      <c r="W829" s="29"/>
      <c r="X829" s="563"/>
    </row>
    <row r="830" spans="1:32">
      <c r="A830" s="6">
        <f>MAX(A$807:A829)+1</f>
        <v>377</v>
      </c>
      <c r="B830" s="58"/>
      <c r="C830" s="526" t="s">
        <v>447</v>
      </c>
      <c r="D830" s="58"/>
      <c r="E830" s="522" t="s">
        <v>331</v>
      </c>
      <c r="F830" s="58"/>
      <c r="G830" s="29">
        <v>0</v>
      </c>
      <c r="H830" s="58"/>
      <c r="I830" s="29">
        <v>0</v>
      </c>
      <c r="J830" s="29">
        <v>0</v>
      </c>
      <c r="K830" s="58"/>
      <c r="L830" s="29">
        <v>0</v>
      </c>
      <c r="M830" s="29">
        <v>0</v>
      </c>
      <c r="N830" s="29">
        <v>0</v>
      </c>
      <c r="O830" s="564"/>
      <c r="P830" s="29">
        <v>0</v>
      </c>
      <c r="Q830" s="29">
        <v>0</v>
      </c>
      <c r="R830" s="29">
        <v>0</v>
      </c>
      <c r="S830" s="564"/>
      <c r="T830" s="29">
        <v>0</v>
      </c>
      <c r="U830" s="29">
        <v>0</v>
      </c>
      <c r="V830" s="538">
        <f>T830-J830</f>
        <v>0</v>
      </c>
      <c r="W830" s="29"/>
      <c r="X830" s="542"/>
    </row>
    <row r="831" spans="1:32">
      <c r="A831" s="6">
        <f>MAX(A$807:A830)+1</f>
        <v>378</v>
      </c>
      <c r="B831" s="58"/>
      <c r="C831" s="526" t="s">
        <v>448</v>
      </c>
      <c r="D831" s="58"/>
      <c r="E831" s="522" t="s">
        <v>331</v>
      </c>
      <c r="F831" s="58"/>
      <c r="G831" s="29">
        <v>0</v>
      </c>
      <c r="H831" s="58"/>
      <c r="I831" s="29">
        <v>0</v>
      </c>
      <c r="J831" s="29">
        <v>0</v>
      </c>
      <c r="K831" s="58"/>
      <c r="L831" s="29">
        <v>0</v>
      </c>
      <c r="M831" s="29">
        <v>0</v>
      </c>
      <c r="N831" s="29">
        <v>0</v>
      </c>
      <c r="O831" s="564"/>
      <c r="P831" s="29">
        <v>0</v>
      </c>
      <c r="Q831" s="29">
        <v>0</v>
      </c>
      <c r="R831" s="29">
        <v>0</v>
      </c>
      <c r="S831" s="564"/>
      <c r="T831" s="29">
        <v>0</v>
      </c>
      <c r="U831" s="29">
        <v>0</v>
      </c>
      <c r="V831" s="538">
        <f>T831-J831</f>
        <v>0</v>
      </c>
      <c r="W831" s="29"/>
      <c r="X831" s="563"/>
    </row>
    <row r="832" spans="1:32">
      <c r="A832" s="6"/>
      <c r="B832" s="58"/>
      <c r="C832" s="713"/>
      <c r="D832" s="58"/>
      <c r="E832" s="30"/>
      <c r="F832" s="58"/>
      <c r="G832" s="29"/>
      <c r="H832" s="58"/>
      <c r="I832" s="58"/>
      <c r="J832" s="539"/>
      <c r="K832" s="58"/>
      <c r="L832" s="538"/>
      <c r="M832" s="538"/>
      <c r="N832" s="538"/>
      <c r="O832" s="564"/>
      <c r="P832" s="29"/>
      <c r="Q832" s="538"/>
      <c r="R832" s="538"/>
      <c r="S832" s="564"/>
      <c r="T832" s="564"/>
      <c r="U832" s="577"/>
      <c r="V832" s="538"/>
      <c r="W832" s="541"/>
      <c r="X832" s="542"/>
    </row>
    <row r="833" spans="1:32" ht="12.95" thickBot="1">
      <c r="A833" s="6">
        <f>MAX(A$807:A832)+1</f>
        <v>379</v>
      </c>
      <c r="B833" s="58"/>
      <c r="C833" s="2" t="str">
        <f>"Total " &amp;C817</f>
        <v>Total Rate M16</v>
      </c>
      <c r="D833" s="58"/>
      <c r="E833" s="574"/>
      <c r="F833" s="58"/>
      <c r="G833" s="589">
        <f>SUM(G822:G831)</f>
        <v>10889178.646551725</v>
      </c>
      <c r="H833" s="58"/>
      <c r="I833" s="712">
        <f>J833/G833*100</f>
        <v>3.9317645156326242E-3</v>
      </c>
      <c r="J833" s="627">
        <f>SUM(J818:J831)</f>
        <v>428.13686206896551</v>
      </c>
      <c r="K833" s="539"/>
      <c r="L833" s="628">
        <f t="shared" ref="L833:V833" si="249">SUM(L818:L831)</f>
        <v>0</v>
      </c>
      <c r="M833" s="628">
        <f t="shared" si="249"/>
        <v>0</v>
      </c>
      <c r="N833" s="628">
        <f t="shared" si="249"/>
        <v>428.13686206896551</v>
      </c>
      <c r="O833" s="564"/>
      <c r="P833" s="628">
        <f t="shared" si="249"/>
        <v>11.69896243416607</v>
      </c>
      <c r="Q833" s="628">
        <f t="shared" si="249"/>
        <v>0</v>
      </c>
      <c r="R833" s="628">
        <f t="shared" si="249"/>
        <v>0</v>
      </c>
      <c r="S833" s="564"/>
      <c r="T833" s="628">
        <f>SUM(T818:T831)</f>
        <v>439.83582450313156</v>
      </c>
      <c r="U833" s="763">
        <f>T833/G833*100</f>
        <v>4.0392011076282076E-3</v>
      </c>
      <c r="V833" s="628">
        <f t="shared" si="249"/>
        <v>11.69896243416607</v>
      </c>
      <c r="W833" s="629">
        <f>U833/I833-1</f>
        <v>2.7325286539521265E-2</v>
      </c>
      <c r="X833" s="630"/>
      <c r="Z833" s="738"/>
      <c r="AB833" s="738"/>
      <c r="AD833" s="738"/>
    </row>
    <row r="834" spans="1:32" ht="12.95" thickTop="1">
      <c r="A834" s="6"/>
      <c r="B834" s="58"/>
      <c r="D834" s="58"/>
      <c r="E834" s="574"/>
      <c r="F834" s="58"/>
      <c r="G834" s="29"/>
      <c r="H834" s="58"/>
      <c r="I834" s="548"/>
      <c r="J834" s="539"/>
      <c r="K834" s="539"/>
      <c r="L834" s="564"/>
      <c r="M834" s="564"/>
      <c r="N834" s="564"/>
      <c r="O834" s="564"/>
      <c r="P834" s="564"/>
      <c r="Q834" s="564"/>
      <c r="R834" s="564"/>
      <c r="S834" s="564"/>
      <c r="T834" s="564"/>
      <c r="U834" s="565"/>
      <c r="V834" s="564"/>
      <c r="W834" s="630"/>
      <c r="X834" s="630"/>
      <c r="Z834" s="738"/>
      <c r="AB834" s="738"/>
      <c r="AD834" s="738"/>
    </row>
    <row r="835" spans="1:32">
      <c r="L835" s="2"/>
      <c r="M835" s="2"/>
      <c r="N835" s="501"/>
      <c r="Q835" s="501"/>
      <c r="R835" s="501"/>
      <c r="V835" s="538"/>
      <c r="W835" s="501"/>
    </row>
    <row r="836" spans="1:32">
      <c r="L836" s="2"/>
      <c r="M836" s="2"/>
      <c r="N836" s="501"/>
      <c r="Q836" s="501"/>
      <c r="R836" s="501"/>
      <c r="V836" s="538"/>
      <c r="W836" s="501"/>
    </row>
    <row r="837" spans="1:32">
      <c r="L837" s="2"/>
      <c r="M837" s="2"/>
      <c r="N837" s="501"/>
      <c r="Q837" s="501"/>
      <c r="R837" s="501"/>
      <c r="V837" s="501"/>
      <c r="W837" s="501"/>
    </row>
    <row r="838" spans="1:32">
      <c r="A838" s="1156" t="s">
        <v>279</v>
      </c>
      <c r="B838" s="1156"/>
      <c r="C838" s="1156"/>
      <c r="D838" s="1156"/>
      <c r="E838" s="1156"/>
      <c r="F838" s="1156"/>
      <c r="G838" s="1156"/>
      <c r="H838" s="1156"/>
      <c r="I838" s="1156"/>
      <c r="J838" s="1156"/>
      <c r="K838" s="1156"/>
      <c r="L838" s="1156"/>
      <c r="M838" s="1156"/>
      <c r="N838" s="1156"/>
      <c r="O838" s="1156"/>
      <c r="P838" s="1156"/>
      <c r="Q838" s="1156"/>
      <c r="R838" s="1156"/>
      <c r="S838" s="1156"/>
      <c r="T838" s="1156"/>
      <c r="U838" s="1156"/>
      <c r="V838" s="1156"/>
      <c r="W838" s="1156"/>
      <c r="X838" s="531"/>
    </row>
    <row r="839" spans="1:32">
      <c r="A839" s="1156" t="s">
        <v>478</v>
      </c>
      <c r="B839" s="1156"/>
      <c r="C839" s="1156"/>
      <c r="D839" s="1156"/>
      <c r="E839" s="1156"/>
      <c r="F839" s="1156"/>
      <c r="G839" s="1156"/>
      <c r="H839" s="1156"/>
      <c r="I839" s="1156"/>
      <c r="J839" s="1156"/>
      <c r="K839" s="1156"/>
      <c r="L839" s="1156"/>
      <c r="M839" s="1156"/>
      <c r="N839" s="1156"/>
      <c r="O839" s="1156"/>
      <c r="P839" s="1156"/>
      <c r="Q839" s="1156"/>
      <c r="R839" s="1156"/>
      <c r="S839" s="1156"/>
      <c r="T839" s="1156"/>
      <c r="U839" s="1156"/>
      <c r="V839" s="1156"/>
      <c r="W839" s="1156"/>
      <c r="X839" s="737"/>
      <c r="Y839" s="737"/>
    </row>
    <row r="840" spans="1:32">
      <c r="A840" s="57"/>
      <c r="B840" s="57"/>
      <c r="C840" s="57"/>
      <c r="D840" s="57"/>
      <c r="E840" s="3"/>
      <c r="F840" s="57"/>
      <c r="G840" s="3"/>
      <c r="H840" s="57"/>
      <c r="I840" s="57"/>
      <c r="J840" s="57"/>
      <c r="K840" s="57"/>
      <c r="L840" s="57"/>
      <c r="M840" s="57"/>
      <c r="N840" s="501"/>
      <c r="O840" s="57"/>
      <c r="P840" s="57"/>
      <c r="Q840" s="501"/>
      <c r="R840" s="501"/>
      <c r="S840" s="57"/>
      <c r="T840" s="57"/>
      <c r="U840" s="57"/>
      <c r="V840" s="501"/>
      <c r="W840" s="501"/>
    </row>
    <row r="841" spans="1:32" ht="26.65" customHeight="1">
      <c r="A841" s="3"/>
      <c r="B841" s="3"/>
      <c r="C841" s="3"/>
      <c r="D841" s="3"/>
      <c r="E841" s="57"/>
      <c r="F841" s="1152" t="s">
        <v>231</v>
      </c>
      <c r="G841" s="1152"/>
      <c r="H841" s="1152"/>
      <c r="I841" s="1152"/>
      <c r="J841" s="1152"/>
      <c r="K841" s="3"/>
      <c r="L841" s="1157" t="s">
        <v>94</v>
      </c>
      <c r="M841" s="1157"/>
      <c r="N841" s="58"/>
      <c r="O841" s="3"/>
      <c r="P841" s="59"/>
      <c r="Q841" s="1157" t="s">
        <v>95</v>
      </c>
      <c r="R841" s="1157"/>
      <c r="S841" s="3"/>
      <c r="T841" s="1152" t="s">
        <v>472</v>
      </c>
      <c r="U841" s="1152"/>
      <c r="V841" s="1152"/>
      <c r="W841" s="1152"/>
      <c r="X841" s="6"/>
    </row>
    <row r="842" spans="1:32" ht="37.5">
      <c r="A842" s="5" t="s">
        <v>56</v>
      </c>
      <c r="B842" s="5"/>
      <c r="C842" s="5"/>
      <c r="D842" s="5"/>
      <c r="E842" s="6" t="s">
        <v>233</v>
      </c>
      <c r="F842" s="5"/>
      <c r="G842" s="17" t="s">
        <v>234</v>
      </c>
      <c r="H842" s="5"/>
      <c r="I842" s="17" t="s">
        <v>235</v>
      </c>
      <c r="J842" s="17" t="s">
        <v>101</v>
      </c>
      <c r="K842" s="5"/>
      <c r="L842" s="17" t="s">
        <v>106</v>
      </c>
      <c r="M842" s="17" t="s">
        <v>236</v>
      </c>
      <c r="N842" s="5" t="s">
        <v>239</v>
      </c>
      <c r="O842" s="5"/>
      <c r="P842" s="5" t="s">
        <v>240</v>
      </c>
      <c r="Q842" s="17" t="s">
        <v>106</v>
      </c>
      <c r="R842" s="17" t="s">
        <v>236</v>
      </c>
      <c r="S842" s="5"/>
      <c r="T842" s="17" t="s">
        <v>241</v>
      </c>
      <c r="U842" s="17" t="s">
        <v>242</v>
      </c>
      <c r="V842" s="17" t="s">
        <v>243</v>
      </c>
      <c r="W842" s="5" t="s">
        <v>244</v>
      </c>
      <c r="X842" s="5"/>
    </row>
    <row r="843" spans="1:32">
      <c r="A843" s="237" t="s">
        <v>57</v>
      </c>
      <c r="B843" s="58"/>
      <c r="C843" s="59" t="s">
        <v>194</v>
      </c>
      <c r="D843" s="58"/>
      <c r="E843" s="237" t="s">
        <v>245</v>
      </c>
      <c r="F843" s="58"/>
      <c r="G843" s="237" t="s">
        <v>246</v>
      </c>
      <c r="H843" s="58"/>
      <c r="I843" s="237" t="s">
        <v>397</v>
      </c>
      <c r="J843" s="237" t="s">
        <v>248</v>
      </c>
      <c r="K843" s="58"/>
      <c r="L843" s="237" t="s">
        <v>248</v>
      </c>
      <c r="M843" s="237" t="s">
        <v>248</v>
      </c>
      <c r="N843" s="237" t="s">
        <v>248</v>
      </c>
      <c r="O843" s="58"/>
      <c r="P843" s="237" t="s">
        <v>248</v>
      </c>
      <c r="Q843" s="237" t="s">
        <v>248</v>
      </c>
      <c r="R843" s="237" t="s">
        <v>248</v>
      </c>
      <c r="S843" s="58"/>
      <c r="T843" s="237" t="s">
        <v>248</v>
      </c>
      <c r="U843" s="237" t="s">
        <v>397</v>
      </c>
      <c r="V843" s="237" t="s">
        <v>248</v>
      </c>
      <c r="W843" s="237" t="s">
        <v>249</v>
      </c>
      <c r="X843" s="6"/>
    </row>
    <row r="844" spans="1:32">
      <c r="A844" s="6"/>
      <c r="B844" s="58"/>
      <c r="C844" s="58"/>
      <c r="D844" s="58"/>
      <c r="E844" s="6"/>
      <c r="F844" s="58"/>
      <c r="G844" s="6" t="s">
        <v>9</v>
      </c>
      <c r="H844" s="6"/>
      <c r="I844" s="6" t="s">
        <v>10</v>
      </c>
      <c r="J844" s="6" t="s">
        <v>58</v>
      </c>
      <c r="K844" s="6"/>
      <c r="L844" s="123" t="s">
        <v>12</v>
      </c>
      <c r="M844" s="123" t="s">
        <v>13</v>
      </c>
      <c r="N844" s="6" t="s">
        <v>473</v>
      </c>
      <c r="O844" s="6"/>
      <c r="P844" s="6" t="s">
        <v>474</v>
      </c>
      <c r="Q844" s="6" t="s">
        <v>210</v>
      </c>
      <c r="R844" s="6" t="s">
        <v>118</v>
      </c>
      <c r="S844" s="6"/>
      <c r="T844" s="6" t="s">
        <v>475</v>
      </c>
      <c r="U844" s="6" t="s">
        <v>120</v>
      </c>
      <c r="V844" s="6" t="s">
        <v>476</v>
      </c>
      <c r="W844" s="6" t="s">
        <v>477</v>
      </c>
    </row>
    <row r="845" spans="1:32">
      <c r="A845" s="6"/>
      <c r="B845" s="58"/>
      <c r="C845" s="12"/>
      <c r="D845" s="58"/>
      <c r="E845" s="574"/>
      <c r="F845" s="58"/>
      <c r="G845" s="29"/>
      <c r="H845" s="58"/>
      <c r="I845" s="58"/>
      <c r="J845" s="58"/>
      <c r="K845" s="58"/>
      <c r="L845" s="538"/>
      <c r="M845" s="538"/>
      <c r="N845" s="538"/>
      <c r="O845" s="564"/>
      <c r="P845" s="564"/>
      <c r="Q845" s="538"/>
      <c r="R845" s="538"/>
      <c r="S845" s="564"/>
      <c r="T845" s="564"/>
      <c r="U845" s="564"/>
      <c r="V845" s="538"/>
      <c r="W845" s="501"/>
    </row>
    <row r="846" spans="1:32">
      <c r="A846" s="6"/>
      <c r="B846" s="58"/>
      <c r="C846" s="9" t="s">
        <v>450</v>
      </c>
      <c r="D846" s="58"/>
      <c r="E846" s="30"/>
      <c r="F846" s="58"/>
      <c r="G846" s="29"/>
      <c r="H846" s="58"/>
      <c r="I846" s="58"/>
      <c r="J846" s="58"/>
      <c r="K846" s="58"/>
      <c r="L846" s="538"/>
      <c r="M846" s="538"/>
      <c r="N846" s="538"/>
      <c r="O846" s="564"/>
      <c r="P846" s="564"/>
      <c r="Q846" s="538"/>
      <c r="R846" s="538"/>
      <c r="S846" s="564"/>
      <c r="T846" s="564"/>
      <c r="U846" s="564"/>
      <c r="V846" s="538"/>
      <c r="W846" s="501"/>
    </row>
    <row r="847" spans="1:32">
      <c r="A847" s="6">
        <f>MAX(A$773:A846)+1</f>
        <v>380</v>
      </c>
      <c r="B847" s="58"/>
      <c r="C847" s="521" t="s">
        <v>438</v>
      </c>
      <c r="D847" s="58"/>
      <c r="E847" s="522" t="s">
        <v>259</v>
      </c>
      <c r="F847" s="58"/>
      <c r="G847" s="29">
        <v>12</v>
      </c>
      <c r="H847" s="58"/>
      <c r="I847" s="537">
        <v>2135.348</v>
      </c>
      <c r="J847" s="539">
        <f>G847*I847/1000</f>
        <v>25.624175999999999</v>
      </c>
      <c r="K847" s="58"/>
      <c r="L847" s="29">
        <v>0</v>
      </c>
      <c r="M847" s="29">
        <v>0</v>
      </c>
      <c r="N847" s="538">
        <f>J847</f>
        <v>25.624175999999999</v>
      </c>
      <c r="O847" s="564"/>
      <c r="P847" s="29">
        <v>0.70018795153912805</v>
      </c>
      <c r="Q847" s="29">
        <v>0</v>
      </c>
      <c r="R847" s="29">
        <v>0</v>
      </c>
      <c r="S847" s="564"/>
      <c r="T847" s="564">
        <f>N847+P847+Q847+R847</f>
        <v>26.324363951539127</v>
      </c>
      <c r="U847" s="725">
        <f>T847/G847*1000</f>
        <v>2193.6969959615935</v>
      </c>
      <c r="V847" s="538">
        <f>T847-J847</f>
        <v>0.70018795153912805</v>
      </c>
      <c r="W847" s="541">
        <f>U847/I847-1</f>
        <v>2.7325286539521265E-2</v>
      </c>
      <c r="X847" s="542"/>
      <c r="Z847" s="738"/>
      <c r="AB847" s="738"/>
      <c r="AD847" s="738"/>
      <c r="AF847" s="770"/>
    </row>
    <row r="848" spans="1:32">
      <c r="A848" s="6"/>
      <c r="B848" s="58"/>
      <c r="C848" s="521" t="s">
        <v>423</v>
      </c>
      <c r="D848" s="58"/>
      <c r="E848" s="30"/>
      <c r="F848" s="58"/>
      <c r="G848" s="29"/>
      <c r="H848" s="58"/>
      <c r="I848" s="706"/>
      <c r="J848" s="539"/>
      <c r="K848" s="58"/>
      <c r="L848" s="538"/>
      <c r="M848" s="538"/>
      <c r="N848" s="538"/>
      <c r="O848" s="564"/>
      <c r="P848" s="29"/>
      <c r="Q848" s="538"/>
      <c r="R848" s="538"/>
      <c r="S848" s="564"/>
      <c r="T848" s="564"/>
      <c r="U848" s="620"/>
      <c r="V848" s="538"/>
      <c r="W848" s="541"/>
      <c r="X848" s="542"/>
      <c r="Z848" s="738"/>
      <c r="AB848" s="738"/>
      <c r="AD848" s="738"/>
    </row>
    <row r="849" spans="1:32">
      <c r="A849" s="6">
        <f>MAX(A$846:A848)+1</f>
        <v>381</v>
      </c>
      <c r="B849" s="58"/>
      <c r="C849" s="705" t="s">
        <v>451</v>
      </c>
      <c r="D849" s="58"/>
      <c r="E849" s="522" t="s">
        <v>382</v>
      </c>
      <c r="F849" s="58"/>
      <c r="G849" s="29">
        <v>8863</v>
      </c>
      <c r="H849" s="58"/>
      <c r="I849" s="678">
        <v>4.734</v>
      </c>
      <c r="J849" s="539">
        <f>(G849*I849*12/1000)</f>
        <v>503.489304</v>
      </c>
      <c r="K849" s="58"/>
      <c r="L849" s="29">
        <v>0</v>
      </c>
      <c r="M849" s="29">
        <v>0</v>
      </c>
      <c r="N849" s="538">
        <f>J849</f>
        <v>503.489304</v>
      </c>
      <c r="O849" s="564"/>
      <c r="P849" s="29">
        <v>13.757989501384202</v>
      </c>
      <c r="Q849" s="29">
        <v>0</v>
      </c>
      <c r="R849" s="29">
        <v>0</v>
      </c>
      <c r="S849" s="564"/>
      <c r="T849" s="564">
        <f>N849+P849+Q849+R849</f>
        <v>517.24729350138421</v>
      </c>
      <c r="U849" s="62">
        <v>4.8630000000000004</v>
      </c>
      <c r="V849" s="538">
        <f>T849-J849</f>
        <v>13.757989501384202</v>
      </c>
      <c r="W849" s="541">
        <f>U849/I849-1</f>
        <v>2.7249683143219405E-2</v>
      </c>
      <c r="X849" s="542"/>
      <c r="Z849" s="738"/>
      <c r="AB849" s="738"/>
      <c r="AD849" s="738"/>
      <c r="AF849" s="764"/>
    </row>
    <row r="850" spans="1:32">
      <c r="A850" s="6">
        <f>MAX(A$846:A849)+1</f>
        <v>382</v>
      </c>
      <c r="C850" s="705" t="s">
        <v>452</v>
      </c>
      <c r="E850" s="522" t="s">
        <v>382</v>
      </c>
      <c r="G850" s="29">
        <v>0</v>
      </c>
      <c r="I850" s="678">
        <v>2.9039999999999999</v>
      </c>
      <c r="J850" s="29">
        <v>0</v>
      </c>
      <c r="L850" s="29">
        <v>0</v>
      </c>
      <c r="M850" s="29">
        <v>0</v>
      </c>
      <c r="N850" s="538">
        <f t="shared" ref="N850:N853" si="250">J850</f>
        <v>0</v>
      </c>
      <c r="O850" s="64"/>
      <c r="P850" s="29">
        <v>0</v>
      </c>
      <c r="Q850" s="29">
        <v>0</v>
      </c>
      <c r="R850" s="29">
        <v>0</v>
      </c>
      <c r="S850" s="64"/>
      <c r="T850" s="564">
        <f>N850+P850+Q850+R850</f>
        <v>0</v>
      </c>
      <c r="U850" s="62">
        <f>I850</f>
        <v>2.9039999999999999</v>
      </c>
      <c r="V850" s="538">
        <f>T850-J850</f>
        <v>0</v>
      </c>
      <c r="W850" s="541">
        <f>U850/I850-1</f>
        <v>0</v>
      </c>
      <c r="X850" s="542"/>
      <c r="Z850" s="738"/>
      <c r="AB850" s="738"/>
      <c r="AD850" s="738"/>
      <c r="AF850" s="764"/>
    </row>
    <row r="851" spans="1:32">
      <c r="A851" s="6">
        <f>MAX(A$846:A850)+1</f>
        <v>383</v>
      </c>
      <c r="C851" s="705" t="s">
        <v>453</v>
      </c>
      <c r="E851" s="522" t="s">
        <v>382</v>
      </c>
      <c r="G851" s="29">
        <v>0</v>
      </c>
      <c r="I851" s="678">
        <v>2.9039999999999999</v>
      </c>
      <c r="J851" s="29">
        <v>0</v>
      </c>
      <c r="L851" s="29">
        <v>0</v>
      </c>
      <c r="M851" s="29">
        <v>0</v>
      </c>
      <c r="N851" s="538">
        <f t="shared" si="250"/>
        <v>0</v>
      </c>
      <c r="O851" s="64"/>
      <c r="P851" s="29">
        <v>0</v>
      </c>
      <c r="Q851" s="29">
        <v>0</v>
      </c>
      <c r="R851" s="29">
        <v>0</v>
      </c>
      <c r="S851" s="64"/>
      <c r="T851" s="564">
        <f>N851+P851+Q851+R851</f>
        <v>0</v>
      </c>
      <c r="U851" s="62">
        <f>I851</f>
        <v>2.9039999999999999</v>
      </c>
      <c r="V851" s="538">
        <f>T851-J851</f>
        <v>0</v>
      </c>
      <c r="W851" s="541">
        <f>U851/I851-1</f>
        <v>0</v>
      </c>
      <c r="X851" s="542"/>
      <c r="Z851" s="738"/>
      <c r="AB851" s="738"/>
      <c r="AD851" s="738"/>
      <c r="AF851" s="764"/>
    </row>
    <row r="852" spans="1:32">
      <c r="A852" s="6"/>
      <c r="C852" s="521" t="s">
        <v>428</v>
      </c>
      <c r="E852" s="501"/>
      <c r="G852" s="29"/>
      <c r="J852" s="567"/>
      <c r="L852" s="538"/>
      <c r="M852" s="538"/>
      <c r="N852" s="538"/>
      <c r="O852" s="64"/>
      <c r="P852" s="29"/>
      <c r="Q852" s="538"/>
      <c r="R852" s="538"/>
      <c r="S852" s="64"/>
      <c r="T852" s="564"/>
      <c r="U852" s="767"/>
      <c r="V852" s="538"/>
      <c r="W852" s="541"/>
      <c r="X852" s="542"/>
      <c r="Z852" s="738"/>
      <c r="AB852" s="738"/>
      <c r="AD852" s="738"/>
      <c r="AF852" s="764"/>
    </row>
    <row r="853" spans="1:32">
      <c r="A853" s="6">
        <f>MAX(A$846:A852)+1</f>
        <v>384</v>
      </c>
      <c r="C853" s="526" t="s">
        <v>389</v>
      </c>
      <c r="E853" s="522" t="s">
        <v>331</v>
      </c>
      <c r="G853" s="29">
        <v>1303506.0105505299</v>
      </c>
      <c r="I853" s="29">
        <v>0</v>
      </c>
      <c r="J853" s="29">
        <v>0</v>
      </c>
      <c r="L853" s="29">
        <v>0</v>
      </c>
      <c r="M853" s="29">
        <v>0</v>
      </c>
      <c r="N853" s="538">
        <f t="shared" si="250"/>
        <v>0</v>
      </c>
      <c r="O853" s="64"/>
      <c r="P853" s="29">
        <v>0</v>
      </c>
      <c r="Q853" s="29">
        <v>0</v>
      </c>
      <c r="R853" s="29">
        <v>0</v>
      </c>
      <c r="S853" s="64"/>
      <c r="T853" s="564">
        <f t="shared" ref="T853" si="251">N853+P853+Q853+R853</f>
        <v>0</v>
      </c>
      <c r="U853" s="29">
        <f>T853/G853*1000</f>
        <v>0</v>
      </c>
      <c r="V853" s="538">
        <f>T853-J853</f>
        <v>0</v>
      </c>
      <c r="W853" s="541"/>
      <c r="X853" s="542"/>
      <c r="Z853" s="738"/>
      <c r="AB853" s="738"/>
      <c r="AD853" s="738"/>
      <c r="AF853" s="764"/>
    </row>
    <row r="854" spans="1:32">
      <c r="A854" s="6"/>
      <c r="C854" s="501"/>
      <c r="E854" s="30"/>
      <c r="G854" s="29"/>
      <c r="J854" s="567"/>
      <c r="L854" s="538"/>
      <c r="M854" s="538"/>
      <c r="N854" s="538"/>
      <c r="O854" s="64"/>
      <c r="P854" s="64"/>
      <c r="Q854" s="538"/>
      <c r="R854" s="538"/>
      <c r="S854" s="64"/>
      <c r="T854" s="64"/>
      <c r="U854" s="580"/>
      <c r="V854" s="538"/>
      <c r="W854" s="541"/>
      <c r="X854" s="542"/>
      <c r="Z854" s="738"/>
      <c r="AB854" s="738"/>
      <c r="AD854" s="738"/>
    </row>
    <row r="855" spans="1:32" ht="12.95" thickBot="1">
      <c r="A855" s="6">
        <f>MAX(A$846:A854)+1</f>
        <v>385</v>
      </c>
      <c r="C855" s="501" t="s">
        <v>454</v>
      </c>
      <c r="E855" s="30"/>
      <c r="G855" s="589">
        <v>1303506.0105505299</v>
      </c>
      <c r="I855" s="720">
        <f>J855/G855*1000</f>
        <v>0.4059156426724348</v>
      </c>
      <c r="J855" s="709">
        <f>SUM(J847:J851)</f>
        <v>529.11347999999998</v>
      </c>
      <c r="K855" s="567"/>
      <c r="L855" s="710">
        <f t="shared" ref="L855:M855" si="252">SUM(L847:L853)</f>
        <v>0</v>
      </c>
      <c r="M855" s="710">
        <f t="shared" si="252"/>
        <v>0</v>
      </c>
      <c r="N855" s="710">
        <f>SUM(N847:N853)</f>
        <v>529.11347999999998</v>
      </c>
      <c r="O855" s="710"/>
      <c r="P855" s="710">
        <f>SUM(P847:P850)</f>
        <v>14.45817745292333</v>
      </c>
      <c r="Q855" s="710">
        <f t="shared" ref="Q855:R855" si="253">SUM(Q847:Q851)</f>
        <v>0</v>
      </c>
      <c r="R855" s="710">
        <f t="shared" si="253"/>
        <v>0</v>
      </c>
      <c r="S855" s="64"/>
      <c r="T855" s="710">
        <f>SUM(T847:T853)</f>
        <v>543.57165745292332</v>
      </c>
      <c r="U855" s="771">
        <f>T855/G855*1000</f>
        <v>0.41700740391933311</v>
      </c>
      <c r="V855" s="710">
        <f t="shared" ref="V855" si="254">SUM(V847:V853)</f>
        <v>14.45817745292333</v>
      </c>
      <c r="W855" s="721">
        <f>U855/I855-1</f>
        <v>2.7325286539521487E-2</v>
      </c>
      <c r="X855" s="722"/>
      <c r="Z855" s="738"/>
      <c r="AB855" s="738"/>
      <c r="AD855" s="738"/>
    </row>
    <row r="856" spans="1:32" ht="12.95" thickTop="1">
      <c r="A856" s="6"/>
      <c r="C856" s="501"/>
      <c r="E856" s="30"/>
      <c r="G856" s="29"/>
      <c r="L856" s="501"/>
      <c r="M856" s="501"/>
      <c r="N856" s="501"/>
      <c r="Q856" s="501"/>
      <c r="R856" s="501"/>
      <c r="V856" s="538"/>
      <c r="W856" s="501"/>
    </row>
    <row r="857" spans="1:32">
      <c r="A857" s="6">
        <f>MAX(A$846:A856)+1</f>
        <v>386</v>
      </c>
      <c r="C857" s="726" t="s">
        <v>455</v>
      </c>
      <c r="E857" s="30"/>
      <c r="G857" s="29"/>
      <c r="J857" s="29">
        <v>1196.9395495536583</v>
      </c>
      <c r="L857" s="538">
        <v>0</v>
      </c>
      <c r="M857" s="538">
        <v>0</v>
      </c>
      <c r="N857" s="538">
        <f>J857</f>
        <v>1196.9395495536583</v>
      </c>
      <c r="P857" s="64">
        <f>T857-N857</f>
        <v>13.234035539499473</v>
      </c>
      <c r="Q857" s="538">
        <v>0</v>
      </c>
      <c r="R857" s="538">
        <v>0</v>
      </c>
      <c r="T857" s="64">
        <v>1210.1735850931577</v>
      </c>
      <c r="V857" s="538">
        <f>T857-J857</f>
        <v>13.234035539499473</v>
      </c>
      <c r="W857" s="501"/>
    </row>
    <row r="858" spans="1:32">
      <c r="A858" s="6"/>
      <c r="C858" s="727" t="s">
        <v>456</v>
      </c>
      <c r="E858" s="30"/>
      <c r="G858" s="29"/>
      <c r="L858" s="501"/>
      <c r="M858" s="501"/>
      <c r="N858" s="501"/>
      <c r="Q858" s="501"/>
      <c r="R858" s="501"/>
      <c r="V858" s="501"/>
      <c r="W858" s="501"/>
      <c r="X858" s="530"/>
    </row>
    <row r="859" spans="1:32" ht="12.95" thickBot="1">
      <c r="A859" s="6">
        <f>MAX(A$846:A858)+1</f>
        <v>387</v>
      </c>
      <c r="C859" s="501" t="s">
        <v>166</v>
      </c>
      <c r="E859" s="30"/>
      <c r="G859" s="29"/>
      <c r="J859" s="709">
        <f>J725+J730+J733+J760+J794+J813+J815+J833+J855+J857</f>
        <v>144286.2059512198</v>
      </c>
      <c r="K859" s="567"/>
      <c r="L859" s="710">
        <f>L725+L730+L733+L760+L794+L813+L815+L833+L855+L857</f>
        <v>0</v>
      </c>
      <c r="M859" s="710">
        <f>M725+M730+M733+M760+M794+M813+M815+M833+M855+M857</f>
        <v>0</v>
      </c>
      <c r="N859" s="709">
        <f>N725+N730+N733+N760+N794+N813+N815+N833+N855+N857</f>
        <v>144286.2059512198</v>
      </c>
      <c r="O859" s="709"/>
      <c r="P859" s="709">
        <f>P725+P730+P733+P760+P794+P813+P815+P833+P855+P857</f>
        <v>3488.7575820166335</v>
      </c>
      <c r="Q859" s="710">
        <f>Q725+Q730+Q733+Q760+Q794+Q813+Q815+Q833+Q855+Q857</f>
        <v>0</v>
      </c>
      <c r="R859" s="710">
        <f>R725+R730+R733+R760+R794+R813+R815+R833+R855+R857</f>
        <v>0</v>
      </c>
      <c r="S859" s="567"/>
      <c r="T859" s="709">
        <f>T725+T730+T733+T760+T794+T813+T815+T833+T855+T857</f>
        <v>147774.9635332365</v>
      </c>
      <c r="U859" s="567"/>
      <c r="V859" s="709">
        <f>V725+V730+V733+V760+V794+V813+V833+V855+V857</f>
        <v>3488.7575820166335</v>
      </c>
      <c r="W859" s="501"/>
    </row>
    <row r="860" spans="1:32" ht="12.95" thickTop="1">
      <c r="A860" s="6"/>
      <c r="E860" s="30"/>
      <c r="G860" s="29"/>
      <c r="L860" s="501"/>
      <c r="M860" s="501"/>
      <c r="N860" s="501"/>
      <c r="Q860" s="501"/>
      <c r="R860" s="501"/>
      <c r="V860" s="501"/>
      <c r="W860" s="501"/>
    </row>
    <row r="861" spans="1:32" ht="12.95" thickBot="1">
      <c r="A861" s="6">
        <f>MAX(A$846:A860)+1</f>
        <v>388</v>
      </c>
      <c r="C861" s="727" t="s">
        <v>483</v>
      </c>
      <c r="E861" s="30"/>
      <c r="G861" s="29"/>
      <c r="J861" s="627">
        <f>J707+J859</f>
        <v>2811398.343567003</v>
      </c>
      <c r="K861" s="539"/>
      <c r="L861" s="627">
        <f>L707+L859</f>
        <v>143871.4637834662</v>
      </c>
      <c r="M861" s="627">
        <f>M707+M859</f>
        <v>46925.204694014014</v>
      </c>
      <c r="N861" s="627">
        <f>N707+N859</f>
        <v>2622644.0721751251</v>
      </c>
      <c r="O861" s="539"/>
      <c r="P861" s="627">
        <f>P707+P859</f>
        <v>71210.596417494977</v>
      </c>
      <c r="Q861" s="627">
        <f>Q707+Q859</f>
        <v>183081.13465239876</v>
      </c>
      <c r="R861" s="627">
        <f>R707+R859</f>
        <v>46390.692841946395</v>
      </c>
      <c r="S861" s="539"/>
      <c r="T861" s="627">
        <f>T707+T859</f>
        <v>2923326.4960869662</v>
      </c>
      <c r="U861" s="539"/>
      <c r="V861" s="627">
        <f>V707+V859</f>
        <v>111928.1525199624</v>
      </c>
      <c r="W861" s="501"/>
    </row>
    <row r="862" spans="1:32" ht="15" thickTop="1">
      <c r="A862" s="6"/>
      <c r="B862" s="58"/>
      <c r="C862" s="12"/>
      <c r="D862" s="58"/>
      <c r="E862" s="574"/>
      <c r="F862" s="58"/>
      <c r="G862" s="29"/>
      <c r="H862" s="58"/>
      <c r="I862" s="58"/>
      <c r="J862" s="772"/>
      <c r="K862" s="772"/>
      <c r="L862" s="772"/>
      <c r="M862" s="772"/>
      <c r="N862" s="772"/>
      <c r="O862" s="772"/>
      <c r="P862" s="772"/>
      <c r="Q862" s="772"/>
      <c r="R862" s="772"/>
      <c r="S862" s="772"/>
      <c r="T862" s="772"/>
      <c r="U862" s="772"/>
      <c r="V862" s="772"/>
      <c r="W862" s="501"/>
    </row>
    <row r="863" spans="1:32" ht="14.45">
      <c r="G863" s="129"/>
      <c r="J863" s="772"/>
      <c r="K863" s="772"/>
      <c r="L863" s="772"/>
      <c r="M863" s="772"/>
      <c r="N863" s="772"/>
      <c r="O863" s="772"/>
      <c r="P863" s="772"/>
      <c r="Q863" s="772"/>
      <c r="R863" s="772"/>
      <c r="S863" s="772"/>
      <c r="T863" s="772"/>
      <c r="U863" s="772"/>
      <c r="V863" s="772"/>
      <c r="W863" s="501"/>
    </row>
    <row r="864" spans="1:32" ht="14.45">
      <c r="A864" s="9" t="s">
        <v>458</v>
      </c>
      <c r="D864" s="58"/>
      <c r="E864" s="30"/>
      <c r="F864" s="58"/>
      <c r="G864" s="132"/>
      <c r="H864" s="58"/>
      <c r="I864" s="58"/>
      <c r="J864" s="772"/>
      <c r="K864" s="772"/>
      <c r="L864" s="772"/>
      <c r="M864" s="772"/>
      <c r="N864" s="772"/>
      <c r="O864" s="772"/>
      <c r="P864" s="772"/>
      <c r="Q864" s="772"/>
      <c r="R864" s="772"/>
      <c r="S864" s="772"/>
      <c r="T864" s="772"/>
      <c r="U864" s="772"/>
      <c r="V864" s="772"/>
      <c r="W864" s="501"/>
    </row>
    <row r="865" spans="1:23">
      <c r="A865" s="15" t="s">
        <v>459</v>
      </c>
      <c r="C865" s="2" t="s">
        <v>460</v>
      </c>
      <c r="G865" s="129"/>
      <c r="L865" s="501"/>
      <c r="M865" s="501"/>
      <c r="N865" s="501"/>
      <c r="O865" s="58"/>
      <c r="P865" s="58"/>
      <c r="Q865" s="501"/>
      <c r="R865" s="501"/>
      <c r="S865" s="58"/>
      <c r="T865" s="58"/>
      <c r="U865" s="58"/>
      <c r="V865" s="501"/>
      <c r="W865" s="501"/>
    </row>
    <row r="866" spans="1:23">
      <c r="A866" s="15" t="s">
        <v>461</v>
      </c>
      <c r="C866" s="2" t="s">
        <v>172</v>
      </c>
      <c r="D866" s="58"/>
      <c r="E866" s="30"/>
      <c r="F866" s="58"/>
      <c r="G866" s="132"/>
      <c r="H866" s="58"/>
      <c r="I866" s="58"/>
      <c r="J866" s="58"/>
      <c r="K866" s="58"/>
      <c r="L866" s="501"/>
      <c r="M866" s="501"/>
      <c r="N866" s="501"/>
      <c r="O866" s="58"/>
      <c r="P866" s="58"/>
      <c r="Q866" s="501"/>
      <c r="R866" s="501"/>
      <c r="S866" s="58"/>
      <c r="T866" s="58"/>
      <c r="U866" s="58"/>
      <c r="V866" s="501"/>
      <c r="W866" s="501"/>
    </row>
    <row r="867" spans="1:23">
      <c r="A867" s="15" t="s">
        <v>462</v>
      </c>
      <c r="C867" s="2" t="s">
        <v>484</v>
      </c>
      <c r="D867" s="58"/>
      <c r="E867" s="30"/>
      <c r="F867" s="58"/>
      <c r="G867" s="29"/>
      <c r="H867" s="58"/>
      <c r="I867" s="58"/>
      <c r="J867" s="58"/>
      <c r="K867" s="58"/>
      <c r="L867" s="501"/>
      <c r="M867" s="501"/>
      <c r="N867" s="501"/>
      <c r="O867" s="501"/>
      <c r="P867" s="501"/>
      <c r="Q867" s="501"/>
      <c r="R867" s="501"/>
      <c r="S867" s="58"/>
      <c r="T867" s="58"/>
      <c r="U867" s="58"/>
      <c r="V867" s="501"/>
      <c r="W867" s="501"/>
    </row>
    <row r="868" spans="1:23" ht="12" customHeight="1">
      <c r="A868" s="15" t="s">
        <v>463</v>
      </c>
      <c r="B868" s="501"/>
      <c r="C868" s="16" t="s">
        <v>485</v>
      </c>
      <c r="D868" s="58"/>
      <c r="E868" s="30"/>
      <c r="F868" s="58"/>
      <c r="G868" s="29"/>
      <c r="H868" s="58"/>
      <c r="I868" s="58"/>
      <c r="J868" s="58"/>
      <c r="K868" s="58"/>
      <c r="L868" s="501"/>
      <c r="M868" s="501"/>
      <c r="N868" s="501"/>
      <c r="O868" s="501"/>
      <c r="P868" s="501"/>
      <c r="Q868" s="534"/>
      <c r="R868" s="501"/>
      <c r="S868" s="58"/>
      <c r="T868" s="58"/>
      <c r="U868" s="58"/>
      <c r="V868" s="501"/>
      <c r="W868" s="501"/>
    </row>
    <row r="869" spans="1:23" ht="12" customHeight="1">
      <c r="A869" s="15" t="s">
        <v>465</v>
      </c>
      <c r="B869" s="501"/>
      <c r="C869" s="2" t="s">
        <v>466</v>
      </c>
      <c r="D869" s="58"/>
      <c r="E869" s="30"/>
      <c r="F869" s="58"/>
      <c r="G869" s="29"/>
      <c r="H869" s="58"/>
      <c r="I869" s="58"/>
      <c r="J869" s="58"/>
      <c r="K869" s="58"/>
      <c r="L869" s="501"/>
      <c r="M869" s="501"/>
      <c r="N869" s="501"/>
      <c r="O869" s="501"/>
      <c r="P869" s="501"/>
      <c r="Q869" s="501"/>
      <c r="R869" s="501"/>
      <c r="S869" s="58"/>
      <c r="T869" s="58"/>
      <c r="U869" s="58"/>
      <c r="V869" s="501"/>
      <c r="W869" s="501"/>
    </row>
    <row r="870" spans="1:23" ht="12" customHeight="1">
      <c r="A870" s="15" t="s">
        <v>467</v>
      </c>
      <c r="B870" s="501"/>
      <c r="C870" s="2" t="s">
        <v>468</v>
      </c>
      <c r="D870" s="58"/>
      <c r="E870" s="30"/>
      <c r="F870" s="58"/>
      <c r="G870" s="29"/>
      <c r="H870" s="58"/>
      <c r="I870" s="58"/>
      <c r="J870" s="58"/>
      <c r="K870" s="58"/>
      <c r="L870" s="501"/>
      <c r="M870" s="501"/>
      <c r="N870" s="501"/>
      <c r="O870" s="501"/>
      <c r="P870" s="501"/>
      <c r="Q870" s="501"/>
      <c r="R870" s="501"/>
      <c r="S870" s="58"/>
      <c r="T870" s="58"/>
      <c r="U870" s="58"/>
      <c r="V870" s="501"/>
      <c r="W870" s="501"/>
    </row>
    <row r="871" spans="1:23">
      <c r="A871" s="15" t="s">
        <v>486</v>
      </c>
      <c r="C871" s="2" t="s">
        <v>487</v>
      </c>
      <c r="D871" s="58"/>
      <c r="E871" s="30"/>
      <c r="F871" s="58"/>
      <c r="G871" s="132"/>
      <c r="H871" s="58"/>
      <c r="I871" s="58"/>
      <c r="J871" s="58"/>
      <c r="K871" s="58"/>
      <c r="L871" s="501"/>
      <c r="M871" s="501"/>
      <c r="N871" s="501"/>
      <c r="O871" s="501"/>
      <c r="P871" s="501"/>
      <c r="Q871" s="501"/>
      <c r="R871" s="501"/>
      <c r="S871" s="58"/>
      <c r="T871" s="58"/>
      <c r="U871" s="58"/>
      <c r="V871" s="501"/>
      <c r="W871" s="501"/>
    </row>
    <row r="872" spans="1:23">
      <c r="A872" s="15" t="s">
        <v>488</v>
      </c>
      <c r="B872" s="58"/>
      <c r="C872" s="16" t="s">
        <v>489</v>
      </c>
      <c r="D872" s="58"/>
      <c r="E872" s="574"/>
      <c r="F872" s="58"/>
      <c r="G872" s="132"/>
      <c r="H872" s="58"/>
      <c r="I872" s="58"/>
      <c r="J872" s="58"/>
      <c r="K872" s="58"/>
      <c r="L872" s="501"/>
      <c r="M872" s="501"/>
      <c r="N872" s="501"/>
      <c r="O872" s="501"/>
      <c r="P872" s="501"/>
      <c r="Q872" s="501"/>
      <c r="R872" s="501"/>
      <c r="S872" s="58"/>
      <c r="T872" s="58"/>
      <c r="U872" s="58"/>
      <c r="V872" s="501"/>
      <c r="W872" s="501"/>
    </row>
    <row r="873" spans="1:23" ht="12.95">
      <c r="A873" s="6"/>
      <c r="B873" s="58"/>
      <c r="C873" s="9"/>
      <c r="D873" s="58"/>
      <c r="E873" s="128"/>
      <c r="F873" s="58"/>
      <c r="G873" s="575"/>
      <c r="H873" s="58"/>
      <c r="I873" s="58"/>
      <c r="J873" s="58"/>
      <c r="K873" s="58"/>
      <c r="O873" s="252"/>
      <c r="P873" s="252"/>
      <c r="S873" s="58"/>
      <c r="T873" s="58"/>
      <c r="U873" s="58"/>
    </row>
    <row r="874" spans="1:23">
      <c r="A874" s="6"/>
      <c r="C874" s="10"/>
      <c r="E874" s="522"/>
      <c r="G874" s="22"/>
      <c r="L874" s="737"/>
      <c r="N874" s="773"/>
      <c r="O874" s="58"/>
      <c r="P874" s="58"/>
    </row>
    <row r="875" spans="1:23">
      <c r="C875" s="10"/>
      <c r="E875" s="30"/>
      <c r="G875" s="22"/>
      <c r="L875" s="737"/>
      <c r="N875" s="530"/>
      <c r="O875" s="58"/>
      <c r="P875" s="58"/>
    </row>
    <row r="876" spans="1:23">
      <c r="A876" s="6"/>
      <c r="B876" s="58"/>
      <c r="C876" s="12"/>
      <c r="D876" s="58"/>
      <c r="E876" s="310"/>
      <c r="F876" s="58"/>
      <c r="G876" s="22"/>
      <c r="H876" s="58"/>
      <c r="I876" s="58"/>
      <c r="J876" s="58"/>
      <c r="K876" s="58"/>
      <c r="M876" s="530"/>
      <c r="N876" s="530"/>
      <c r="O876" s="58"/>
      <c r="P876" s="539"/>
      <c r="R876" s="530"/>
      <c r="S876" s="58"/>
      <c r="T876" s="539"/>
      <c r="U876" s="58"/>
    </row>
    <row r="877" spans="1:23">
      <c r="A877" s="6"/>
      <c r="B877" s="58"/>
      <c r="C877" s="12"/>
      <c r="D877" s="58"/>
      <c r="E877" s="574"/>
      <c r="F877" s="58"/>
      <c r="G877" s="22"/>
      <c r="H877" s="58"/>
      <c r="I877" s="58"/>
      <c r="J877" s="58"/>
      <c r="K877" s="58"/>
      <c r="M877" s="530"/>
      <c r="N877" s="530"/>
      <c r="O877" s="58"/>
      <c r="P877" s="539"/>
      <c r="S877" s="58"/>
      <c r="T877" s="58"/>
      <c r="U877" s="58"/>
    </row>
    <row r="878" spans="1:23">
      <c r="A878" s="6"/>
      <c r="B878" s="58"/>
      <c r="C878" s="12"/>
      <c r="D878" s="58"/>
      <c r="E878" s="310"/>
      <c r="F878" s="58"/>
      <c r="G878" s="22"/>
      <c r="H878" s="58"/>
      <c r="I878" s="58"/>
      <c r="J878" s="58"/>
      <c r="K878" s="58"/>
      <c r="M878" s="530"/>
      <c r="N878" s="530"/>
      <c r="P878" s="539"/>
      <c r="S878" s="58"/>
      <c r="T878" s="58"/>
      <c r="U878" s="58"/>
    </row>
    <row r="879" spans="1:23">
      <c r="A879" s="6"/>
      <c r="B879" s="58"/>
      <c r="C879" s="10"/>
      <c r="D879" s="58"/>
      <c r="E879" s="30"/>
      <c r="F879" s="58"/>
      <c r="G879" s="132"/>
      <c r="H879" s="58"/>
      <c r="I879" s="58"/>
      <c r="J879" s="58"/>
      <c r="K879" s="58"/>
      <c r="M879" s="530"/>
      <c r="N879" s="530"/>
      <c r="P879" s="539"/>
      <c r="S879" s="58"/>
      <c r="T879" s="58"/>
      <c r="U879" s="58"/>
    </row>
    <row r="880" spans="1:23">
      <c r="E880" s="30"/>
      <c r="G880" s="22"/>
      <c r="N880" s="530"/>
      <c r="O880" s="58"/>
      <c r="P880" s="539"/>
    </row>
    <row r="881" spans="1:21">
      <c r="C881" s="309"/>
      <c r="E881" s="30"/>
      <c r="G881" s="22"/>
      <c r="L881" s="737"/>
      <c r="M881" s="737"/>
      <c r="N881" s="530"/>
      <c r="O881" s="58"/>
      <c r="P881" s="539"/>
    </row>
    <row r="882" spans="1:21">
      <c r="C882" s="312"/>
      <c r="E882" s="30"/>
      <c r="G882" s="22"/>
      <c r="M882" s="530"/>
      <c r="N882" s="530"/>
      <c r="O882" s="58"/>
      <c r="P882" s="539"/>
      <c r="R882" s="530"/>
      <c r="T882" s="567"/>
    </row>
    <row r="883" spans="1:21">
      <c r="A883" s="6"/>
      <c r="C883" s="774"/>
      <c r="E883" s="30"/>
      <c r="G883" s="22"/>
      <c r="M883" s="530"/>
      <c r="N883" s="530"/>
      <c r="O883" s="58"/>
      <c r="P883" s="539"/>
    </row>
    <row r="884" spans="1:21">
      <c r="C884" s="312"/>
      <c r="E884" s="30"/>
      <c r="G884" s="22"/>
      <c r="M884" s="530"/>
      <c r="N884" s="530"/>
      <c r="P884" s="539"/>
    </row>
    <row r="885" spans="1:21">
      <c r="A885" s="6"/>
      <c r="C885" s="774"/>
      <c r="E885" s="30"/>
      <c r="G885" s="22"/>
      <c r="M885" s="530"/>
      <c r="N885" s="530"/>
      <c r="P885" s="539"/>
    </row>
    <row r="886" spans="1:21">
      <c r="A886" s="6"/>
      <c r="C886" s="774"/>
      <c r="E886" s="30"/>
      <c r="G886" s="22"/>
      <c r="N886" s="530"/>
      <c r="P886" s="539"/>
    </row>
    <row r="887" spans="1:21">
      <c r="A887" s="6"/>
      <c r="C887" s="774"/>
      <c r="E887" s="30"/>
      <c r="G887" s="22"/>
      <c r="L887" s="737"/>
      <c r="M887" s="737"/>
      <c r="N887" s="530"/>
      <c r="P887" s="539"/>
    </row>
    <row r="888" spans="1:21">
      <c r="A888" s="6"/>
      <c r="C888" s="774"/>
      <c r="E888" s="30"/>
      <c r="G888" s="22"/>
      <c r="M888" s="530"/>
      <c r="N888" s="530"/>
      <c r="P888" s="539"/>
      <c r="R888" s="530"/>
      <c r="T888" s="567"/>
    </row>
    <row r="889" spans="1:21">
      <c r="C889" s="312"/>
      <c r="E889" s="30"/>
      <c r="G889" s="22"/>
      <c r="M889" s="530"/>
      <c r="N889" s="530"/>
      <c r="P889" s="539"/>
    </row>
    <row r="890" spans="1:21">
      <c r="A890" s="6"/>
      <c r="C890" s="774"/>
      <c r="E890" s="30"/>
      <c r="G890" s="22"/>
      <c r="M890" s="530"/>
      <c r="N890" s="530"/>
      <c r="P890" s="539"/>
      <c r="Q890" s="530"/>
    </row>
    <row r="891" spans="1:21">
      <c r="C891" s="309"/>
      <c r="E891" s="30"/>
      <c r="G891" s="22"/>
      <c r="M891" s="530"/>
      <c r="N891" s="530"/>
      <c r="P891" s="539"/>
      <c r="Q891" s="530"/>
    </row>
    <row r="892" spans="1:21">
      <c r="A892" s="6"/>
      <c r="B892" s="58"/>
      <c r="C892" s="12"/>
      <c r="D892" s="58"/>
      <c r="E892" s="574"/>
      <c r="F892" s="58"/>
      <c r="G892" s="22"/>
      <c r="H892" s="58"/>
      <c r="I892" s="58"/>
      <c r="J892" s="58"/>
      <c r="K892" s="58"/>
      <c r="N892" s="530"/>
      <c r="P892" s="539"/>
      <c r="S892" s="58"/>
      <c r="T892" s="58"/>
      <c r="U892" s="58"/>
    </row>
    <row r="893" spans="1:21">
      <c r="G893" s="129"/>
      <c r="L893" s="737"/>
      <c r="N893" s="530"/>
      <c r="P893" s="539"/>
    </row>
    <row r="894" spans="1:21">
      <c r="A894" s="6"/>
      <c r="B894" s="58"/>
      <c r="C894" s="10"/>
      <c r="D894" s="58"/>
      <c r="E894" s="30"/>
      <c r="F894" s="58"/>
      <c r="G894" s="132"/>
      <c r="H894" s="58"/>
      <c r="I894" s="58"/>
      <c r="J894" s="58"/>
      <c r="K894" s="58"/>
      <c r="M894" s="530"/>
      <c r="N894" s="530"/>
      <c r="P894" s="539"/>
      <c r="S894" s="58"/>
      <c r="T894" s="58"/>
      <c r="U894" s="58"/>
    </row>
    <row r="895" spans="1:21">
      <c r="A895" s="6"/>
      <c r="B895" s="58"/>
      <c r="C895" s="10"/>
      <c r="D895" s="58"/>
      <c r="E895" s="30"/>
      <c r="F895" s="58"/>
      <c r="G895" s="22"/>
      <c r="H895" s="58"/>
      <c r="I895" s="58"/>
      <c r="J895" s="58"/>
      <c r="K895" s="58"/>
      <c r="M895" s="530"/>
      <c r="N895" s="530"/>
      <c r="P895" s="539"/>
      <c r="S895" s="58"/>
      <c r="T895" s="58"/>
      <c r="U895" s="58"/>
    </row>
    <row r="896" spans="1:21">
      <c r="A896" s="6"/>
      <c r="B896" s="58"/>
      <c r="C896" s="10"/>
      <c r="D896" s="58"/>
      <c r="E896" s="30"/>
      <c r="F896" s="58"/>
      <c r="G896" s="132"/>
      <c r="H896" s="58"/>
      <c r="I896" s="58"/>
      <c r="J896" s="58"/>
      <c r="K896" s="58"/>
      <c r="M896" s="530"/>
      <c r="N896" s="530"/>
      <c r="O896" s="58"/>
      <c r="P896" s="539"/>
      <c r="S896" s="58"/>
      <c r="T896" s="58"/>
      <c r="U896" s="58"/>
    </row>
    <row r="897" spans="1:21">
      <c r="A897" s="6"/>
      <c r="B897" s="58"/>
      <c r="C897" s="10"/>
      <c r="D897" s="58"/>
      <c r="E897" s="30"/>
      <c r="F897" s="58"/>
      <c r="G897" s="132"/>
      <c r="H897" s="58"/>
      <c r="I897" s="58"/>
      <c r="J897" s="58"/>
      <c r="K897" s="58"/>
      <c r="O897" s="58"/>
      <c r="P897" s="58"/>
      <c r="S897" s="58"/>
      <c r="T897" s="58"/>
      <c r="U897" s="58"/>
    </row>
    <row r="898" spans="1:21">
      <c r="A898" s="6"/>
      <c r="B898" s="58"/>
      <c r="C898" s="252"/>
      <c r="D898" s="58"/>
      <c r="F898" s="58"/>
      <c r="G898" s="129"/>
      <c r="H898" s="58"/>
      <c r="I898" s="58"/>
      <c r="J898" s="58"/>
      <c r="K898" s="58"/>
      <c r="O898" s="58"/>
      <c r="P898" s="58"/>
      <c r="S898" s="58"/>
      <c r="T898" s="58"/>
      <c r="U898" s="58"/>
    </row>
    <row r="899" spans="1:21">
      <c r="A899" s="6"/>
      <c r="B899" s="58"/>
      <c r="D899" s="58"/>
      <c r="E899" s="574"/>
      <c r="F899" s="58"/>
      <c r="G899" s="132"/>
      <c r="H899" s="58"/>
      <c r="I899" s="58"/>
      <c r="J899" s="58"/>
      <c r="K899" s="58"/>
      <c r="O899" s="58"/>
      <c r="P899" s="58"/>
      <c r="S899" s="58"/>
      <c r="T899" s="58"/>
      <c r="U899" s="58"/>
    </row>
    <row r="900" spans="1:21">
      <c r="A900" s="6"/>
      <c r="B900" s="58"/>
      <c r="D900" s="58"/>
      <c r="E900" s="574"/>
      <c r="F900" s="58"/>
      <c r="G900" s="132"/>
      <c r="H900" s="58"/>
      <c r="I900" s="58"/>
      <c r="J900" s="58"/>
      <c r="K900" s="58"/>
      <c r="O900" s="58"/>
      <c r="P900" s="58"/>
      <c r="S900" s="58"/>
      <c r="T900" s="58"/>
      <c r="U900" s="58"/>
    </row>
    <row r="901" spans="1:21">
      <c r="A901" s="581"/>
      <c r="B901" s="4"/>
      <c r="C901" s="4"/>
      <c r="D901" s="4"/>
      <c r="E901" s="4"/>
      <c r="F901" s="4"/>
      <c r="G901" s="4"/>
      <c r="H901" s="4"/>
      <c r="I901" s="4"/>
      <c r="J901" s="4"/>
      <c r="K901" s="4"/>
      <c r="O901" s="4"/>
      <c r="P901" s="4"/>
      <c r="S901" s="4"/>
      <c r="T901" s="4"/>
      <c r="U901" s="4"/>
    </row>
    <row r="902" spans="1:21">
      <c r="A902" s="731"/>
      <c r="B902" s="581"/>
      <c r="C902" s="581"/>
      <c r="D902" s="581"/>
      <c r="E902" s="581"/>
      <c r="F902" s="581"/>
      <c r="G902" s="581"/>
      <c r="H902" s="581"/>
      <c r="I902" s="581"/>
      <c r="J902" s="581"/>
      <c r="K902" s="581"/>
      <c r="O902" s="581"/>
      <c r="P902" s="581"/>
      <c r="S902" s="581"/>
      <c r="T902" s="581"/>
      <c r="U902" s="581"/>
    </row>
    <row r="903" spans="1:21">
      <c r="B903" s="57"/>
      <c r="D903" s="57"/>
      <c r="E903" s="3"/>
      <c r="F903" s="57"/>
      <c r="H903" s="57"/>
      <c r="I903" s="57"/>
      <c r="J903" s="57"/>
      <c r="K903" s="57"/>
      <c r="O903" s="57"/>
      <c r="P903" s="57"/>
      <c r="S903" s="57"/>
      <c r="T903" s="57"/>
      <c r="U903" s="57"/>
    </row>
    <row r="904" spans="1:21">
      <c r="A904" s="3"/>
      <c r="B904" s="3"/>
      <c r="C904" s="3"/>
      <c r="D904" s="3"/>
      <c r="E904" s="57"/>
      <c r="F904" s="3"/>
      <c r="G904" s="57"/>
      <c r="H904" s="3"/>
      <c r="I904" s="3"/>
      <c r="J904" s="3"/>
      <c r="K904" s="3"/>
      <c r="O904" s="3"/>
      <c r="P904" s="3"/>
      <c r="S904" s="3"/>
      <c r="T904" s="3"/>
      <c r="U904" s="3"/>
    </row>
    <row r="905" spans="1:21">
      <c r="A905" s="5"/>
      <c r="B905" s="5"/>
      <c r="C905" s="5"/>
      <c r="D905" s="5"/>
      <c r="E905" s="6"/>
      <c r="F905" s="5"/>
      <c r="G905" s="17"/>
      <c r="H905" s="5"/>
      <c r="I905" s="5"/>
      <c r="J905" s="5"/>
      <c r="K905" s="5"/>
      <c r="O905" s="5"/>
      <c r="P905" s="5"/>
      <c r="S905" s="5"/>
      <c r="T905" s="5"/>
      <c r="U905" s="5"/>
    </row>
    <row r="906" spans="1:21">
      <c r="A906" s="6"/>
      <c r="B906" s="58"/>
      <c r="C906" s="58"/>
      <c r="D906" s="58"/>
      <c r="E906" s="6"/>
      <c r="F906" s="58"/>
      <c r="G906" s="6"/>
      <c r="H906" s="58"/>
      <c r="I906" s="58"/>
      <c r="J906" s="58"/>
      <c r="K906" s="58"/>
      <c r="O906" s="58"/>
      <c r="P906" s="58"/>
      <c r="S906" s="58"/>
      <c r="T906" s="58"/>
      <c r="U906" s="58"/>
    </row>
    <row r="907" spans="1:21">
      <c r="A907" s="6"/>
      <c r="B907" s="58"/>
      <c r="C907" s="58"/>
      <c r="D907" s="58"/>
      <c r="E907" s="6"/>
      <c r="F907" s="58"/>
      <c r="G907" s="6"/>
      <c r="H907" s="58"/>
      <c r="I907" s="58"/>
      <c r="J907" s="58"/>
      <c r="K907" s="58"/>
      <c r="O907" s="58"/>
      <c r="P907" s="58"/>
      <c r="S907" s="58"/>
      <c r="T907" s="58"/>
      <c r="U907" s="58"/>
    </row>
    <row r="908" spans="1:21">
      <c r="C908" s="775"/>
      <c r="G908" s="129"/>
    </row>
    <row r="909" spans="1:21">
      <c r="C909" s="9"/>
      <c r="G909" s="129"/>
    </row>
    <row r="910" spans="1:21">
      <c r="A910" s="6"/>
      <c r="C910" s="309"/>
      <c r="G910" s="129"/>
    </row>
    <row r="911" spans="1:21">
      <c r="A911" s="6"/>
      <c r="C911" s="776"/>
      <c r="E911" s="522"/>
      <c r="G911" s="22"/>
    </row>
    <row r="912" spans="1:21">
      <c r="A912" s="6"/>
      <c r="C912" s="776"/>
      <c r="E912" s="310"/>
      <c r="G912" s="22"/>
    </row>
    <row r="913" spans="1:7">
      <c r="G913" s="129"/>
    </row>
    <row r="914" spans="1:7">
      <c r="A914" s="6"/>
      <c r="C914" s="501"/>
      <c r="E914" s="252"/>
      <c r="G914" s="132"/>
    </row>
    <row r="915" spans="1:7" ht="12.95">
      <c r="C915" s="732"/>
      <c r="G915" s="129"/>
    </row>
    <row r="916" spans="1:7">
      <c r="C916" s="9"/>
      <c r="G916" s="129"/>
    </row>
    <row r="917" spans="1:7">
      <c r="A917" s="6"/>
      <c r="C917" s="309"/>
      <c r="G917" s="129"/>
    </row>
    <row r="918" spans="1:7">
      <c r="A918" s="6"/>
      <c r="C918" s="777"/>
      <c r="E918" s="522"/>
      <c r="G918" s="568"/>
    </row>
    <row r="919" spans="1:7">
      <c r="A919" s="6"/>
      <c r="C919" s="521"/>
      <c r="E919" s="522"/>
      <c r="G919" s="129"/>
    </row>
    <row r="920" spans="1:7">
      <c r="A920" s="6"/>
      <c r="C920" s="521"/>
      <c r="E920" s="310"/>
      <c r="G920" s="568"/>
    </row>
    <row r="921" spans="1:7">
      <c r="A921" s="6"/>
      <c r="C921" s="501"/>
      <c r="G921" s="129"/>
    </row>
    <row r="922" spans="1:7">
      <c r="A922" s="6"/>
      <c r="C922" s="501"/>
      <c r="G922" s="132"/>
    </row>
    <row r="923" spans="1:7">
      <c r="A923" s="6"/>
      <c r="C923" s="501"/>
      <c r="G923" s="132"/>
    </row>
    <row r="924" spans="1:7">
      <c r="A924" s="6"/>
      <c r="C924" s="713"/>
      <c r="G924" s="132"/>
    </row>
    <row r="925" spans="1:7">
      <c r="A925" s="6"/>
      <c r="C925" s="521"/>
      <c r="E925" s="252"/>
      <c r="G925" s="22"/>
    </row>
    <row r="927" spans="1:7">
      <c r="C927" s="9"/>
      <c r="G927" s="129"/>
    </row>
    <row r="928" spans="1:7">
      <c r="C928" s="10"/>
      <c r="G928" s="129"/>
    </row>
    <row r="929" spans="1:7">
      <c r="A929" s="6"/>
      <c r="C929" s="12"/>
      <c r="E929" s="522"/>
      <c r="G929" s="22"/>
    </row>
    <row r="930" spans="1:7">
      <c r="A930" s="6"/>
      <c r="C930" s="714"/>
      <c r="E930" s="522"/>
      <c r="G930" s="22"/>
    </row>
    <row r="931" spans="1:7">
      <c r="A931" s="6"/>
      <c r="C931" s="12"/>
      <c r="E931" s="522"/>
      <c r="G931" s="22"/>
    </row>
    <row r="932" spans="1:7">
      <c r="A932" s="6"/>
      <c r="C932" s="714"/>
      <c r="E932" s="522"/>
      <c r="G932" s="22"/>
    </row>
    <row r="933" spans="1:7">
      <c r="A933" s="6"/>
      <c r="C933" s="526"/>
      <c r="E933" s="522"/>
      <c r="G933" s="22"/>
    </row>
    <row r="934" spans="1:7">
      <c r="A934" s="6"/>
      <c r="C934" s="12"/>
    </row>
    <row r="935" spans="1:7">
      <c r="A935" s="6"/>
      <c r="C935" s="714"/>
      <c r="E935" s="522"/>
      <c r="G935" s="22"/>
    </row>
    <row r="936" spans="1:7">
      <c r="A936" s="6"/>
      <c r="C936" s="10"/>
      <c r="G936" s="129"/>
    </row>
    <row r="937" spans="1:7">
      <c r="A937" s="6"/>
      <c r="C937" s="521"/>
      <c r="G937" s="129"/>
    </row>
    <row r="938" spans="1:7">
      <c r="A938" s="6"/>
      <c r="C938" s="12"/>
      <c r="E938" s="522"/>
      <c r="G938" s="22"/>
    </row>
    <row r="939" spans="1:7">
      <c r="A939" s="6"/>
      <c r="C939" s="12"/>
      <c r="E939" s="522"/>
      <c r="G939" s="22"/>
    </row>
    <row r="940" spans="1:7">
      <c r="A940" s="6"/>
      <c r="C940" s="12"/>
      <c r="E940" s="522"/>
      <c r="G940" s="22"/>
    </row>
    <row r="941" spans="1:7">
      <c r="A941" s="6"/>
      <c r="C941" s="12"/>
      <c r="E941" s="522"/>
      <c r="G941" s="22"/>
    </row>
    <row r="942" spans="1:7">
      <c r="A942" s="6"/>
      <c r="C942" s="12"/>
      <c r="E942" s="522"/>
      <c r="G942" s="22"/>
    </row>
    <row r="943" spans="1:7">
      <c r="A943" s="6"/>
      <c r="C943" s="718"/>
      <c r="E943" s="522"/>
      <c r="G943" s="22"/>
    </row>
    <row r="944" spans="1:7">
      <c r="C944" s="521"/>
      <c r="G944" s="129"/>
    </row>
    <row r="945" spans="1:21">
      <c r="A945" s="6"/>
      <c r="C945" s="12"/>
      <c r="E945" s="522"/>
      <c r="G945" s="22"/>
    </row>
    <row r="946" spans="1:21">
      <c r="A946" s="6"/>
      <c r="C946" s="12"/>
      <c r="E946" s="522"/>
      <c r="G946" s="22"/>
    </row>
    <row r="947" spans="1:21">
      <c r="C947" s="309"/>
      <c r="E947" s="252"/>
      <c r="G947" s="129"/>
    </row>
    <row r="948" spans="1:21">
      <c r="C948" s="521"/>
      <c r="E948" s="252"/>
      <c r="G948" s="129"/>
    </row>
    <row r="949" spans="1:21">
      <c r="A949" s="6"/>
      <c r="C949" s="12"/>
      <c r="E949" s="522"/>
      <c r="G949" s="22"/>
    </row>
    <row r="950" spans="1:21">
      <c r="A950" s="6"/>
      <c r="C950" s="12"/>
      <c r="E950" s="522"/>
      <c r="G950" s="22"/>
    </row>
    <row r="951" spans="1:21">
      <c r="G951" s="129"/>
    </row>
    <row r="952" spans="1:21">
      <c r="A952" s="6"/>
      <c r="C952" s="16"/>
      <c r="E952" s="17"/>
      <c r="G952" s="132"/>
    </row>
    <row r="953" spans="1:21">
      <c r="G953" s="129"/>
    </row>
    <row r="954" spans="1:21">
      <c r="A954" s="6"/>
      <c r="B954" s="58"/>
      <c r="D954" s="58"/>
      <c r="E954" s="574"/>
      <c r="F954" s="58"/>
      <c r="G954" s="132"/>
      <c r="H954" s="58"/>
      <c r="I954" s="58"/>
      <c r="J954" s="58"/>
      <c r="K954" s="58"/>
      <c r="O954" s="58"/>
      <c r="P954" s="58"/>
      <c r="S954" s="58"/>
      <c r="T954" s="58"/>
      <c r="U954" s="58"/>
    </row>
    <row r="955" spans="1:21">
      <c r="A955" s="6"/>
      <c r="B955" s="58"/>
      <c r="D955" s="58"/>
      <c r="E955" s="574"/>
      <c r="F955" s="58"/>
      <c r="G955" s="132"/>
      <c r="H955" s="58"/>
      <c r="I955" s="58"/>
      <c r="J955" s="58"/>
      <c r="K955" s="58"/>
      <c r="O955" s="58"/>
      <c r="P955" s="58"/>
      <c r="S955" s="58"/>
      <c r="T955" s="58"/>
      <c r="U955" s="58"/>
    </row>
    <row r="956" spans="1:21">
      <c r="A956" s="581"/>
      <c r="B956" s="4"/>
      <c r="C956" s="4"/>
      <c r="D956" s="4"/>
      <c r="E956" s="4"/>
      <c r="F956" s="4"/>
      <c r="G956" s="4"/>
      <c r="H956" s="4"/>
      <c r="I956" s="4"/>
      <c r="J956" s="4"/>
      <c r="K956" s="4"/>
      <c r="O956" s="4"/>
      <c r="P956" s="4"/>
      <c r="S956" s="4"/>
      <c r="T956" s="4"/>
      <c r="U956" s="4"/>
    </row>
    <row r="957" spans="1:21">
      <c r="A957" s="731"/>
      <c r="B957" s="581"/>
      <c r="C957" s="581"/>
      <c r="D957" s="581"/>
      <c r="E957" s="581"/>
      <c r="F957" s="581"/>
      <c r="G957" s="581"/>
      <c r="H957" s="581"/>
      <c r="I957" s="581"/>
      <c r="J957" s="581"/>
      <c r="K957" s="581"/>
      <c r="O957" s="581"/>
      <c r="P957" s="581"/>
      <c r="S957" s="581"/>
      <c r="T957" s="581"/>
      <c r="U957" s="581"/>
    </row>
    <row r="958" spans="1:21">
      <c r="B958" s="6"/>
      <c r="C958" s="6"/>
      <c r="D958" s="6"/>
      <c r="E958" s="3"/>
      <c r="F958" s="6"/>
      <c r="G958" s="3"/>
      <c r="H958" s="6"/>
      <c r="I958" s="6"/>
      <c r="J958" s="6"/>
      <c r="K958" s="6"/>
      <c r="O958" s="6"/>
      <c r="P958" s="6"/>
      <c r="S958" s="6"/>
      <c r="T958" s="6"/>
      <c r="U958" s="6"/>
    </row>
    <row r="959" spans="1:21">
      <c r="A959" s="3"/>
      <c r="B959" s="3"/>
      <c r="C959" s="3"/>
      <c r="D959" s="3"/>
      <c r="E959" s="6"/>
      <c r="F959" s="3"/>
      <c r="G959" s="6"/>
      <c r="H959" s="3"/>
      <c r="I959" s="3"/>
      <c r="J959" s="3"/>
      <c r="K959" s="3"/>
      <c r="O959" s="3"/>
      <c r="P959" s="3"/>
      <c r="S959" s="3"/>
      <c r="T959" s="3"/>
      <c r="U959" s="3"/>
    </row>
    <row r="960" spans="1:21">
      <c r="A960" s="5"/>
      <c r="B960" s="5"/>
      <c r="C960" s="5"/>
      <c r="D960" s="5"/>
      <c r="E960" s="6"/>
      <c r="F960" s="5"/>
      <c r="G960" s="17"/>
      <c r="H960" s="5"/>
      <c r="I960" s="5"/>
      <c r="J960" s="5"/>
      <c r="K960" s="5"/>
      <c r="O960" s="5"/>
      <c r="P960" s="5"/>
      <c r="S960" s="5"/>
      <c r="T960" s="5"/>
      <c r="U960" s="5"/>
    </row>
    <row r="961" spans="1:21">
      <c r="A961" s="6"/>
      <c r="B961" s="58"/>
      <c r="C961" s="58"/>
      <c r="D961" s="58"/>
      <c r="E961" s="6"/>
      <c r="F961" s="58"/>
      <c r="G961" s="6"/>
      <c r="H961" s="58"/>
      <c r="I961" s="58"/>
      <c r="J961" s="58"/>
      <c r="K961" s="58"/>
      <c r="O961" s="58"/>
      <c r="P961" s="58"/>
      <c r="S961" s="58"/>
      <c r="T961" s="58"/>
      <c r="U961" s="58"/>
    </row>
    <row r="962" spans="1:21">
      <c r="A962" s="6"/>
      <c r="B962" s="58"/>
      <c r="C962" s="58"/>
      <c r="D962" s="58"/>
      <c r="E962" s="6"/>
      <c r="F962" s="58"/>
      <c r="G962" s="6"/>
      <c r="H962" s="58"/>
      <c r="I962" s="58"/>
      <c r="J962" s="58"/>
      <c r="K962" s="58"/>
      <c r="O962" s="58"/>
      <c r="P962" s="58"/>
      <c r="S962" s="58"/>
      <c r="T962" s="58"/>
      <c r="U962" s="58"/>
    </row>
    <row r="963" spans="1:21">
      <c r="G963" s="129"/>
    </row>
    <row r="964" spans="1:21">
      <c r="C964" s="9"/>
      <c r="G964" s="129"/>
    </row>
    <row r="965" spans="1:21">
      <c r="C965" s="10"/>
      <c r="G965" s="129"/>
    </row>
    <row r="966" spans="1:21">
      <c r="A966" s="6"/>
      <c r="C966" s="717"/>
      <c r="E966" s="522"/>
      <c r="G966" s="29"/>
    </row>
    <row r="967" spans="1:21">
      <c r="A967" s="6"/>
      <c r="C967" s="717"/>
      <c r="E967" s="522"/>
      <c r="G967" s="22"/>
    </row>
    <row r="968" spans="1:21">
      <c r="A968" s="6"/>
      <c r="C968" s="12"/>
      <c r="E968" s="522"/>
      <c r="G968" s="22"/>
    </row>
    <row r="969" spans="1:21">
      <c r="A969" s="6"/>
      <c r="C969" s="718"/>
      <c r="E969" s="522"/>
      <c r="G969" s="22"/>
    </row>
    <row r="970" spans="1:21">
      <c r="A970" s="6"/>
      <c r="C970" s="12"/>
      <c r="E970" s="522"/>
      <c r="G970" s="22"/>
    </row>
    <row r="971" spans="1:21">
      <c r="G971" s="129"/>
    </row>
    <row r="972" spans="1:21">
      <c r="C972" s="10"/>
      <c r="G972" s="129"/>
    </row>
    <row r="973" spans="1:21">
      <c r="C973" s="526"/>
      <c r="G973" s="129"/>
    </row>
    <row r="974" spans="1:21">
      <c r="C974" s="697"/>
      <c r="G974" s="129"/>
    </row>
    <row r="975" spans="1:21">
      <c r="A975" s="6"/>
      <c r="C975" s="719"/>
      <c r="E975" s="522"/>
      <c r="G975" s="22"/>
    </row>
    <row r="976" spans="1:21">
      <c r="C976" s="697"/>
      <c r="E976" s="252"/>
      <c r="G976" s="129"/>
    </row>
    <row r="977" spans="1:7">
      <c r="A977" s="6"/>
      <c r="C977" s="719"/>
      <c r="E977" s="522"/>
      <c r="G977" s="22"/>
    </row>
    <row r="978" spans="1:7">
      <c r="A978" s="6"/>
      <c r="C978" s="719"/>
      <c r="E978" s="522"/>
      <c r="G978" s="22"/>
    </row>
    <row r="979" spans="1:7">
      <c r="A979" s="6"/>
      <c r="C979" s="719"/>
      <c r="E979" s="522"/>
      <c r="G979" s="22"/>
    </row>
    <row r="980" spans="1:7">
      <c r="A980" s="6"/>
      <c r="C980" s="719"/>
      <c r="E980" s="522"/>
      <c r="G980" s="22"/>
    </row>
    <row r="981" spans="1:7">
      <c r="C981" s="252"/>
      <c r="E981" s="252"/>
      <c r="G981" s="129"/>
    </row>
    <row r="982" spans="1:7">
      <c r="C982" s="526"/>
      <c r="E982" s="522"/>
      <c r="G982" s="129"/>
    </row>
    <row r="983" spans="1:7">
      <c r="C983" s="697"/>
      <c r="E983" s="252"/>
      <c r="G983" s="129"/>
    </row>
    <row r="984" spans="1:7">
      <c r="A984" s="6"/>
      <c r="C984" s="719"/>
      <c r="E984" s="522"/>
      <c r="G984" s="22"/>
    </row>
    <row r="985" spans="1:7">
      <c r="A985" s="6"/>
      <c r="C985" s="719"/>
      <c r="E985" s="522"/>
      <c r="G985" s="22"/>
    </row>
    <row r="986" spans="1:7">
      <c r="G986" s="129"/>
    </row>
    <row r="987" spans="1:7">
      <c r="A987" s="6"/>
      <c r="E987" s="522"/>
      <c r="G987" s="22"/>
    </row>
    <row r="988" spans="1:7">
      <c r="A988" s="6"/>
      <c r="G988" s="129"/>
    </row>
    <row r="989" spans="1:7">
      <c r="G989" s="129"/>
    </row>
    <row r="990" spans="1:7">
      <c r="A990" s="6"/>
      <c r="G990" s="642"/>
    </row>
    <row r="991" spans="1:7">
      <c r="G991" s="129"/>
    </row>
    <row r="992" spans="1:7">
      <c r="G992" s="129"/>
    </row>
    <row r="993" spans="1:21">
      <c r="G993" s="129"/>
    </row>
    <row r="994" spans="1:21">
      <c r="A994" s="581"/>
      <c r="B994" s="4"/>
      <c r="C994" s="4"/>
      <c r="D994" s="4"/>
      <c r="E994" s="4"/>
      <c r="F994" s="4"/>
      <c r="G994" s="4"/>
      <c r="H994" s="4"/>
      <c r="I994" s="4"/>
      <c r="J994" s="4"/>
      <c r="K994" s="4"/>
      <c r="O994" s="4"/>
      <c r="P994" s="4"/>
      <c r="S994" s="4"/>
      <c r="T994" s="4"/>
      <c r="U994" s="4"/>
    </row>
    <row r="995" spans="1:21">
      <c r="A995" s="731"/>
      <c r="B995" s="581"/>
      <c r="C995" s="581"/>
      <c r="D995" s="581"/>
      <c r="E995" s="581"/>
      <c r="F995" s="581"/>
      <c r="G995" s="581"/>
      <c r="H995" s="581"/>
      <c r="I995" s="581"/>
      <c r="J995" s="581"/>
      <c r="K995" s="581"/>
      <c r="O995" s="581"/>
      <c r="P995" s="581"/>
      <c r="S995" s="581"/>
      <c r="T995" s="581"/>
      <c r="U995" s="581"/>
    </row>
    <row r="996" spans="1:21">
      <c r="A996" s="6"/>
      <c r="B996" s="6"/>
      <c r="C996" s="6"/>
      <c r="D996" s="6"/>
      <c r="E996" s="3"/>
      <c r="F996" s="6"/>
      <c r="G996" s="3"/>
      <c r="H996" s="6"/>
      <c r="I996" s="6"/>
      <c r="J996" s="6"/>
      <c r="K996" s="6"/>
      <c r="O996" s="6"/>
      <c r="P996" s="6"/>
      <c r="S996" s="6"/>
      <c r="T996" s="6"/>
      <c r="U996" s="6"/>
    </row>
    <row r="997" spans="1:21">
      <c r="A997" s="3"/>
      <c r="B997" s="3"/>
      <c r="C997" s="3"/>
      <c r="D997" s="3"/>
      <c r="E997" s="6"/>
      <c r="F997" s="3"/>
      <c r="G997" s="6"/>
      <c r="H997" s="3"/>
      <c r="I997" s="3"/>
      <c r="J997" s="3"/>
      <c r="K997" s="3"/>
      <c r="O997" s="3"/>
      <c r="P997" s="3"/>
      <c r="S997" s="3"/>
      <c r="T997" s="3"/>
      <c r="U997" s="3"/>
    </row>
    <row r="998" spans="1:21">
      <c r="A998" s="5"/>
      <c r="B998" s="5"/>
      <c r="C998" s="5"/>
      <c r="D998" s="5"/>
      <c r="E998" s="6"/>
      <c r="F998" s="5"/>
      <c r="G998" s="17"/>
      <c r="H998" s="5"/>
      <c r="I998" s="5"/>
      <c r="J998" s="5"/>
      <c r="K998" s="5"/>
      <c r="O998" s="5"/>
      <c r="P998" s="5"/>
      <c r="S998" s="5"/>
      <c r="T998" s="5"/>
      <c r="U998" s="5"/>
    </row>
    <row r="999" spans="1:21">
      <c r="A999" s="6"/>
      <c r="B999" s="58"/>
      <c r="C999" s="58"/>
      <c r="D999" s="58"/>
      <c r="E999" s="6"/>
      <c r="F999" s="58"/>
      <c r="G999" s="6"/>
      <c r="H999" s="58"/>
      <c r="I999" s="58"/>
      <c r="J999" s="58"/>
      <c r="K999" s="58"/>
      <c r="O999" s="58"/>
      <c r="P999" s="58"/>
      <c r="S999" s="58"/>
      <c r="T999" s="58"/>
      <c r="U999" s="58"/>
    </row>
    <row r="1000" spans="1:21">
      <c r="A1000" s="6"/>
      <c r="B1000" s="58"/>
      <c r="C1000" s="58"/>
      <c r="D1000" s="58"/>
      <c r="E1000" s="6"/>
      <c r="F1000" s="58"/>
      <c r="G1000" s="6"/>
      <c r="H1000" s="58"/>
      <c r="I1000" s="58"/>
      <c r="J1000" s="58"/>
      <c r="K1000" s="58"/>
      <c r="O1000" s="58"/>
      <c r="P1000" s="58"/>
      <c r="S1000" s="58"/>
      <c r="T1000" s="58"/>
      <c r="U1000" s="58"/>
    </row>
    <row r="1001" spans="1:21">
      <c r="G1001" s="129"/>
    </row>
    <row r="1002" spans="1:21">
      <c r="C1002" s="723"/>
      <c r="E1002" s="733"/>
      <c r="G1002" s="129"/>
    </row>
    <row r="1003" spans="1:21">
      <c r="A1003" s="6"/>
      <c r="C1003" s="521"/>
      <c r="E1003" s="30"/>
      <c r="G1003" s="22"/>
    </row>
    <row r="1004" spans="1:21">
      <c r="A1004" s="6"/>
      <c r="C1004" s="521"/>
      <c r="E1004" s="30"/>
      <c r="G1004" s="22"/>
    </row>
    <row r="1005" spans="1:21">
      <c r="A1005" s="6"/>
      <c r="C1005" s="521"/>
      <c r="E1005" s="30"/>
      <c r="G1005" s="22"/>
    </row>
    <row r="1006" spans="1:21">
      <c r="A1006" s="6"/>
      <c r="C1006" s="521"/>
      <c r="E1006" s="1"/>
      <c r="G1006" s="22"/>
    </row>
    <row r="1007" spans="1:21">
      <c r="A1007" s="6"/>
      <c r="C1007" s="521"/>
      <c r="E1007" s="1"/>
      <c r="G1007" s="22"/>
    </row>
    <row r="1008" spans="1:21">
      <c r="A1008" s="6"/>
      <c r="C1008" s="521"/>
      <c r="E1008" s="1"/>
      <c r="G1008" s="22"/>
    </row>
    <row r="1009" spans="1:7">
      <c r="C1009" s="10"/>
    </row>
    <row r="1010" spans="1:7">
      <c r="A1010" s="6"/>
      <c r="C1010" s="724"/>
      <c r="E1010" s="734"/>
      <c r="G1010" s="132"/>
    </row>
    <row r="1011" spans="1:7">
      <c r="C1011" s="10"/>
      <c r="G1011" s="129"/>
    </row>
    <row r="1012" spans="1:7">
      <c r="A1012" s="6"/>
      <c r="C1012" s="521"/>
      <c r="E1012" s="30"/>
      <c r="G1012" s="22"/>
    </row>
    <row r="1013" spans="1:7">
      <c r="A1013" s="6"/>
    </row>
    <row r="1014" spans="1:7">
      <c r="G1014" s="129"/>
    </row>
    <row r="1015" spans="1:7">
      <c r="G1015" s="129"/>
    </row>
    <row r="1016" spans="1:7">
      <c r="C1016" s="9"/>
      <c r="G1016" s="129"/>
    </row>
    <row r="1017" spans="1:7">
      <c r="A1017" s="6"/>
      <c r="C1017" s="521"/>
      <c r="E1017" s="30"/>
      <c r="G1017" s="22"/>
    </row>
    <row r="1018" spans="1:7">
      <c r="A1018" s="6"/>
      <c r="C1018" s="521"/>
      <c r="E1018" s="1"/>
      <c r="G1018" s="22"/>
    </row>
    <row r="1019" spans="1:7">
      <c r="C1019" s="521"/>
      <c r="G1019" s="129"/>
    </row>
    <row r="1020" spans="1:7">
      <c r="A1020" s="6"/>
      <c r="C1020" s="526"/>
      <c r="E1020" s="522"/>
      <c r="G1020" s="22"/>
    </row>
    <row r="1021" spans="1:7">
      <c r="A1021" s="6"/>
      <c r="C1021" s="526"/>
      <c r="E1021" s="1"/>
      <c r="G1021" s="22"/>
    </row>
    <row r="1022" spans="1:7">
      <c r="A1022" s="6"/>
      <c r="C1022" s="526"/>
      <c r="E1022" s="1"/>
      <c r="G1022" s="22"/>
    </row>
    <row r="1023" spans="1:7">
      <c r="A1023" s="6"/>
      <c r="C1023" s="526"/>
      <c r="E1023" s="1"/>
      <c r="G1023" s="22"/>
    </row>
    <row r="1024" spans="1:7">
      <c r="A1024" s="6"/>
      <c r="C1024" s="526"/>
      <c r="E1024" s="1"/>
      <c r="G1024" s="22"/>
    </row>
    <row r="1025" spans="1:21">
      <c r="C1025" s="521"/>
      <c r="G1025" s="129"/>
    </row>
    <row r="1026" spans="1:21">
      <c r="A1026" s="6"/>
      <c r="C1026" s="526"/>
      <c r="E1026" s="522"/>
      <c r="G1026" s="22"/>
    </row>
    <row r="1027" spans="1:21">
      <c r="A1027" s="6"/>
      <c r="C1027" s="526"/>
      <c r="E1027" s="1"/>
      <c r="G1027" s="22"/>
    </row>
    <row r="1028" spans="1:21">
      <c r="A1028" s="6"/>
      <c r="C1028" s="526"/>
      <c r="E1028" s="1"/>
      <c r="G1028" s="22"/>
    </row>
    <row r="1029" spans="1:21">
      <c r="C1029" s="713"/>
      <c r="G1029" s="129"/>
    </row>
    <row r="1030" spans="1:21">
      <c r="A1030" s="6"/>
      <c r="G1030" s="132"/>
    </row>
    <row r="1031" spans="1:21">
      <c r="A1031" s="6"/>
      <c r="C1031" s="501"/>
      <c r="G1031" s="22"/>
    </row>
    <row r="1032" spans="1:21">
      <c r="A1032" s="2"/>
    </row>
    <row r="1033" spans="1:21">
      <c r="G1033" s="129"/>
    </row>
    <row r="1034" spans="1:21">
      <c r="G1034" s="129"/>
    </row>
    <row r="1035" spans="1:21">
      <c r="G1035" s="129"/>
    </row>
    <row r="1036" spans="1:21">
      <c r="A1036" s="581"/>
      <c r="B1036" s="4"/>
      <c r="C1036" s="4"/>
      <c r="D1036" s="4"/>
      <c r="E1036" s="4"/>
      <c r="F1036" s="4"/>
      <c r="G1036" s="4"/>
      <c r="H1036" s="4"/>
      <c r="I1036" s="4"/>
      <c r="J1036" s="4"/>
      <c r="K1036" s="4"/>
      <c r="O1036" s="4"/>
      <c r="P1036" s="4"/>
      <c r="S1036" s="4"/>
      <c r="T1036" s="4"/>
      <c r="U1036" s="4"/>
    </row>
    <row r="1037" spans="1:21">
      <c r="A1037" s="731"/>
      <c r="B1037" s="581"/>
      <c r="C1037" s="581"/>
      <c r="D1037" s="581"/>
      <c r="E1037" s="581"/>
      <c r="F1037" s="581"/>
      <c r="G1037" s="581"/>
      <c r="H1037" s="581"/>
      <c r="I1037" s="581"/>
      <c r="J1037" s="581"/>
      <c r="K1037" s="581"/>
      <c r="O1037" s="581"/>
      <c r="P1037" s="581"/>
      <c r="S1037" s="581"/>
      <c r="T1037" s="581"/>
      <c r="U1037" s="581"/>
    </row>
    <row r="1038" spans="1:21">
      <c r="A1038" s="6"/>
      <c r="B1038" s="6"/>
      <c r="C1038" s="6"/>
      <c r="D1038" s="6"/>
      <c r="E1038" s="3"/>
      <c r="F1038" s="6"/>
      <c r="G1038" s="3"/>
      <c r="H1038" s="6"/>
      <c r="I1038" s="6"/>
      <c r="J1038" s="6"/>
      <c r="K1038" s="6"/>
      <c r="O1038" s="6"/>
      <c r="P1038" s="6"/>
      <c r="S1038" s="6"/>
      <c r="T1038" s="6"/>
      <c r="U1038" s="6"/>
    </row>
    <row r="1039" spans="1:21">
      <c r="A1039" s="3"/>
      <c r="B1039" s="3"/>
      <c r="C1039" s="3"/>
      <c r="D1039" s="3"/>
      <c r="E1039" s="6"/>
      <c r="F1039" s="3"/>
      <c r="G1039" s="6"/>
      <c r="H1039" s="3"/>
      <c r="I1039" s="3"/>
      <c r="J1039" s="3"/>
      <c r="K1039" s="3"/>
      <c r="O1039" s="3"/>
      <c r="P1039" s="3"/>
      <c r="S1039" s="3"/>
      <c r="T1039" s="3"/>
      <c r="U1039" s="3"/>
    </row>
    <row r="1040" spans="1:21">
      <c r="A1040" s="5"/>
      <c r="B1040" s="5"/>
      <c r="C1040" s="5"/>
      <c r="D1040" s="5"/>
      <c r="E1040" s="6"/>
      <c r="F1040" s="5"/>
      <c r="G1040" s="17"/>
      <c r="H1040" s="5"/>
      <c r="I1040" s="5"/>
      <c r="J1040" s="5"/>
      <c r="K1040" s="5"/>
      <c r="O1040" s="5"/>
      <c r="P1040" s="5"/>
      <c r="S1040" s="5"/>
      <c r="T1040" s="5"/>
      <c r="U1040" s="5"/>
    </row>
    <row r="1041" spans="1:21">
      <c r="A1041" s="6"/>
      <c r="B1041" s="58"/>
      <c r="C1041" s="58"/>
      <c r="D1041" s="58"/>
      <c r="E1041" s="6"/>
      <c r="F1041" s="58"/>
      <c r="G1041" s="6"/>
      <c r="H1041" s="58"/>
      <c r="I1041" s="58"/>
      <c r="J1041" s="58"/>
      <c r="K1041" s="58"/>
      <c r="O1041" s="58"/>
      <c r="P1041" s="58"/>
      <c r="S1041" s="58"/>
      <c r="T1041" s="58"/>
      <c r="U1041" s="58"/>
    </row>
    <row r="1042" spans="1:21">
      <c r="A1042" s="6"/>
      <c r="B1042" s="58"/>
      <c r="C1042" s="58"/>
      <c r="D1042" s="58"/>
      <c r="E1042" s="6"/>
      <c r="F1042" s="58"/>
      <c r="G1042" s="6"/>
      <c r="H1042" s="58"/>
      <c r="I1042" s="58"/>
      <c r="J1042" s="58"/>
      <c r="K1042" s="58"/>
      <c r="O1042" s="58"/>
      <c r="P1042" s="58"/>
      <c r="S1042" s="58"/>
      <c r="T1042" s="58"/>
      <c r="U1042" s="58"/>
    </row>
    <row r="1043" spans="1:21">
      <c r="G1043" s="129"/>
    </row>
    <row r="1044" spans="1:21">
      <c r="C1044" s="9"/>
      <c r="G1044" s="129"/>
    </row>
    <row r="1045" spans="1:21">
      <c r="A1045" s="6"/>
      <c r="C1045" s="521"/>
      <c r="E1045" s="522"/>
      <c r="G1045" s="22"/>
    </row>
    <row r="1046" spans="1:21">
      <c r="A1046" s="6"/>
      <c r="C1046" s="309"/>
      <c r="E1046" s="252"/>
      <c r="G1046" s="22"/>
    </row>
    <row r="1047" spans="1:21">
      <c r="A1047" s="6"/>
      <c r="C1047" s="776"/>
      <c r="E1047" s="522"/>
      <c r="G1047" s="22"/>
    </row>
    <row r="1048" spans="1:21">
      <c r="A1048" s="6"/>
      <c r="C1048" s="776"/>
      <c r="E1048" s="522"/>
      <c r="G1048" s="22"/>
    </row>
    <row r="1049" spans="1:21">
      <c r="A1049" s="6"/>
      <c r="C1049" s="776"/>
      <c r="E1049" s="522"/>
      <c r="G1049" s="22"/>
    </row>
    <row r="1050" spans="1:21">
      <c r="A1050" s="6"/>
      <c r="C1050" s="521"/>
      <c r="E1050" s="252"/>
      <c r="G1050" s="22"/>
    </row>
    <row r="1051" spans="1:21">
      <c r="A1051" s="6"/>
      <c r="C1051" s="697"/>
      <c r="E1051" s="522"/>
      <c r="G1051" s="22"/>
    </row>
    <row r="1052" spans="1:21">
      <c r="A1052" s="6"/>
      <c r="C1052" s="252"/>
      <c r="G1052" s="22"/>
    </row>
    <row r="1053" spans="1:21">
      <c r="A1053" s="6"/>
      <c r="C1053" s="501"/>
      <c r="G1053" s="132"/>
    </row>
    <row r="1054" spans="1:21">
      <c r="A1054" s="6"/>
      <c r="C1054" s="252"/>
      <c r="G1054" s="129"/>
    </row>
    <row r="1055" spans="1:21">
      <c r="A1055" s="6"/>
      <c r="C1055" s="726"/>
      <c r="G1055" s="129"/>
    </row>
    <row r="1056" spans="1:21">
      <c r="A1056" s="6"/>
      <c r="C1056" s="778"/>
      <c r="G1056" s="129"/>
    </row>
    <row r="1057" spans="1:21">
      <c r="A1057" s="6"/>
      <c r="C1057" s="252"/>
      <c r="G1057" s="129"/>
    </row>
    <row r="1058" spans="1:21">
      <c r="A1058" s="6"/>
    </row>
    <row r="1059" spans="1:21">
      <c r="A1059" s="6"/>
      <c r="C1059" s="778"/>
      <c r="G1059" s="735"/>
    </row>
    <row r="1060" spans="1:21">
      <c r="A1060" s="6"/>
    </row>
    <row r="1061" spans="1:21">
      <c r="A1061" s="6"/>
    </row>
    <row r="1062" spans="1:21">
      <c r="B1062" s="9"/>
      <c r="D1062" s="9"/>
      <c r="F1062" s="9"/>
      <c r="H1062" s="9"/>
      <c r="I1062" s="9"/>
      <c r="J1062" s="9"/>
      <c r="K1062" s="9"/>
      <c r="O1062" s="9"/>
      <c r="P1062" s="9"/>
      <c r="S1062" s="9"/>
      <c r="T1062" s="9"/>
      <c r="U1062" s="9"/>
    </row>
    <row r="1063" spans="1:21">
      <c r="B1063" s="15"/>
      <c r="C1063" s="15"/>
      <c r="D1063" s="15"/>
      <c r="F1063" s="15"/>
      <c r="H1063" s="15"/>
      <c r="I1063" s="15"/>
      <c r="J1063" s="15"/>
      <c r="K1063" s="15"/>
      <c r="O1063" s="15"/>
      <c r="P1063" s="15"/>
      <c r="S1063" s="15"/>
      <c r="T1063" s="15"/>
      <c r="U1063" s="15"/>
    </row>
    <row r="1064" spans="1:21">
      <c r="C1064" s="15"/>
    </row>
    <row r="1065" spans="1:21">
      <c r="C1065" s="15"/>
    </row>
    <row r="1066" spans="1:21">
      <c r="C1066" s="15"/>
    </row>
    <row r="1067" spans="1:21">
      <c r="C1067" s="15"/>
    </row>
    <row r="1075" spans="7:7">
      <c r="G1075" s="314"/>
    </row>
    <row r="1076" spans="7:7">
      <c r="G1076" s="252"/>
    </row>
    <row r="1077" spans="7:7">
      <c r="G1077" s="252"/>
    </row>
    <row r="1078" spans="7:7">
      <c r="G1078" s="252"/>
    </row>
  </sheetData>
  <mergeCells count="103">
    <mergeCell ref="A838:W838"/>
    <mergeCell ref="A839:W839"/>
    <mergeCell ref="F841:J841"/>
    <mergeCell ref="L841:M841"/>
    <mergeCell ref="Q841:R841"/>
    <mergeCell ref="T841:W841"/>
    <mergeCell ref="A799:W799"/>
    <mergeCell ref="A800:W800"/>
    <mergeCell ref="F802:J802"/>
    <mergeCell ref="L802:M802"/>
    <mergeCell ref="Q802:R802"/>
    <mergeCell ref="T802:W802"/>
    <mergeCell ref="A765:W765"/>
    <mergeCell ref="A766:W766"/>
    <mergeCell ref="F768:J768"/>
    <mergeCell ref="L768:M768"/>
    <mergeCell ref="Q768:R768"/>
    <mergeCell ref="T768:W768"/>
    <mergeCell ref="A712:W712"/>
    <mergeCell ref="A713:W713"/>
    <mergeCell ref="F715:J715"/>
    <mergeCell ref="L715:M715"/>
    <mergeCell ref="Q715:R715"/>
    <mergeCell ref="T715:W715"/>
    <mergeCell ref="A671:W671"/>
    <mergeCell ref="A672:W672"/>
    <mergeCell ref="F674:J674"/>
    <mergeCell ref="L674:M674"/>
    <mergeCell ref="Q674:R674"/>
    <mergeCell ref="T674:W674"/>
    <mergeCell ref="A626:W626"/>
    <mergeCell ref="A627:W627"/>
    <mergeCell ref="F629:J629"/>
    <mergeCell ref="L629:M629"/>
    <mergeCell ref="Q629:R629"/>
    <mergeCell ref="T629:W629"/>
    <mergeCell ref="A571:W571"/>
    <mergeCell ref="A572:W572"/>
    <mergeCell ref="F574:J574"/>
    <mergeCell ref="L574:M574"/>
    <mergeCell ref="Q574:R574"/>
    <mergeCell ref="T574:W574"/>
    <mergeCell ref="A521:W521"/>
    <mergeCell ref="A522:W522"/>
    <mergeCell ref="F524:J524"/>
    <mergeCell ref="L524:M524"/>
    <mergeCell ref="Q524:R524"/>
    <mergeCell ref="T524:W524"/>
    <mergeCell ref="A464:W464"/>
    <mergeCell ref="A465:W465"/>
    <mergeCell ref="F467:J467"/>
    <mergeCell ref="L467:M467"/>
    <mergeCell ref="Q467:R467"/>
    <mergeCell ref="T467:W467"/>
    <mergeCell ref="A410:W410"/>
    <mergeCell ref="A411:W411"/>
    <mergeCell ref="F413:J413"/>
    <mergeCell ref="L413:M413"/>
    <mergeCell ref="Q413:R413"/>
    <mergeCell ref="T413:W413"/>
    <mergeCell ref="A344:W344"/>
    <mergeCell ref="A345:W345"/>
    <mergeCell ref="F347:J347"/>
    <mergeCell ref="L347:M347"/>
    <mergeCell ref="Q347:R347"/>
    <mergeCell ref="T347:W347"/>
    <mergeCell ref="A275:W275"/>
    <mergeCell ref="A276:W276"/>
    <mergeCell ref="F278:J278"/>
    <mergeCell ref="L278:M278"/>
    <mergeCell ref="Q278:R278"/>
    <mergeCell ref="T278:W278"/>
    <mergeCell ref="F224:J224"/>
    <mergeCell ref="L224:M224"/>
    <mergeCell ref="Q224:R224"/>
    <mergeCell ref="T224:W224"/>
    <mergeCell ref="A154:W154"/>
    <mergeCell ref="A155:W155"/>
    <mergeCell ref="F157:J157"/>
    <mergeCell ref="L157:M157"/>
    <mergeCell ref="Q157:R157"/>
    <mergeCell ref="T157:W157"/>
    <mergeCell ref="Z10:AD10"/>
    <mergeCell ref="A62:W62"/>
    <mergeCell ref="A63:W63"/>
    <mergeCell ref="F65:J65"/>
    <mergeCell ref="L65:M65"/>
    <mergeCell ref="Q65:R65"/>
    <mergeCell ref="T65:W65"/>
    <mergeCell ref="A221:W221"/>
    <mergeCell ref="A222:W222"/>
    <mergeCell ref="A5:W5"/>
    <mergeCell ref="A6:W6"/>
    <mergeCell ref="F8:J8"/>
    <mergeCell ref="L8:M8"/>
    <mergeCell ref="Q8:R8"/>
    <mergeCell ref="T8:W8"/>
    <mergeCell ref="A113:W113"/>
    <mergeCell ref="A114:W114"/>
    <mergeCell ref="F116:J116"/>
    <mergeCell ref="L116:M116"/>
    <mergeCell ref="Q116:R116"/>
    <mergeCell ref="T116:W116"/>
  </mergeCells>
  <printOptions horizontalCentered="1"/>
  <pageMargins left="0.7" right="0.7" top="0.75" bottom="0.75" header="0.3" footer="0.3"/>
  <pageSetup scale="54" firstPageNumber="18" fitToHeight="0" orientation="landscape" useFirstPageNumber="1" r:id="rId1"/>
  <headerFooter>
    <oddHeader>&amp;R&amp;10Filed: 2024-02-16
EB-2022-0200
Rate Order
Working Papers
Schedule 19
Page &amp;P of 51</oddHeader>
  </headerFooter>
  <rowBreaks count="17" manualBreakCount="17">
    <brk id="57" max="22" man="1"/>
    <brk id="108" max="22" man="1"/>
    <brk id="149" max="22" man="1"/>
    <brk id="216" max="22" man="1"/>
    <brk id="272" max="22" man="1"/>
    <brk id="339" max="22" man="1"/>
    <brk id="405" max="22" man="1"/>
    <brk id="459" max="22" man="1"/>
    <brk id="516" max="22" man="1"/>
    <brk id="566" max="22" man="1"/>
    <brk id="621" max="22" man="1"/>
    <brk id="666" max="22" man="1"/>
    <brk id="707" max="22" man="1"/>
    <brk id="760" max="22" man="1"/>
    <brk id="794" max="22" man="1"/>
    <brk id="833" max="22" man="1"/>
    <brk id="872" max="30" man="1"/>
  </rowBreaks>
  <colBreaks count="1" manualBreakCount="1">
    <brk id="25" max="91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71C3B-EDE5-44C8-B011-C6BBF588434B}">
  <sheetPr>
    <pageSetUpPr fitToPage="1"/>
  </sheetPr>
  <dimension ref="A1:AT1090"/>
  <sheetViews>
    <sheetView view="pageLayout" topLeftCell="T1" zoomScale="70" zoomScaleNormal="80" zoomScaleSheetLayoutView="100" zoomScalePageLayoutView="70" workbookViewId="0">
      <selection activeCell="T10" sqref="T10"/>
    </sheetView>
  </sheetViews>
  <sheetFormatPr defaultColWidth="8" defaultRowHeight="12.6"/>
  <cols>
    <col min="1" max="1" width="4" style="1" customWidth="1"/>
    <col min="2" max="2" width="3" style="2" customWidth="1"/>
    <col min="3" max="3" width="39.75" style="2" customWidth="1"/>
    <col min="4" max="4" width="1.25" style="2" customWidth="1"/>
    <col min="5" max="5" width="9.25" style="2" customWidth="1"/>
    <col min="6" max="6" width="1.25" style="2" customWidth="1"/>
    <col min="7" max="7" width="10.75" style="2" customWidth="1"/>
    <col min="8" max="8" width="1.25" style="2" customWidth="1"/>
    <col min="9" max="9" width="9.5" style="2" customWidth="1"/>
    <col min="10" max="10" width="10" style="252" customWidth="1"/>
    <col min="11" max="11" width="1.25" style="252" customWidth="1"/>
    <col min="12" max="13" width="8" style="252" customWidth="1"/>
    <col min="14" max="14" width="10.75" style="252" customWidth="1"/>
    <col min="15" max="15" width="14.25" style="252" customWidth="1"/>
    <col min="16" max="16" width="1.25" style="2" customWidth="1"/>
    <col min="17" max="17" width="7.5" style="252" customWidth="1"/>
    <col min="18" max="18" width="8" style="252" customWidth="1"/>
    <col min="19" max="19" width="10.25" style="252" customWidth="1"/>
    <col min="20" max="20" width="1.25" style="2" customWidth="1"/>
    <col min="21" max="21" width="11.5" style="2" customWidth="1"/>
    <col min="22" max="22" width="9.25" style="2" customWidth="1"/>
    <col min="23" max="23" width="11" style="252" customWidth="1"/>
    <col min="24" max="24" width="12.625" style="310" customWidth="1"/>
    <col min="25" max="25" width="9.25" style="252" customWidth="1"/>
    <col min="26" max="26" width="8" style="252"/>
    <col min="27" max="27" width="10" style="530" customWidth="1"/>
    <col min="28" max="28" width="5.25" style="530" bestFit="1" customWidth="1"/>
    <col min="29" max="29" width="11.75" style="530" bestFit="1" customWidth="1"/>
    <col min="30" max="30" width="5.25" style="530" customWidth="1"/>
    <col min="31" max="31" width="9.75" style="736" bestFit="1" customWidth="1"/>
    <col min="32" max="16384" width="8" style="252"/>
  </cols>
  <sheetData>
    <row r="1" spans="1:31">
      <c r="J1" s="501"/>
      <c r="K1" s="501"/>
      <c r="L1" s="2"/>
      <c r="M1" s="2"/>
      <c r="N1" s="501"/>
      <c r="O1" s="501"/>
      <c r="Q1" s="501"/>
      <c r="R1" s="501"/>
      <c r="S1" s="501"/>
      <c r="W1" s="501"/>
      <c r="X1" s="522"/>
      <c r="Y1" s="501"/>
      <c r="Z1" s="501"/>
    </row>
    <row r="2" spans="1:31">
      <c r="J2" s="501"/>
      <c r="K2" s="501"/>
      <c r="L2" s="2"/>
      <c r="M2" s="2"/>
      <c r="N2" s="501"/>
      <c r="O2" s="501"/>
      <c r="Q2" s="501"/>
      <c r="R2" s="501"/>
      <c r="S2" s="501"/>
      <c r="W2" s="501"/>
      <c r="X2" s="522"/>
      <c r="Y2" s="501"/>
      <c r="Z2" s="501"/>
    </row>
    <row r="3" spans="1:31">
      <c r="J3" s="501"/>
      <c r="K3" s="501"/>
      <c r="L3" s="2"/>
      <c r="M3" s="2"/>
      <c r="N3" s="501"/>
      <c r="O3" s="501"/>
      <c r="Q3" s="501"/>
      <c r="R3" s="501"/>
      <c r="S3" s="501"/>
      <c r="W3" s="501"/>
      <c r="X3" s="522"/>
      <c r="Y3" s="501"/>
      <c r="Z3" s="501"/>
    </row>
    <row r="4" spans="1:31">
      <c r="J4" s="501"/>
      <c r="K4" s="501"/>
      <c r="L4" s="2"/>
      <c r="M4" s="2"/>
      <c r="N4" s="501"/>
      <c r="O4" s="501"/>
      <c r="Q4" s="501"/>
      <c r="R4" s="501"/>
      <c r="S4" s="501"/>
      <c r="W4" s="501"/>
      <c r="X4" s="522"/>
      <c r="Y4" s="501"/>
      <c r="Z4" s="501"/>
    </row>
    <row r="5" spans="1:31">
      <c r="A5" s="1156" t="s">
        <v>230</v>
      </c>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779"/>
      <c r="Z5" s="501"/>
    </row>
    <row r="6" spans="1:31">
      <c r="A6" s="1156" t="s">
        <v>490</v>
      </c>
      <c r="B6" s="1156"/>
      <c r="C6" s="1156"/>
      <c r="D6" s="1156"/>
      <c r="E6" s="1156"/>
      <c r="F6" s="1156"/>
      <c r="G6" s="1156"/>
      <c r="H6" s="1156"/>
      <c r="I6" s="1156"/>
      <c r="J6" s="1156"/>
      <c r="K6" s="1156"/>
      <c r="L6" s="1156"/>
      <c r="M6" s="1156"/>
      <c r="N6" s="1156"/>
      <c r="O6" s="1156"/>
      <c r="P6" s="1156"/>
      <c r="Q6" s="1156"/>
      <c r="R6" s="1156"/>
      <c r="S6" s="1156"/>
      <c r="T6" s="1156"/>
      <c r="U6" s="1156"/>
      <c r="V6" s="1156"/>
      <c r="W6" s="1156"/>
      <c r="X6" s="1156"/>
      <c r="Y6" s="713"/>
      <c r="Z6" s="713"/>
    </row>
    <row r="7" spans="1:31">
      <c r="A7" s="57"/>
      <c r="B7" s="57"/>
      <c r="C7" s="57"/>
      <c r="D7" s="57"/>
      <c r="E7" s="3"/>
      <c r="F7" s="57"/>
      <c r="G7" s="3"/>
      <c r="H7" s="57"/>
      <c r="I7" s="57"/>
      <c r="J7" s="501"/>
      <c r="K7" s="501"/>
      <c r="L7" s="4"/>
      <c r="M7" s="4"/>
      <c r="N7" s="501"/>
      <c r="O7" s="501"/>
      <c r="P7" s="57"/>
      <c r="Q7" s="501"/>
      <c r="R7" s="501"/>
      <c r="S7" s="501"/>
      <c r="T7" s="57"/>
      <c r="U7" s="57"/>
      <c r="V7" s="57"/>
      <c r="W7" s="501"/>
      <c r="X7" s="522"/>
      <c r="Y7" s="501"/>
      <c r="Z7" s="501"/>
    </row>
    <row r="8" spans="1:31" ht="15" customHeight="1">
      <c r="A8" s="3"/>
      <c r="B8" s="3"/>
      <c r="C8" s="3"/>
      <c r="D8" s="3"/>
      <c r="E8" s="58"/>
      <c r="F8" s="58"/>
      <c r="G8" s="1152" t="s">
        <v>231</v>
      </c>
      <c r="H8" s="1152"/>
      <c r="I8" s="1152"/>
      <c r="J8" s="1152"/>
      <c r="K8" s="58"/>
      <c r="L8" s="1152" t="s">
        <v>94</v>
      </c>
      <c r="M8" s="1152"/>
      <c r="N8" s="1152"/>
      <c r="O8" s="58"/>
      <c r="P8" s="3"/>
      <c r="Q8" s="1152" t="s">
        <v>95</v>
      </c>
      <c r="R8" s="1152"/>
      <c r="S8" s="1152"/>
      <c r="T8" s="3"/>
      <c r="U8" s="1152" t="s">
        <v>232</v>
      </c>
      <c r="V8" s="1152"/>
      <c r="W8" s="1152"/>
      <c r="X8" s="1152"/>
      <c r="Y8" s="6"/>
      <c r="Z8" s="501"/>
    </row>
    <row r="9" spans="1:31" ht="37.5">
      <c r="A9" s="5" t="s">
        <v>56</v>
      </c>
      <c r="B9" s="5"/>
      <c r="C9" s="5"/>
      <c r="D9" s="5"/>
      <c r="E9" s="6" t="s">
        <v>233</v>
      </c>
      <c r="F9" s="5"/>
      <c r="G9" s="17" t="s">
        <v>234</v>
      </c>
      <c r="H9" s="5"/>
      <c r="I9" s="17" t="s">
        <v>235</v>
      </c>
      <c r="J9" s="5" t="s">
        <v>101</v>
      </c>
      <c r="K9" s="5"/>
      <c r="L9" s="5" t="s">
        <v>491</v>
      </c>
      <c r="M9" s="5" t="s">
        <v>492</v>
      </c>
      <c r="N9" s="5" t="s">
        <v>493</v>
      </c>
      <c r="O9" s="5" t="s">
        <v>494</v>
      </c>
      <c r="P9" s="5"/>
      <c r="Q9" s="5" t="s">
        <v>491</v>
      </c>
      <c r="R9" s="5" t="s">
        <v>492</v>
      </c>
      <c r="S9" s="5" t="s">
        <v>493</v>
      </c>
      <c r="T9" s="5"/>
      <c r="U9" s="17" t="s">
        <v>113</v>
      </c>
      <c r="V9" s="17" t="s">
        <v>242</v>
      </c>
      <c r="W9" s="17" t="s">
        <v>243</v>
      </c>
      <c r="X9" s="5" t="s">
        <v>244</v>
      </c>
      <c r="Y9" s="5"/>
      <c r="Z9" s="501"/>
    </row>
    <row r="10" spans="1:31" ht="14.45">
      <c r="A10" s="237" t="s">
        <v>57</v>
      </c>
      <c r="B10" s="58"/>
      <c r="C10" s="59" t="s">
        <v>194</v>
      </c>
      <c r="D10" s="58"/>
      <c r="E10" s="237" t="s">
        <v>245</v>
      </c>
      <c r="F10" s="58"/>
      <c r="G10" s="237" t="s">
        <v>246</v>
      </c>
      <c r="H10" s="58"/>
      <c r="I10" s="237" t="s">
        <v>247</v>
      </c>
      <c r="J10" s="237" t="s">
        <v>248</v>
      </c>
      <c r="K10" s="6"/>
      <c r="L10" s="237" t="s">
        <v>248</v>
      </c>
      <c r="M10" s="237" t="s">
        <v>248</v>
      </c>
      <c r="N10" s="237" t="s">
        <v>248</v>
      </c>
      <c r="O10" s="237" t="s">
        <v>248</v>
      </c>
      <c r="P10" s="58"/>
      <c r="Q10" s="237" t="s">
        <v>248</v>
      </c>
      <c r="R10" s="237" t="s">
        <v>248</v>
      </c>
      <c r="S10" s="237" t="s">
        <v>248</v>
      </c>
      <c r="T10" s="58"/>
      <c r="U10" s="237" t="s">
        <v>248</v>
      </c>
      <c r="V10" s="237" t="s">
        <v>247</v>
      </c>
      <c r="W10" s="237" t="s">
        <v>248</v>
      </c>
      <c r="X10" s="237" t="s">
        <v>249</v>
      </c>
      <c r="Y10" s="6"/>
      <c r="Z10" s="501"/>
      <c r="AA10" s="1158"/>
      <c r="AB10" s="1158"/>
      <c r="AC10" s="780"/>
      <c r="AD10" s="780"/>
    </row>
    <row r="11" spans="1:31">
      <c r="A11" s="6"/>
      <c r="B11" s="58"/>
      <c r="C11" s="58"/>
      <c r="D11" s="58"/>
      <c r="E11" s="6"/>
      <c r="F11" s="58"/>
      <c r="G11" s="6" t="s">
        <v>9</v>
      </c>
      <c r="H11" s="6"/>
      <c r="I11" s="6" t="s">
        <v>10</v>
      </c>
      <c r="J11" s="6" t="s">
        <v>58</v>
      </c>
      <c r="K11" s="6"/>
      <c r="L11" s="123" t="s">
        <v>12</v>
      </c>
      <c r="M11" s="123" t="s">
        <v>13</v>
      </c>
      <c r="N11" s="6" t="s">
        <v>115</v>
      </c>
      <c r="O11" s="6" t="s">
        <v>495</v>
      </c>
      <c r="P11" s="6"/>
      <c r="Q11" s="6" t="s">
        <v>210</v>
      </c>
      <c r="R11" s="6" t="s">
        <v>118</v>
      </c>
      <c r="S11" s="6" t="s">
        <v>119</v>
      </c>
      <c r="T11" s="6"/>
      <c r="U11" s="6" t="s">
        <v>496</v>
      </c>
      <c r="V11" s="6" t="s">
        <v>121</v>
      </c>
      <c r="W11" s="6" t="s">
        <v>497</v>
      </c>
      <c r="X11" s="6" t="s">
        <v>498</v>
      </c>
      <c r="Y11" s="6"/>
      <c r="Z11" s="501"/>
    </row>
    <row r="12" spans="1:31" ht="12.95">
      <c r="A12" s="6"/>
      <c r="B12" s="58"/>
      <c r="C12" s="9" t="s">
        <v>125</v>
      </c>
      <c r="D12" s="58"/>
      <c r="E12" s="533"/>
      <c r="F12" s="58"/>
      <c r="G12" s="533"/>
      <c r="H12" s="58"/>
      <c r="I12" s="534"/>
      <c r="J12" s="534"/>
      <c r="K12" s="534"/>
      <c r="L12" s="534"/>
      <c r="M12" s="534"/>
      <c r="N12" s="534"/>
      <c r="O12" s="534"/>
      <c r="P12" s="58"/>
      <c r="Q12" s="534"/>
      <c r="R12" s="501"/>
      <c r="S12" s="501"/>
      <c r="T12" s="58"/>
      <c r="U12" s="58"/>
      <c r="V12" s="58"/>
      <c r="W12" s="501"/>
      <c r="X12" s="605"/>
      <c r="Y12" s="501"/>
      <c r="Z12" s="501"/>
    </row>
    <row r="13" spans="1:31" ht="12.95">
      <c r="A13" s="6"/>
      <c r="B13" s="58"/>
      <c r="C13" s="9" t="s">
        <v>127</v>
      </c>
      <c r="D13" s="58"/>
      <c r="E13" s="533"/>
      <c r="F13" s="58"/>
      <c r="G13" s="533"/>
      <c r="H13" s="58"/>
      <c r="I13" s="534"/>
      <c r="J13" s="534"/>
      <c r="K13" s="534"/>
      <c r="L13" s="534"/>
      <c r="M13" s="534"/>
      <c r="N13" s="534"/>
      <c r="O13" s="534"/>
      <c r="P13" s="58"/>
      <c r="Q13" s="534"/>
      <c r="R13" s="501"/>
      <c r="S13" s="501"/>
      <c r="T13" s="58"/>
      <c r="U13" s="58"/>
      <c r="V13" s="58"/>
      <c r="W13" s="501"/>
      <c r="X13" s="605"/>
      <c r="Y13" s="501"/>
      <c r="Z13" s="501"/>
    </row>
    <row r="14" spans="1:31">
      <c r="A14" s="6">
        <v>1</v>
      </c>
      <c r="B14" s="58"/>
      <c r="C14" s="10" t="s">
        <v>258</v>
      </c>
      <c r="D14" s="58"/>
      <c r="E14" s="535" t="s">
        <v>259</v>
      </c>
      <c r="F14" s="58"/>
      <c r="G14" s="536">
        <v>25957058</v>
      </c>
      <c r="H14" s="58"/>
      <c r="I14" s="29">
        <v>0</v>
      </c>
      <c r="J14" s="538">
        <v>0</v>
      </c>
      <c r="K14" s="538"/>
      <c r="L14" s="538">
        <v>0</v>
      </c>
      <c r="M14" s="538">
        <v>0</v>
      </c>
      <c r="N14" s="538">
        <v>0</v>
      </c>
      <c r="O14" s="538">
        <v>0</v>
      </c>
      <c r="P14" s="564"/>
      <c r="Q14" s="538">
        <v>0</v>
      </c>
      <c r="R14" s="538">
        <v>0</v>
      </c>
      <c r="S14" s="538">
        <v>0</v>
      </c>
      <c r="T14" s="564"/>
      <c r="U14" s="564">
        <v>0</v>
      </c>
      <c r="V14" s="564">
        <v>0</v>
      </c>
      <c r="W14" s="538">
        <v>0</v>
      </c>
      <c r="X14" s="599"/>
      <c r="Y14" s="541"/>
      <c r="Z14" s="501"/>
      <c r="AA14" s="738"/>
      <c r="AE14" s="739"/>
    </row>
    <row r="15" spans="1:31">
      <c r="A15" s="6"/>
      <c r="B15" s="58"/>
      <c r="C15" s="521" t="s">
        <v>260</v>
      </c>
      <c r="D15" s="58"/>
      <c r="E15" s="545"/>
      <c r="F15" s="58"/>
      <c r="G15" s="536"/>
      <c r="H15" s="58"/>
      <c r="I15" s="546"/>
      <c r="J15" s="534"/>
      <c r="K15" s="534"/>
      <c r="L15" s="538"/>
      <c r="M15" s="538"/>
      <c r="N15" s="538"/>
      <c r="O15" s="534"/>
      <c r="P15" s="58"/>
      <c r="Q15" s="538"/>
      <c r="R15" s="538"/>
      <c r="S15" s="538"/>
      <c r="T15" s="58"/>
      <c r="U15" s="539"/>
      <c r="V15" s="540"/>
      <c r="W15" s="538"/>
      <c r="X15" s="599"/>
      <c r="Y15" s="541"/>
      <c r="Z15" s="501"/>
    </row>
    <row r="16" spans="1:31">
      <c r="A16" s="6">
        <f>MAX(A$14:A15)+1</f>
        <v>2</v>
      </c>
      <c r="B16" s="58"/>
      <c r="C16" s="12" t="s">
        <v>261</v>
      </c>
      <c r="D16" s="58"/>
      <c r="E16" s="535" t="s">
        <v>262</v>
      </c>
      <c r="F16" s="58"/>
      <c r="G16" s="536">
        <v>712504.72543658817</v>
      </c>
      <c r="H16" s="58"/>
      <c r="I16" s="547">
        <v>1.0639170489819383</v>
      </c>
      <c r="J16" s="534">
        <f>G16*I16/100</f>
        <v>7580.4592487218106</v>
      </c>
      <c r="K16" s="534"/>
      <c r="L16" s="536">
        <v>75.363704646275892</v>
      </c>
      <c r="M16" s="536">
        <v>1852.1238562290882</v>
      </c>
      <c r="N16" s="536">
        <v>850.92417633214632</v>
      </c>
      <c r="O16" s="534">
        <f>J16-L16-M16-N16</f>
        <v>4802.0475115143008</v>
      </c>
      <c r="P16" s="58"/>
      <c r="Q16" s="536">
        <v>63.025010984317262</v>
      </c>
      <c r="R16" s="536">
        <v>2029.7810962375736</v>
      </c>
      <c r="S16" s="536">
        <v>760.00782252723377</v>
      </c>
      <c r="T16" s="58"/>
      <c r="U16" s="539">
        <f>SUM(O16:S16)</f>
        <v>7654.8614412634251</v>
      </c>
      <c r="V16" s="548">
        <f>U16/G16*100</f>
        <v>1.0743593927146096</v>
      </c>
      <c r="W16" s="534">
        <f t="shared" ref="W16:W20" si="0">U16-J16</f>
        <v>74.402192541614568</v>
      </c>
      <c r="X16" s="599"/>
      <c r="Y16" s="541"/>
      <c r="Z16" s="501"/>
      <c r="AA16" s="738"/>
      <c r="AC16" s="738"/>
      <c r="AE16" s="740"/>
    </row>
    <row r="17" spans="1:31">
      <c r="A17" s="6">
        <f>MAX(A$14:A16)+1</f>
        <v>3</v>
      </c>
      <c r="B17" s="58"/>
      <c r="C17" s="12" t="s">
        <v>263</v>
      </c>
      <c r="D17" s="58"/>
      <c r="E17" s="535" t="s">
        <v>262</v>
      </c>
      <c r="F17" s="58"/>
      <c r="G17" s="536">
        <v>1022924.1636396735</v>
      </c>
      <c r="H17" s="58"/>
      <c r="I17" s="547">
        <v>1.0595704235754624</v>
      </c>
      <c r="J17" s="534">
        <f t="shared" ref="J17:J19" si="1">G17*I17/100</f>
        <v>10838.601893532645</v>
      </c>
      <c r="K17" s="534"/>
      <c r="L17" s="536">
        <v>108.19767475484646</v>
      </c>
      <c r="M17" s="536">
        <v>2659.0451669346044</v>
      </c>
      <c r="N17" s="536">
        <v>1221.6493032547696</v>
      </c>
      <c r="O17" s="534">
        <f t="shared" ref="O17:O19" si="2">J17-L17-M17-N17</f>
        <v>6849.7097485884242</v>
      </c>
      <c r="P17" s="58"/>
      <c r="Q17" s="536">
        <v>90.483339054362091</v>
      </c>
      <c r="R17" s="536">
        <v>2914.1029611672775</v>
      </c>
      <c r="S17" s="536">
        <v>1091.123102014388</v>
      </c>
      <c r="T17" s="58"/>
      <c r="U17" s="539">
        <f t="shared" ref="U17:U19" si="3">SUM(O17:S17)</f>
        <v>10945.419150824451</v>
      </c>
      <c r="V17" s="548">
        <f>U17/G17*100</f>
        <v>1.0700127673081337</v>
      </c>
      <c r="W17" s="534">
        <f t="shared" si="0"/>
        <v>106.81725729180653</v>
      </c>
      <c r="X17" s="599"/>
      <c r="Y17" s="541"/>
      <c r="Z17" s="501"/>
      <c r="AA17" s="738"/>
      <c r="AC17" s="738"/>
      <c r="AE17" s="740"/>
    </row>
    <row r="18" spans="1:31">
      <c r="A18" s="6">
        <f>MAX(A$14:A17)+1</f>
        <v>4</v>
      </c>
      <c r="B18" s="58"/>
      <c r="C18" s="12" t="s">
        <v>264</v>
      </c>
      <c r="D18" s="58"/>
      <c r="E18" s="535" t="s">
        <v>262</v>
      </c>
      <c r="F18" s="58"/>
      <c r="G18" s="536">
        <v>1109755.6772268531</v>
      </c>
      <c r="H18" s="58"/>
      <c r="I18" s="547">
        <v>1.0561655696514423</v>
      </c>
      <c r="J18" s="534">
        <f t="shared" si="1"/>
        <v>11720.857370122214</v>
      </c>
      <c r="K18" s="534"/>
      <c r="L18" s="536">
        <v>117.38209741248355</v>
      </c>
      <c r="M18" s="536">
        <v>2884.7597650921834</v>
      </c>
      <c r="N18" s="536">
        <v>1325.3497160956388</v>
      </c>
      <c r="O18" s="534">
        <f t="shared" si="2"/>
        <v>7393.3657915219092</v>
      </c>
      <c r="P18" s="58"/>
      <c r="Q18" s="536">
        <v>98.16407000567412</v>
      </c>
      <c r="R18" s="536">
        <v>3161.4682887852196</v>
      </c>
      <c r="S18" s="536">
        <v>1183.7437222182741</v>
      </c>
      <c r="T18" s="58"/>
      <c r="U18" s="539">
        <f t="shared" si="3"/>
        <v>11836.741872531078</v>
      </c>
      <c r="V18" s="548">
        <f>U18/G18*100</f>
        <v>1.0666079133841138</v>
      </c>
      <c r="W18" s="534">
        <f t="shared" si="0"/>
        <v>115.88450240886414</v>
      </c>
      <c r="X18" s="599"/>
      <c r="Y18" s="541"/>
      <c r="Z18" s="501"/>
      <c r="AA18" s="738"/>
      <c r="AC18" s="738"/>
      <c r="AE18" s="740"/>
    </row>
    <row r="19" spans="1:31">
      <c r="A19" s="6">
        <f>MAX(A$14:A18)+1</f>
        <v>5</v>
      </c>
      <c r="B19" s="58"/>
      <c r="C19" s="12" t="s">
        <v>265</v>
      </c>
      <c r="D19" s="58"/>
      <c r="E19" s="535" t="s">
        <v>262</v>
      </c>
      <c r="F19" s="58"/>
      <c r="G19" s="536">
        <v>2166403.060431628</v>
      </c>
      <c r="H19" s="58"/>
      <c r="I19" s="547">
        <v>1.0536284924449102</v>
      </c>
      <c r="J19" s="534">
        <f t="shared" si="1"/>
        <v>22825.839905906163</v>
      </c>
      <c r="K19" s="534"/>
      <c r="L19" s="536">
        <v>229.14677554049152</v>
      </c>
      <c r="M19" s="536">
        <v>5631.4669183063925</v>
      </c>
      <c r="N19" s="536">
        <v>2587.2737035837213</v>
      </c>
      <c r="O19" s="534">
        <f t="shared" si="2"/>
        <v>14377.952508475557</v>
      </c>
      <c r="P19" s="58"/>
      <c r="Q19" s="536">
        <v>191.63041563899569</v>
      </c>
      <c r="R19" s="536">
        <v>6171.6418458851322</v>
      </c>
      <c r="S19" s="536">
        <v>2310.8383901118577</v>
      </c>
      <c r="T19" s="58"/>
      <c r="U19" s="539">
        <f t="shared" si="3"/>
        <v>23052.063160111542</v>
      </c>
      <c r="V19" s="548">
        <f>U19/G19*100</f>
        <v>1.0640708361775817</v>
      </c>
      <c r="W19" s="534">
        <f t="shared" si="0"/>
        <v>226.22325420537891</v>
      </c>
      <c r="X19" s="599"/>
      <c r="Y19" s="541"/>
      <c r="Z19" s="501"/>
      <c r="AA19" s="738"/>
      <c r="AC19" s="738"/>
      <c r="AE19" s="740"/>
    </row>
    <row r="20" spans="1:31">
      <c r="A20" s="6">
        <f>MAX(A$14:A19)+1</f>
        <v>6</v>
      </c>
      <c r="B20" s="58"/>
      <c r="C20" s="521" t="s">
        <v>260</v>
      </c>
      <c r="D20" s="58"/>
      <c r="E20" s="545"/>
      <c r="F20" s="58"/>
      <c r="G20" s="550">
        <f>SUM(G16:G19)</f>
        <v>5011587.6267347429</v>
      </c>
      <c r="H20" s="58"/>
      <c r="I20" s="551">
        <f>J20/G20*100</f>
        <v>1.056865854958466</v>
      </c>
      <c r="J20" s="552">
        <f>SUM(J16:J19)</f>
        <v>52965.758418282829</v>
      </c>
      <c r="K20" s="534"/>
      <c r="L20" s="553">
        <f>SUM(L16:L19)</f>
        <v>530.0902523540974</v>
      </c>
      <c r="M20" s="553">
        <f>SUM(M16:M19)</f>
        <v>13027.395706562269</v>
      </c>
      <c r="N20" s="553">
        <f>SUM(N16:N19)</f>
        <v>5985.1968992662751</v>
      </c>
      <c r="O20" s="552">
        <f>SUM(O16:O19)</f>
        <v>33423.075560100187</v>
      </c>
      <c r="P20" s="58"/>
      <c r="Q20" s="553">
        <f>SUM(Q16:Q19)</f>
        <v>443.30283568334914</v>
      </c>
      <c r="R20" s="553">
        <f t="shared" ref="R20:S20" si="4">SUM(R16:R19)</f>
        <v>14276.994192075203</v>
      </c>
      <c r="S20" s="553">
        <f t="shared" si="4"/>
        <v>5345.7130368717535</v>
      </c>
      <c r="T20" s="58"/>
      <c r="U20" s="554">
        <f>SUM(U16:U19)</f>
        <v>53489.085624730491</v>
      </c>
      <c r="V20" s="556">
        <f>U20/G20*100</f>
        <v>1.067308198691137</v>
      </c>
      <c r="W20" s="552">
        <f t="shared" si="0"/>
        <v>523.32720644766232</v>
      </c>
      <c r="X20" s="558">
        <f>V20/I20-1</f>
        <v>9.8804816937543283E-3</v>
      </c>
      <c r="Y20" s="559"/>
      <c r="Z20" s="501"/>
      <c r="AA20" s="738"/>
      <c r="AC20" s="738"/>
      <c r="AE20" s="740"/>
    </row>
    <row r="21" spans="1:31">
      <c r="A21" s="6"/>
      <c r="B21" s="58"/>
      <c r="C21" s="10"/>
      <c r="D21" s="58"/>
      <c r="E21" s="545"/>
      <c r="F21" s="58"/>
      <c r="G21" s="536"/>
      <c r="H21" s="58"/>
      <c r="I21" s="534"/>
      <c r="J21" s="534"/>
      <c r="K21" s="534"/>
      <c r="L21" s="538"/>
      <c r="M21" s="538"/>
      <c r="N21" s="538"/>
      <c r="O21" s="534"/>
      <c r="P21" s="58"/>
      <c r="Q21" s="538"/>
      <c r="R21" s="538"/>
      <c r="S21" s="538"/>
      <c r="T21" s="58"/>
      <c r="U21" s="58"/>
      <c r="V21" s="58"/>
      <c r="W21" s="501"/>
      <c r="X21" s="599"/>
      <c r="Y21" s="541"/>
      <c r="Z21" s="501"/>
    </row>
    <row r="22" spans="1:31">
      <c r="A22" s="6">
        <v>7</v>
      </c>
      <c r="B22" s="58"/>
      <c r="C22" s="10" t="s">
        <v>266</v>
      </c>
      <c r="D22" s="58"/>
      <c r="E22" s="545"/>
      <c r="F22" s="58"/>
      <c r="G22" s="550">
        <f>G20</f>
        <v>5011587.6267347429</v>
      </c>
      <c r="H22" s="58"/>
      <c r="I22" s="551">
        <f>I20</f>
        <v>1.056865854958466</v>
      </c>
      <c r="J22" s="552">
        <f t="shared" ref="J22" si="5">J20</f>
        <v>52965.758418282829</v>
      </c>
      <c r="K22" s="534"/>
      <c r="L22" s="552">
        <f>L20</f>
        <v>530.0902523540974</v>
      </c>
      <c r="M22" s="552">
        <f t="shared" ref="M22:O22" si="6">M20</f>
        <v>13027.395706562269</v>
      </c>
      <c r="N22" s="552">
        <f t="shared" si="6"/>
        <v>5985.1968992662751</v>
      </c>
      <c r="O22" s="552">
        <f t="shared" si="6"/>
        <v>33423.075560100187</v>
      </c>
      <c r="P22" s="534"/>
      <c r="Q22" s="552">
        <f>Q20</f>
        <v>443.30283568334914</v>
      </c>
      <c r="R22" s="552">
        <f t="shared" ref="R22:S22" si="7">R20</f>
        <v>14276.994192075203</v>
      </c>
      <c r="S22" s="552">
        <f t="shared" si="7"/>
        <v>5345.7130368717535</v>
      </c>
      <c r="T22" s="534"/>
      <c r="U22" s="552">
        <f>U20</f>
        <v>53489.085624730491</v>
      </c>
      <c r="V22" s="551">
        <f t="shared" ref="V22:X22" si="8">V20</f>
        <v>1.067308198691137</v>
      </c>
      <c r="W22" s="552">
        <f t="shared" si="8"/>
        <v>523.32720644766232</v>
      </c>
      <c r="X22" s="609">
        <f t="shared" si="8"/>
        <v>9.8804816937543283E-3</v>
      </c>
      <c r="Y22" s="541"/>
      <c r="Z22" s="538"/>
      <c r="AA22" s="741"/>
    </row>
    <row r="23" spans="1:31">
      <c r="E23" s="545"/>
      <c r="G23" s="536"/>
      <c r="I23" s="534"/>
      <c r="J23" s="781"/>
      <c r="K23" s="538"/>
      <c r="L23" s="538"/>
      <c r="M23" s="538"/>
      <c r="N23" s="538"/>
      <c r="O23" s="534"/>
      <c r="P23" s="64"/>
      <c r="Q23" s="538"/>
      <c r="R23" s="538"/>
      <c r="S23" s="538"/>
      <c r="T23" s="64"/>
      <c r="U23" s="781"/>
      <c r="V23" s="546"/>
      <c r="W23" s="538"/>
      <c r="X23" s="599"/>
      <c r="Y23" s="541"/>
      <c r="Z23" s="538"/>
    </row>
    <row r="24" spans="1:31">
      <c r="A24" s="6">
        <v>8</v>
      </c>
      <c r="B24" s="58"/>
      <c r="C24" s="12" t="s">
        <v>267</v>
      </c>
      <c r="D24" s="58"/>
      <c r="E24" s="535" t="s">
        <v>262</v>
      </c>
      <c r="F24" s="58"/>
      <c r="G24" s="536">
        <v>5011587.6267347429</v>
      </c>
      <c r="H24" s="58"/>
      <c r="I24" s="547">
        <v>0.59903985367194279</v>
      </c>
      <c r="J24" s="534">
        <f>G24*I24/100</f>
        <v>30021.407185832992</v>
      </c>
      <c r="K24" s="538"/>
      <c r="L24" s="538">
        <v>0</v>
      </c>
      <c r="M24" s="538">
        <v>0</v>
      </c>
      <c r="N24" s="538">
        <v>0</v>
      </c>
      <c r="O24" s="534">
        <f>J24-L24-M24-N24</f>
        <v>30021.407185832992</v>
      </c>
      <c r="P24" s="564"/>
      <c r="Q24" s="538">
        <v>0</v>
      </c>
      <c r="R24" s="538">
        <v>0</v>
      </c>
      <c r="S24" s="538">
        <v>0</v>
      </c>
      <c r="T24" s="564"/>
      <c r="U24" s="534">
        <f>O24+Q24+R24+S24</f>
        <v>30021.407185832992</v>
      </c>
      <c r="V24" s="546">
        <f>U24/G24*100</f>
        <v>0.59903985367194279</v>
      </c>
      <c r="W24" s="538">
        <f>U24-J24</f>
        <v>0</v>
      </c>
      <c r="X24" s="559">
        <f>V24/I24-1</f>
        <v>0</v>
      </c>
      <c r="Y24" s="559"/>
      <c r="Z24" s="538"/>
      <c r="AA24" s="738"/>
      <c r="AC24" s="738"/>
      <c r="AE24" s="740"/>
    </row>
    <row r="25" spans="1:31">
      <c r="A25" s="6"/>
      <c r="B25" s="58"/>
      <c r="C25" s="12"/>
      <c r="D25" s="58"/>
      <c r="E25" s="535"/>
      <c r="F25" s="58"/>
      <c r="G25" s="536"/>
      <c r="H25" s="58"/>
      <c r="I25" s="547"/>
      <c r="J25" s="534"/>
      <c r="K25" s="538"/>
      <c r="L25" s="538"/>
      <c r="M25" s="538"/>
      <c r="N25" s="538"/>
      <c r="O25" s="534"/>
      <c r="P25" s="564"/>
      <c r="Q25" s="538"/>
      <c r="R25" s="538"/>
      <c r="S25" s="538"/>
      <c r="T25" s="564"/>
      <c r="U25" s="534"/>
      <c r="V25" s="546"/>
      <c r="W25" s="538"/>
      <c r="X25" s="559"/>
      <c r="Y25" s="559"/>
      <c r="Z25" s="538"/>
      <c r="AA25" s="738"/>
      <c r="AC25" s="738"/>
      <c r="AE25" s="740"/>
    </row>
    <row r="26" spans="1:31">
      <c r="A26" s="6"/>
      <c r="B26" s="58"/>
      <c r="C26" s="10" t="s">
        <v>268</v>
      </c>
      <c r="D26" s="58"/>
      <c r="E26" s="535"/>
      <c r="F26" s="58"/>
      <c r="G26" s="536"/>
      <c r="H26" s="58"/>
      <c r="I26" s="547"/>
      <c r="J26" s="534"/>
      <c r="K26" s="538"/>
      <c r="L26" s="538"/>
      <c r="M26" s="538"/>
      <c r="N26" s="538"/>
      <c r="O26" s="534"/>
      <c r="P26" s="564"/>
      <c r="Q26" s="538"/>
      <c r="R26" s="538"/>
      <c r="S26" s="538"/>
      <c r="T26" s="564"/>
      <c r="U26" s="534"/>
      <c r="V26" s="546"/>
      <c r="W26" s="538"/>
      <c r="X26" s="559"/>
      <c r="Y26" s="559"/>
      <c r="Z26" s="538"/>
      <c r="AA26" s="738"/>
      <c r="AC26" s="738"/>
      <c r="AE26" s="740"/>
    </row>
    <row r="27" spans="1:31">
      <c r="A27" s="6">
        <f>MAX(A$14:A24)+1</f>
        <v>9</v>
      </c>
      <c r="B27" s="58"/>
      <c r="C27" s="12" t="s">
        <v>268</v>
      </c>
      <c r="D27" s="58"/>
      <c r="E27" s="535" t="s">
        <v>262</v>
      </c>
      <c r="F27" s="58"/>
      <c r="G27" s="536">
        <v>4941365.8225043351</v>
      </c>
      <c r="H27" s="58"/>
      <c r="I27" s="547">
        <v>3.8514964846403119</v>
      </c>
      <c r="J27" s="534">
        <f t="shared" ref="J27:J28" si="9">G27*I27/100</f>
        <v>190316.53094697229</v>
      </c>
      <c r="K27" s="538"/>
      <c r="L27" s="538">
        <v>0</v>
      </c>
      <c r="M27" s="538">
        <v>0</v>
      </c>
      <c r="N27" s="538">
        <v>0</v>
      </c>
      <c r="O27" s="534">
        <f t="shared" ref="O27:O28" si="10">J27-L27-M27-N27</f>
        <v>190316.53094697229</v>
      </c>
      <c r="P27" s="564"/>
      <c r="Q27" s="538">
        <v>0</v>
      </c>
      <c r="R27" s="538">
        <v>0</v>
      </c>
      <c r="S27" s="538">
        <v>0</v>
      </c>
      <c r="T27" s="564"/>
      <c r="U27" s="534">
        <f t="shared" ref="U27:U28" si="11">O27+Q27+R27+S27</f>
        <v>190316.53094697229</v>
      </c>
      <c r="V27" s="546">
        <f t="shared" ref="V27:V33" si="12">U27/G27*100</f>
        <v>3.8514964846403115</v>
      </c>
      <c r="W27" s="538">
        <f>U27-J27</f>
        <v>0</v>
      </c>
      <c r="X27" s="599"/>
      <c r="Y27" s="541"/>
      <c r="Z27" s="538"/>
      <c r="AA27" s="738"/>
      <c r="AC27" s="738"/>
      <c r="AE27" s="740"/>
    </row>
    <row r="28" spans="1:31">
      <c r="A28" s="6">
        <f>MAX(A$14:A27)+1</f>
        <v>10</v>
      </c>
      <c r="B28" s="58"/>
      <c r="C28" s="12" t="s">
        <v>269</v>
      </c>
      <c r="D28" s="58"/>
      <c r="E28" s="535" t="s">
        <v>262</v>
      </c>
      <c r="F28" s="58"/>
      <c r="G28" s="536">
        <v>70111.872093691025</v>
      </c>
      <c r="H28" s="58"/>
      <c r="I28" s="547">
        <v>0.37192678988229777</v>
      </c>
      <c r="J28" s="534">
        <f t="shared" si="9"/>
        <v>260.76483520444759</v>
      </c>
      <c r="K28" s="538"/>
      <c r="L28" s="538">
        <v>0</v>
      </c>
      <c r="M28" s="538">
        <v>0</v>
      </c>
      <c r="N28" s="538">
        <v>0</v>
      </c>
      <c r="O28" s="534">
        <f t="shared" si="10"/>
        <v>260.76483520444759</v>
      </c>
      <c r="P28" s="564"/>
      <c r="Q28" s="538">
        <v>0</v>
      </c>
      <c r="R28" s="538">
        <v>0</v>
      </c>
      <c r="S28" s="538">
        <v>0</v>
      </c>
      <c r="T28" s="564"/>
      <c r="U28" s="534">
        <f t="shared" si="11"/>
        <v>260.76483520444759</v>
      </c>
      <c r="V28" s="546">
        <f t="shared" si="12"/>
        <v>0.37192678988229777</v>
      </c>
      <c r="W28" s="538">
        <f>U28-J28</f>
        <v>0</v>
      </c>
      <c r="X28" s="599"/>
      <c r="Y28" s="541"/>
      <c r="Z28" s="538"/>
      <c r="AA28" s="738"/>
      <c r="AC28" s="738"/>
      <c r="AE28" s="740"/>
    </row>
    <row r="29" spans="1:31">
      <c r="A29" s="6">
        <v>11</v>
      </c>
      <c r="B29" s="58"/>
      <c r="C29" s="10" t="s">
        <v>268</v>
      </c>
      <c r="D29" s="58"/>
      <c r="E29" s="535"/>
      <c r="F29" s="58"/>
      <c r="G29" s="553">
        <f>SUM(G27:G28)</f>
        <v>5011477.6945980266</v>
      </c>
      <c r="H29" s="58"/>
      <c r="I29" s="566">
        <f>J29/G29*100</f>
        <v>3.8028164025872822</v>
      </c>
      <c r="J29" s="552">
        <f>SUM(J27:J28)</f>
        <v>190577.29578217672</v>
      </c>
      <c r="K29" s="538"/>
      <c r="L29" s="555">
        <f>SUM(L27:L28)</f>
        <v>0</v>
      </c>
      <c r="M29" s="555">
        <f t="shared" ref="M29:N29" si="13">SUM(M27:M28)</f>
        <v>0</v>
      </c>
      <c r="N29" s="555">
        <f t="shared" si="13"/>
        <v>0</v>
      </c>
      <c r="O29" s="552">
        <f>SUM(O27:O28)</f>
        <v>190577.29578217672</v>
      </c>
      <c r="P29" s="538"/>
      <c r="Q29" s="555">
        <f t="shared" ref="Q29:S29" si="14">SUM(Q27:Q28)</f>
        <v>0</v>
      </c>
      <c r="R29" s="555">
        <f t="shared" si="14"/>
        <v>0</v>
      </c>
      <c r="S29" s="555">
        <f t="shared" si="14"/>
        <v>0</v>
      </c>
      <c r="T29" s="538"/>
      <c r="U29" s="552">
        <f>SUM(U27:U28)</f>
        <v>190577.29578217672</v>
      </c>
      <c r="V29" s="551">
        <f t="shared" si="12"/>
        <v>3.8028164025872822</v>
      </c>
      <c r="W29" s="555">
        <f>SUM(W27:W28)</f>
        <v>0</v>
      </c>
      <c r="X29" s="609">
        <f>V29/I29-1</f>
        <v>0</v>
      </c>
      <c r="Y29" s="541"/>
      <c r="Z29" s="538"/>
      <c r="AA29" s="738"/>
      <c r="AC29" s="738"/>
      <c r="AE29" s="740"/>
    </row>
    <row r="30" spans="1:31">
      <c r="E30" s="567"/>
      <c r="G30" s="568"/>
      <c r="I30" s="534"/>
      <c r="J30" s="538"/>
      <c r="K30" s="538"/>
      <c r="L30" s="538"/>
      <c r="M30" s="538"/>
      <c r="N30" s="538"/>
      <c r="O30" s="534"/>
      <c r="P30" s="64"/>
      <c r="Q30" s="538"/>
      <c r="R30" s="538"/>
      <c r="S30" s="538"/>
      <c r="T30" s="64"/>
      <c r="U30" s="781"/>
      <c r="V30" s="546"/>
      <c r="W30" s="538"/>
      <c r="X30" s="599"/>
      <c r="Y30" s="541"/>
      <c r="Z30" s="538"/>
      <c r="AA30" s="738"/>
      <c r="AC30" s="738"/>
      <c r="AE30" s="740"/>
    </row>
    <row r="31" spans="1:31">
      <c r="A31" s="6">
        <f>MAX(A$14:A30)+1</f>
        <v>12</v>
      </c>
      <c r="B31" s="58"/>
      <c r="C31" s="10" t="s">
        <v>270</v>
      </c>
      <c r="D31" s="58"/>
      <c r="E31" s="535" t="s">
        <v>262</v>
      </c>
      <c r="F31" s="58"/>
      <c r="G31" s="536">
        <v>4926335.0754972538</v>
      </c>
      <c r="H31" s="58"/>
      <c r="I31" s="547">
        <v>18.292544616419534</v>
      </c>
      <c r="J31" s="538">
        <f>G31*I31/100</f>
        <v>901152.04163966002</v>
      </c>
      <c r="K31" s="538"/>
      <c r="L31" s="538">
        <v>0</v>
      </c>
      <c r="M31" s="538">
        <v>0</v>
      </c>
      <c r="N31" s="538">
        <v>0</v>
      </c>
      <c r="O31" s="534">
        <f>J31-L31-M31-N31</f>
        <v>901152.04163966002</v>
      </c>
      <c r="P31" s="564"/>
      <c r="Q31" s="538">
        <v>0</v>
      </c>
      <c r="R31" s="538">
        <v>0</v>
      </c>
      <c r="S31" s="538">
        <v>0</v>
      </c>
      <c r="T31" s="564"/>
      <c r="U31" s="534">
        <f>O31+Q31+R31+S31</f>
        <v>901152.04163966002</v>
      </c>
      <c r="V31" s="546">
        <f t="shared" si="12"/>
        <v>18.29254461641953</v>
      </c>
      <c r="W31" s="538">
        <f>U31-J31</f>
        <v>0</v>
      </c>
      <c r="X31" s="599">
        <f>V31/I31-1</f>
        <v>0</v>
      </c>
      <c r="Y31" s="541"/>
      <c r="Z31" s="538"/>
      <c r="AA31" s="738"/>
      <c r="AC31" s="738"/>
      <c r="AE31" s="740"/>
    </row>
    <row r="32" spans="1:31">
      <c r="A32" s="6"/>
      <c r="B32" s="58"/>
      <c r="C32" s="10"/>
      <c r="D32" s="58"/>
      <c r="E32" s="545"/>
      <c r="F32" s="58"/>
      <c r="G32" s="536"/>
      <c r="H32" s="58"/>
      <c r="I32" s="534"/>
      <c r="J32" s="538"/>
      <c r="K32" s="538"/>
      <c r="L32" s="538"/>
      <c r="M32" s="538"/>
      <c r="N32" s="538"/>
      <c r="O32" s="538"/>
      <c r="P32" s="564"/>
      <c r="Q32" s="538"/>
      <c r="R32" s="538"/>
      <c r="S32" s="538"/>
      <c r="T32" s="564"/>
      <c r="U32" s="564"/>
      <c r="V32" s="546"/>
      <c r="W32" s="538"/>
      <c r="X32" s="599"/>
      <c r="Y32" s="541"/>
      <c r="Z32" s="538"/>
    </row>
    <row r="33" spans="1:31" ht="12.95" thickBot="1">
      <c r="A33" s="6">
        <f>MAX(A$14:A32)+1</f>
        <v>13</v>
      </c>
      <c r="B33" s="58"/>
      <c r="C33" s="10" t="s">
        <v>271</v>
      </c>
      <c r="D33" s="58"/>
      <c r="E33" s="545"/>
      <c r="F33" s="58"/>
      <c r="G33" s="569">
        <f>G20</f>
        <v>5011587.6267347429</v>
      </c>
      <c r="H33" s="58"/>
      <c r="I33" s="570">
        <f>J33/G33*100</f>
        <v>23.440007249585477</v>
      </c>
      <c r="J33" s="571">
        <f t="shared" ref="J33" si="15">J22+J24+J29+J31</f>
        <v>1174716.5030259525</v>
      </c>
      <c r="K33" s="534"/>
      <c r="L33" s="571">
        <f>L22+L24+L29+L31</f>
        <v>530.0902523540974</v>
      </c>
      <c r="M33" s="571">
        <f t="shared" ref="M33:U33" si="16">M22+M24+M29+M31</f>
        <v>13027.395706562269</v>
      </c>
      <c r="N33" s="571">
        <f t="shared" si="16"/>
        <v>5985.1968992662751</v>
      </c>
      <c r="O33" s="571">
        <f t="shared" si="16"/>
        <v>1155173.8201677699</v>
      </c>
      <c r="P33" s="534"/>
      <c r="Q33" s="571">
        <f t="shared" si="16"/>
        <v>443.30283568334914</v>
      </c>
      <c r="R33" s="571">
        <f t="shared" si="16"/>
        <v>14276.994192075203</v>
      </c>
      <c r="S33" s="571">
        <f t="shared" si="16"/>
        <v>5345.7130368717535</v>
      </c>
      <c r="T33" s="534"/>
      <c r="U33" s="571">
        <f t="shared" si="16"/>
        <v>1175239.8302324002</v>
      </c>
      <c r="V33" s="570">
        <f t="shared" si="12"/>
        <v>23.450449593318147</v>
      </c>
      <c r="W33" s="571">
        <f>U33-J33</f>
        <v>523.32720644772053</v>
      </c>
      <c r="X33" s="615">
        <f>V33/I33-1</f>
        <v>4.4549234227964085E-4</v>
      </c>
      <c r="Y33" s="541"/>
      <c r="Z33" s="538"/>
      <c r="AA33" s="738"/>
      <c r="AC33" s="738"/>
      <c r="AE33" s="740"/>
    </row>
    <row r="34" spans="1:31" ht="12.95" thickTop="1">
      <c r="A34" s="6"/>
      <c r="B34" s="58"/>
      <c r="D34" s="58"/>
      <c r="E34" s="574"/>
      <c r="F34" s="58"/>
      <c r="G34" s="132"/>
      <c r="H34" s="58"/>
      <c r="I34" s="501"/>
      <c r="J34" s="501"/>
      <c r="K34" s="501"/>
      <c r="L34" s="501"/>
      <c r="M34" s="501"/>
      <c r="N34" s="501"/>
      <c r="O34" s="501"/>
      <c r="P34" s="58"/>
      <c r="Q34" s="501"/>
      <c r="R34" s="501"/>
      <c r="S34" s="501"/>
      <c r="T34" s="58"/>
      <c r="U34" s="58"/>
      <c r="V34" s="58"/>
      <c r="W34" s="501"/>
      <c r="X34" s="605"/>
      <c r="Y34" s="501"/>
      <c r="Z34" s="501"/>
    </row>
    <row r="35" spans="1:31" ht="12.95">
      <c r="A35" s="6"/>
      <c r="B35" s="58"/>
      <c r="C35" s="9" t="s">
        <v>128</v>
      </c>
      <c r="D35" s="58"/>
      <c r="E35" s="128"/>
      <c r="F35" s="58"/>
      <c r="G35" s="575"/>
      <c r="H35" s="58"/>
      <c r="I35" s="501"/>
      <c r="J35" s="501"/>
      <c r="K35" s="501"/>
      <c r="L35" s="501"/>
      <c r="M35" s="501"/>
      <c r="N35" s="501"/>
      <c r="O35" s="501"/>
      <c r="P35" s="58"/>
      <c r="Q35" s="501"/>
      <c r="R35" s="501"/>
      <c r="S35" s="501"/>
      <c r="T35" s="58"/>
      <c r="U35" s="539"/>
      <c r="V35" s="539"/>
      <c r="W35" s="534"/>
      <c r="X35" s="605"/>
      <c r="Y35" s="501"/>
      <c r="Z35" s="501"/>
    </row>
    <row r="36" spans="1:31">
      <c r="A36" s="6">
        <v>14</v>
      </c>
      <c r="B36" s="58"/>
      <c r="C36" s="10" t="s">
        <v>258</v>
      </c>
      <c r="D36" s="58"/>
      <c r="E36" s="535" t="s">
        <v>259</v>
      </c>
      <c r="F36" s="58"/>
      <c r="G36" s="536">
        <v>2075693</v>
      </c>
      <c r="H36" s="58"/>
      <c r="I36" s="29">
        <v>0</v>
      </c>
      <c r="J36" s="538">
        <v>0</v>
      </c>
      <c r="K36" s="538"/>
      <c r="L36" s="538">
        <v>0</v>
      </c>
      <c r="M36" s="538">
        <v>0</v>
      </c>
      <c r="N36" s="538">
        <v>0</v>
      </c>
      <c r="O36" s="538">
        <v>0</v>
      </c>
      <c r="P36" s="564"/>
      <c r="Q36" s="538">
        <v>0</v>
      </c>
      <c r="R36" s="538">
        <v>0</v>
      </c>
      <c r="S36" s="538">
        <v>0</v>
      </c>
      <c r="T36" s="564"/>
      <c r="U36" s="564">
        <v>0</v>
      </c>
      <c r="V36" s="564">
        <v>0</v>
      </c>
      <c r="W36" s="538">
        <v>0</v>
      </c>
      <c r="X36" s="599"/>
      <c r="Y36" s="541"/>
      <c r="Z36" s="501"/>
      <c r="AA36" s="738"/>
      <c r="AE36" s="739"/>
    </row>
    <row r="37" spans="1:31">
      <c r="A37" s="6"/>
      <c r="B37" s="58"/>
      <c r="C37" s="521" t="s">
        <v>260</v>
      </c>
      <c r="D37" s="58"/>
      <c r="E37" s="545"/>
      <c r="F37" s="58"/>
      <c r="G37" s="536"/>
      <c r="H37" s="58"/>
      <c r="I37" s="546"/>
      <c r="J37" s="534"/>
      <c r="K37" s="534"/>
      <c r="L37" s="538"/>
      <c r="M37" s="538"/>
      <c r="N37" s="501"/>
      <c r="O37" s="534"/>
      <c r="P37" s="58"/>
      <c r="Q37" s="538"/>
      <c r="R37" s="538"/>
      <c r="S37" s="538"/>
      <c r="T37" s="58"/>
      <c r="U37" s="539"/>
      <c r="V37" s="540"/>
      <c r="W37" s="534"/>
      <c r="X37" s="599"/>
      <c r="Y37" s="541"/>
      <c r="Z37" s="501"/>
    </row>
    <row r="38" spans="1:31">
      <c r="A38" s="6">
        <v>15</v>
      </c>
      <c r="B38" s="58"/>
      <c r="C38" s="12" t="s">
        <v>272</v>
      </c>
      <c r="D38" s="58"/>
      <c r="E38" s="535" t="s">
        <v>262</v>
      </c>
      <c r="F38" s="58"/>
      <c r="G38" s="536">
        <v>581366.01608913206</v>
      </c>
      <c r="H38" s="58"/>
      <c r="I38" s="547">
        <v>0.97910480440383962</v>
      </c>
      <c r="J38" s="534">
        <f>G38*I38/100</f>
        <v>5692.1825946998906</v>
      </c>
      <c r="K38" s="534"/>
      <c r="L38" s="536">
        <v>61.492780558158977</v>
      </c>
      <c r="M38" s="536">
        <v>1491.6446912700828</v>
      </c>
      <c r="N38" s="536">
        <v>591.47125002692655</v>
      </c>
      <c r="O38" s="534">
        <f>J38-L38-M38-N38</f>
        <v>3547.5738728447218</v>
      </c>
      <c r="P38" s="58"/>
      <c r="Q38" s="536">
        <v>51.42506181622128</v>
      </c>
      <c r="R38" s="536">
        <v>1634.7244739925482</v>
      </c>
      <c r="S38" s="536">
        <v>528.27594904879106</v>
      </c>
      <c r="T38" s="58"/>
      <c r="U38" s="539">
        <f>SUM(O38:S38)</f>
        <v>5761.9993577022833</v>
      </c>
      <c r="V38" s="548">
        <f t="shared" ref="V38:V44" si="17">U38/G38*100</f>
        <v>0.99111389352673873</v>
      </c>
      <c r="W38" s="534">
        <f t="shared" ref="W38:W43" si="18">U38-J38</f>
        <v>69.81676300239269</v>
      </c>
      <c r="X38" s="599"/>
      <c r="Y38" s="541"/>
      <c r="Z38" s="501"/>
      <c r="AA38" s="738"/>
      <c r="AC38" s="738"/>
      <c r="AE38" s="740"/>
    </row>
    <row r="39" spans="1:31">
      <c r="A39" s="6">
        <v>16</v>
      </c>
      <c r="B39" s="58"/>
      <c r="C39" s="12" t="s">
        <v>273</v>
      </c>
      <c r="D39" s="58"/>
      <c r="E39" s="535" t="s">
        <v>262</v>
      </c>
      <c r="F39" s="58"/>
      <c r="G39" s="536">
        <v>654833.14152139914</v>
      </c>
      <c r="H39" s="58"/>
      <c r="I39" s="547">
        <v>0.94913409640100943</v>
      </c>
      <c r="J39" s="534">
        <f t="shared" ref="J39:J43" si="19">G39*I39/100</f>
        <v>6215.2446207134753</v>
      </c>
      <c r="K39" s="534"/>
      <c r="L39" s="536">
        <v>69.263612869335049</v>
      </c>
      <c r="M39" s="536">
        <v>1680.1435794079014</v>
      </c>
      <c r="N39" s="536">
        <v>666.21537216812499</v>
      </c>
      <c r="O39" s="534">
        <f t="shared" ref="O39:O43" si="20">J39-L39-M39-N39</f>
        <v>3799.6220562681137</v>
      </c>
      <c r="P39" s="58"/>
      <c r="Q39" s="536">
        <v>57.923638207441201</v>
      </c>
      <c r="R39" s="536">
        <v>1841.3043301491118</v>
      </c>
      <c r="S39" s="536">
        <v>595.03409166039353</v>
      </c>
      <c r="T39" s="58"/>
      <c r="U39" s="539">
        <f t="shared" ref="U39:U43" si="21">SUM(O39:S39)</f>
        <v>6293.8841162850604</v>
      </c>
      <c r="V39" s="548">
        <f t="shared" si="17"/>
        <v>0.96114318552390865</v>
      </c>
      <c r="W39" s="534">
        <f t="shared" si="18"/>
        <v>78.63949557158503</v>
      </c>
      <c r="X39" s="599"/>
      <c r="Y39" s="541"/>
      <c r="Z39" s="501"/>
      <c r="AA39" s="738"/>
      <c r="AC39" s="738"/>
      <c r="AE39" s="740"/>
    </row>
    <row r="40" spans="1:31">
      <c r="A40" s="6">
        <v>17</v>
      </c>
      <c r="C40" s="12" t="s">
        <v>274</v>
      </c>
      <c r="E40" s="535" t="s">
        <v>262</v>
      </c>
      <c r="G40" s="536">
        <v>1156632.1092895225</v>
      </c>
      <c r="H40" s="58"/>
      <c r="I40" s="547">
        <v>0.9281443050874324</v>
      </c>
      <c r="J40" s="534">
        <f t="shared" si="19"/>
        <v>10735.21505318335</v>
      </c>
      <c r="K40" s="534"/>
      <c r="L40" s="536">
        <v>122.34035446639645</v>
      </c>
      <c r="M40" s="536">
        <v>2967.6384546525037</v>
      </c>
      <c r="N40" s="536">
        <v>1176.7365490415418</v>
      </c>
      <c r="O40" s="534">
        <f t="shared" si="20"/>
        <v>6468.4996950229088</v>
      </c>
      <c r="P40" s="58"/>
      <c r="Q40" s="536">
        <v>102.31055148177246</v>
      </c>
      <c r="R40" s="536">
        <v>3252.2967702524297</v>
      </c>
      <c r="S40" s="536">
        <v>1051.0090172548871</v>
      </c>
      <c r="T40" s="58"/>
      <c r="U40" s="539">
        <f t="shared" si="21"/>
        <v>10874.116034011997</v>
      </c>
      <c r="V40" s="548">
        <f t="shared" si="17"/>
        <v>0.94015339421033151</v>
      </c>
      <c r="W40" s="534">
        <f t="shared" si="18"/>
        <v>138.90098082864642</v>
      </c>
      <c r="X40" s="599"/>
      <c r="Y40" s="541"/>
      <c r="Z40" s="501"/>
      <c r="AA40" s="738"/>
      <c r="AC40" s="738"/>
      <c r="AE40" s="740"/>
    </row>
    <row r="41" spans="1:31">
      <c r="A41" s="6">
        <v>18</v>
      </c>
      <c r="C41" s="12" t="s">
        <v>275</v>
      </c>
      <c r="E41" s="535" t="s">
        <v>262</v>
      </c>
      <c r="G41" s="536">
        <v>751680.94105884049</v>
      </c>
      <c r="H41" s="58"/>
      <c r="I41" s="547">
        <v>0.91465965967797269</v>
      </c>
      <c r="J41" s="534">
        <f t="shared" si="19"/>
        <v>6875.3223373529736</v>
      </c>
      <c r="K41" s="534"/>
      <c r="L41" s="536">
        <v>79.507487329969834</v>
      </c>
      <c r="M41" s="536">
        <v>1928.6316265989249</v>
      </c>
      <c r="N41" s="536">
        <v>764.7465684704307</v>
      </c>
      <c r="O41" s="534">
        <f t="shared" si="20"/>
        <v>4102.436654953648</v>
      </c>
      <c r="P41" s="58"/>
      <c r="Q41" s="536">
        <v>66.490365432883905</v>
      </c>
      <c r="R41" s="536">
        <v>2113.627554718033</v>
      </c>
      <c r="S41" s="536">
        <v>683.03779638001208</v>
      </c>
      <c r="T41" s="58"/>
      <c r="U41" s="539">
        <f t="shared" si="21"/>
        <v>6965.5923714845767</v>
      </c>
      <c r="V41" s="548">
        <f t="shared" si="17"/>
        <v>0.92666874880087191</v>
      </c>
      <c r="W41" s="534">
        <f t="shared" si="18"/>
        <v>90.270034131603097</v>
      </c>
      <c r="X41" s="599"/>
      <c r="Y41" s="541"/>
      <c r="Z41" s="501"/>
      <c r="AA41" s="738"/>
      <c r="AC41" s="738"/>
      <c r="AE41" s="740"/>
    </row>
    <row r="42" spans="1:31">
      <c r="A42" s="6">
        <v>19</v>
      </c>
      <c r="C42" s="12" t="s">
        <v>276</v>
      </c>
      <c r="E42" s="535" t="s">
        <v>262</v>
      </c>
      <c r="G42" s="536">
        <v>714347.32692564209</v>
      </c>
      <c r="H42" s="58"/>
      <c r="I42" s="547">
        <v>0.9086670476072608</v>
      </c>
      <c r="J42" s="534">
        <f t="shared" si="19"/>
        <v>6491.0387652366189</v>
      </c>
      <c r="K42" s="534"/>
      <c r="L42" s="536">
        <v>75.558601984418814</v>
      </c>
      <c r="M42" s="536">
        <v>1832.8425956157771</v>
      </c>
      <c r="N42" s="536">
        <v>726.76402596144385</v>
      </c>
      <c r="O42" s="534">
        <f t="shared" si="20"/>
        <v>3855.8735416749796</v>
      </c>
      <c r="P42" s="58"/>
      <c r="Q42" s="536">
        <v>63.187999347680304</v>
      </c>
      <c r="R42" s="536">
        <v>2008.6503612854249</v>
      </c>
      <c r="S42" s="536">
        <v>649.11347006608275</v>
      </c>
      <c r="T42" s="58"/>
      <c r="U42" s="539">
        <f t="shared" si="21"/>
        <v>6576.8253723741673</v>
      </c>
      <c r="V42" s="548">
        <f t="shared" si="17"/>
        <v>0.92067613673015991</v>
      </c>
      <c r="W42" s="534">
        <f t="shared" si="18"/>
        <v>85.786607137548344</v>
      </c>
      <c r="X42" s="599"/>
      <c r="Y42" s="541"/>
      <c r="Z42" s="501"/>
      <c r="AA42" s="738"/>
      <c r="AC42" s="738"/>
      <c r="AE42" s="740"/>
    </row>
    <row r="43" spans="1:31">
      <c r="A43" s="6">
        <v>20</v>
      </c>
      <c r="C43" s="12" t="s">
        <v>277</v>
      </c>
      <c r="E43" s="535" t="s">
        <v>262</v>
      </c>
      <c r="G43" s="536">
        <v>940380.33721585828</v>
      </c>
      <c r="H43" s="58"/>
      <c r="I43" s="547">
        <v>0.90716290007246025</v>
      </c>
      <c r="J43" s="534">
        <f t="shared" si="19"/>
        <v>8530.7815387985611</v>
      </c>
      <c r="K43" s="534"/>
      <c r="L43" s="536">
        <v>99.466773284451207</v>
      </c>
      <c r="M43" s="536">
        <v>2412.788671788735</v>
      </c>
      <c r="N43" s="536">
        <v>956.7259147609542</v>
      </c>
      <c r="O43" s="534">
        <f t="shared" si="20"/>
        <v>5061.8001789644204</v>
      </c>
      <c r="P43" s="58"/>
      <c r="Q43" s="536">
        <v>83.181877911264692</v>
      </c>
      <c r="R43" s="536">
        <v>2644.2253409467326</v>
      </c>
      <c r="S43" s="536">
        <v>854.50525376661494</v>
      </c>
      <c r="T43" s="58"/>
      <c r="U43" s="539">
        <f t="shared" si="21"/>
        <v>8643.7126515890322</v>
      </c>
      <c r="V43" s="548">
        <f t="shared" si="17"/>
        <v>0.91917198919535936</v>
      </c>
      <c r="W43" s="534">
        <f t="shared" si="18"/>
        <v>112.93111279047116</v>
      </c>
      <c r="X43" s="599"/>
      <c r="Y43" s="541"/>
      <c r="Z43" s="501"/>
      <c r="AA43" s="738"/>
      <c r="AC43" s="738"/>
      <c r="AE43" s="740"/>
    </row>
    <row r="44" spans="1:31">
      <c r="A44" s="6">
        <v>21</v>
      </c>
      <c r="B44" s="58"/>
      <c r="C44" s="521" t="s">
        <v>260</v>
      </c>
      <c r="D44" s="58"/>
      <c r="E44" s="545"/>
      <c r="F44" s="58"/>
      <c r="G44" s="550">
        <f>SUM(G38:G43)</f>
        <v>4799239.8721003952</v>
      </c>
      <c r="H44" s="58"/>
      <c r="I44" s="551">
        <f>J44/G44*100</f>
        <v>0.92805915305275122</v>
      </c>
      <c r="J44" s="552">
        <f>SUM(J38:J43)</f>
        <v>44539.784909984868</v>
      </c>
      <c r="K44" s="538"/>
      <c r="L44" s="553">
        <f>SUM(L38:L43)</f>
        <v>507.62961049273036</v>
      </c>
      <c r="M44" s="553">
        <f>SUM(M38:M43)</f>
        <v>12313.689619333923</v>
      </c>
      <c r="N44" s="553">
        <f>SUM(N38:N43)</f>
        <v>4882.6596804294222</v>
      </c>
      <c r="O44" s="552">
        <f>SUM(O38:O43)</f>
        <v>26835.805999728793</v>
      </c>
      <c r="P44" s="58"/>
      <c r="Q44" s="553">
        <f>SUM(Q38:Q43)</f>
        <v>424.51949419726384</v>
      </c>
      <c r="R44" s="553">
        <f t="shared" ref="R44:S44" si="22">SUM(R38:R43)</f>
        <v>13494.828831344281</v>
      </c>
      <c r="S44" s="553">
        <f t="shared" si="22"/>
        <v>4360.9755781767817</v>
      </c>
      <c r="T44" s="58"/>
      <c r="U44" s="554">
        <f>SUM(U38:U43)</f>
        <v>45116.129903447116</v>
      </c>
      <c r="V44" s="556">
        <f t="shared" si="17"/>
        <v>0.94006824217565033</v>
      </c>
      <c r="W44" s="552">
        <f>SUM(W38:W43)</f>
        <v>576.34499346224675</v>
      </c>
      <c r="X44" s="558">
        <f>V44/I44-1</f>
        <v>1.2940003967846669E-2</v>
      </c>
      <c r="Y44" s="559"/>
      <c r="Z44" s="501"/>
      <c r="AA44" s="738"/>
      <c r="AC44" s="738"/>
      <c r="AE44" s="740"/>
    </row>
    <row r="45" spans="1:31">
      <c r="A45" s="6"/>
      <c r="B45" s="58"/>
      <c r="C45" s="10"/>
      <c r="D45" s="58"/>
      <c r="E45" s="545"/>
      <c r="F45" s="58"/>
      <c r="G45" s="536"/>
      <c r="H45" s="58"/>
      <c r="I45" s="534"/>
      <c r="J45" s="534"/>
      <c r="K45" s="534"/>
      <c r="L45" s="538"/>
      <c r="M45" s="538"/>
      <c r="N45" s="538"/>
      <c r="O45" s="534"/>
      <c r="P45" s="58"/>
      <c r="Q45" s="538"/>
      <c r="R45" s="538"/>
      <c r="S45" s="538"/>
      <c r="T45" s="58"/>
      <c r="U45" s="58"/>
      <c r="V45" s="58"/>
      <c r="W45" s="501"/>
      <c r="X45" s="599"/>
      <c r="Y45" s="541"/>
      <c r="Z45" s="501"/>
    </row>
    <row r="46" spans="1:31">
      <c r="A46" s="6">
        <v>22</v>
      </c>
      <c r="B46" s="58"/>
      <c r="C46" s="10" t="s">
        <v>266</v>
      </c>
      <c r="D46" s="58"/>
      <c r="E46" s="545"/>
      <c r="F46" s="58"/>
      <c r="G46" s="550">
        <f>G44</f>
        <v>4799239.8721003952</v>
      </c>
      <c r="H46" s="58"/>
      <c r="I46" s="551">
        <f>I44</f>
        <v>0.92805915305275122</v>
      </c>
      <c r="J46" s="552">
        <f t="shared" ref="J46" si="23">J44</f>
        <v>44539.784909984868</v>
      </c>
      <c r="K46" s="534"/>
      <c r="L46" s="552">
        <f>L44</f>
        <v>507.62961049273036</v>
      </c>
      <c r="M46" s="552">
        <f t="shared" ref="M46:O46" si="24">M44</f>
        <v>12313.689619333923</v>
      </c>
      <c r="N46" s="552">
        <f t="shared" si="24"/>
        <v>4882.6596804294222</v>
      </c>
      <c r="O46" s="552">
        <f t="shared" si="24"/>
        <v>26835.805999728793</v>
      </c>
      <c r="P46" s="534"/>
      <c r="Q46" s="552">
        <f>Q44</f>
        <v>424.51949419726384</v>
      </c>
      <c r="R46" s="552">
        <f t="shared" ref="R46:X46" si="25">R44</f>
        <v>13494.828831344281</v>
      </c>
      <c r="S46" s="552">
        <f t="shared" si="25"/>
        <v>4360.9755781767817</v>
      </c>
      <c r="T46" s="534"/>
      <c r="U46" s="552">
        <f t="shared" si="25"/>
        <v>45116.129903447116</v>
      </c>
      <c r="V46" s="551">
        <f t="shared" si="25"/>
        <v>0.94006824217565033</v>
      </c>
      <c r="W46" s="552">
        <f t="shared" si="25"/>
        <v>576.34499346224675</v>
      </c>
      <c r="X46" s="609">
        <f t="shared" si="25"/>
        <v>1.2940003967846669E-2</v>
      </c>
      <c r="Y46" s="541"/>
      <c r="Z46" s="501"/>
    </row>
    <row r="47" spans="1:31">
      <c r="A47" s="6"/>
      <c r="B47" s="58"/>
      <c r="D47" s="58"/>
      <c r="E47" s="545"/>
      <c r="F47" s="58"/>
      <c r="G47" s="536"/>
      <c r="I47" s="534"/>
      <c r="J47" s="538"/>
      <c r="K47" s="538"/>
      <c r="L47" s="538"/>
      <c r="M47" s="538"/>
      <c r="N47" s="538"/>
      <c r="O47" s="538"/>
      <c r="P47" s="64"/>
      <c r="Q47" s="538"/>
      <c r="R47" s="538"/>
      <c r="S47" s="538"/>
      <c r="T47" s="64"/>
      <c r="U47" s="64"/>
      <c r="V47" s="64"/>
      <c r="W47" s="538"/>
      <c r="X47" s="599"/>
      <c r="Y47" s="541"/>
      <c r="Z47" s="501"/>
    </row>
    <row r="48" spans="1:31">
      <c r="A48" s="6">
        <v>23</v>
      </c>
      <c r="B48" s="58"/>
      <c r="C48" s="12" t="s">
        <v>267</v>
      </c>
      <c r="D48" s="58"/>
      <c r="E48" s="535" t="s">
        <v>262</v>
      </c>
      <c r="F48" s="58"/>
      <c r="G48" s="536">
        <v>4799239.8721003952</v>
      </c>
      <c r="H48" s="58"/>
      <c r="I48" s="547">
        <v>0.56229042178857536</v>
      </c>
      <c r="J48" s="534">
        <f>G48*I48/100</f>
        <v>26985.666119478796</v>
      </c>
      <c r="K48" s="538"/>
      <c r="L48" s="538">
        <v>0</v>
      </c>
      <c r="M48" s="538">
        <v>0</v>
      </c>
      <c r="N48" s="538">
        <v>0</v>
      </c>
      <c r="O48" s="534">
        <f t="shared" ref="O48:O52" si="26">J48-L48-M48-N48</f>
        <v>26985.666119478796</v>
      </c>
      <c r="P48" s="564"/>
      <c r="Q48" s="538">
        <v>0</v>
      </c>
      <c r="R48" s="538">
        <v>0</v>
      </c>
      <c r="S48" s="538">
        <v>0</v>
      </c>
      <c r="T48" s="564"/>
      <c r="U48" s="539">
        <f t="shared" ref="U48:U52" si="27">SUM(O48:S48)</f>
        <v>26985.666119478796</v>
      </c>
      <c r="V48" s="548">
        <f t="shared" ref="V48" si="28">U48/G48*100</f>
        <v>0.56229042178857536</v>
      </c>
      <c r="W48" s="538">
        <f>U48-J48</f>
        <v>0</v>
      </c>
      <c r="X48" s="559">
        <f>V48/I48-1</f>
        <v>0</v>
      </c>
      <c r="Y48" s="559"/>
      <c r="Z48" s="501"/>
      <c r="AA48" s="738"/>
      <c r="AC48" s="738"/>
      <c r="AE48" s="740"/>
    </row>
    <row r="49" spans="1:31">
      <c r="A49" s="6"/>
      <c r="B49" s="58"/>
      <c r="C49" s="12"/>
      <c r="D49" s="58"/>
      <c r="E49" s="535"/>
      <c r="F49" s="58"/>
      <c r="G49" s="536"/>
      <c r="H49" s="58"/>
      <c r="I49" s="547"/>
      <c r="J49" s="534"/>
      <c r="K49" s="538"/>
      <c r="L49" s="538"/>
      <c r="M49" s="538"/>
      <c r="N49" s="538"/>
      <c r="O49" s="534"/>
      <c r="P49" s="564"/>
      <c r="Q49" s="538"/>
      <c r="R49" s="538"/>
      <c r="S49" s="538"/>
      <c r="T49" s="564"/>
      <c r="U49" s="539"/>
      <c r="V49" s="565"/>
      <c r="W49" s="538"/>
      <c r="X49" s="559"/>
      <c r="Y49" s="559"/>
      <c r="Z49" s="501"/>
      <c r="AA49" s="738"/>
      <c r="AC49" s="738"/>
      <c r="AE49" s="740"/>
    </row>
    <row r="50" spans="1:31">
      <c r="A50" s="6"/>
      <c r="B50" s="58"/>
      <c r="C50" s="10" t="s">
        <v>268</v>
      </c>
      <c r="D50" s="58"/>
      <c r="E50" s="535"/>
      <c r="F50" s="58"/>
      <c r="G50" s="536"/>
      <c r="H50" s="58"/>
      <c r="I50" s="547"/>
      <c r="J50" s="534"/>
      <c r="K50" s="538"/>
      <c r="L50" s="538"/>
      <c r="M50" s="538"/>
      <c r="N50" s="538"/>
      <c r="O50" s="534"/>
      <c r="P50" s="564"/>
      <c r="Q50" s="538"/>
      <c r="R50" s="538"/>
      <c r="S50" s="538"/>
      <c r="T50" s="564"/>
      <c r="U50" s="539"/>
      <c r="V50" s="565"/>
      <c r="W50" s="538"/>
      <c r="X50" s="559"/>
      <c r="Y50" s="559"/>
      <c r="Z50" s="501"/>
      <c r="AA50" s="738"/>
      <c r="AC50" s="738"/>
      <c r="AE50" s="740"/>
    </row>
    <row r="51" spans="1:31">
      <c r="A51" s="1">
        <v>24</v>
      </c>
      <c r="C51" s="12" t="s">
        <v>268</v>
      </c>
      <c r="E51" s="535" t="s">
        <v>262</v>
      </c>
      <c r="G51" s="536">
        <v>3151717.8705886342</v>
      </c>
      <c r="H51" s="58"/>
      <c r="I51" s="547">
        <v>3.8514965103672711</v>
      </c>
      <c r="J51" s="534">
        <f t="shared" ref="J51:J52" si="29">G51*I51/100</f>
        <v>121388.30380234291</v>
      </c>
      <c r="K51" s="538"/>
      <c r="L51" s="538">
        <v>0</v>
      </c>
      <c r="M51" s="538">
        <v>0</v>
      </c>
      <c r="N51" s="538">
        <v>0</v>
      </c>
      <c r="O51" s="534">
        <f>J51-L51-M51-N51</f>
        <v>121388.30380234291</v>
      </c>
      <c r="P51" s="564"/>
      <c r="Q51" s="538">
        <v>0</v>
      </c>
      <c r="R51" s="538">
        <v>0</v>
      </c>
      <c r="S51" s="538">
        <v>0</v>
      </c>
      <c r="T51" s="564"/>
      <c r="U51" s="539">
        <f t="shared" si="27"/>
        <v>121388.30380234291</v>
      </c>
      <c r="V51" s="548">
        <f t="shared" ref="V51:V53" si="30">U51/G51*100</f>
        <v>3.8514965103672716</v>
      </c>
      <c r="W51" s="538">
        <f>U51-J51</f>
        <v>0</v>
      </c>
      <c r="X51" s="599"/>
      <c r="Y51" s="541"/>
      <c r="Z51" s="501"/>
      <c r="AA51" s="738"/>
      <c r="AC51" s="738"/>
      <c r="AE51" s="740"/>
    </row>
    <row r="52" spans="1:31">
      <c r="A52" s="6">
        <v>25</v>
      </c>
      <c r="B52" s="58"/>
      <c r="C52" s="12" t="s">
        <v>269</v>
      </c>
      <c r="D52" s="58"/>
      <c r="E52" s="535" t="s">
        <v>262</v>
      </c>
      <c r="F52" s="58"/>
      <c r="G52" s="536">
        <v>1595783.9460776143</v>
      </c>
      <c r="H52" s="58"/>
      <c r="I52" s="547">
        <v>0.37192382270332858</v>
      </c>
      <c r="J52" s="534">
        <f t="shared" si="29"/>
        <v>5935.1006543378871</v>
      </c>
      <c r="K52" s="538"/>
      <c r="L52" s="538">
        <v>0</v>
      </c>
      <c r="M52" s="538">
        <v>0</v>
      </c>
      <c r="N52" s="538">
        <v>0</v>
      </c>
      <c r="O52" s="534">
        <f t="shared" si="26"/>
        <v>5935.1006543378871</v>
      </c>
      <c r="P52" s="564"/>
      <c r="Q52" s="538">
        <v>0</v>
      </c>
      <c r="R52" s="538">
        <v>0</v>
      </c>
      <c r="S52" s="538">
        <v>0</v>
      </c>
      <c r="T52" s="564"/>
      <c r="U52" s="539">
        <f t="shared" si="27"/>
        <v>5935.1006543378871</v>
      </c>
      <c r="V52" s="548">
        <f t="shared" si="30"/>
        <v>0.37192382270332858</v>
      </c>
      <c r="W52" s="538">
        <f>U52-J52</f>
        <v>0</v>
      </c>
      <c r="X52" s="599"/>
      <c r="Y52" s="541"/>
      <c r="Z52" s="501"/>
      <c r="AA52" s="738"/>
      <c r="AC52" s="738"/>
      <c r="AE52" s="740"/>
    </row>
    <row r="53" spans="1:31">
      <c r="A53" s="6">
        <v>26</v>
      </c>
      <c r="B53" s="58"/>
      <c r="C53" s="10" t="s">
        <v>268</v>
      </c>
      <c r="D53" s="58"/>
      <c r="E53" s="535"/>
      <c r="F53" s="58"/>
      <c r="G53" s="553">
        <f>SUM(G51:G52)</f>
        <v>4747501.8166662483</v>
      </c>
      <c r="H53" s="58"/>
      <c r="I53" s="566">
        <f>J53/G53*100</f>
        <v>2.6819032277082688</v>
      </c>
      <c r="J53" s="552">
        <f>SUM(J51:J52)</f>
        <v>127323.4044566808</v>
      </c>
      <c r="K53" s="538"/>
      <c r="L53" s="555">
        <f>SUM(L51:L52)</f>
        <v>0</v>
      </c>
      <c r="M53" s="555">
        <f t="shared" ref="M53:N53" si="31">SUM(M51:M52)</f>
        <v>0</v>
      </c>
      <c r="N53" s="555">
        <f t="shared" si="31"/>
        <v>0</v>
      </c>
      <c r="O53" s="552">
        <f>SUM(O51:O52)</f>
        <v>127323.4044566808</v>
      </c>
      <c r="P53" s="564"/>
      <c r="Q53" s="555">
        <f>SUM(Q51:Q52)</f>
        <v>0</v>
      </c>
      <c r="R53" s="555">
        <f t="shared" ref="R53:S53" si="32">SUM(R51:R52)</f>
        <v>0</v>
      </c>
      <c r="S53" s="555">
        <f t="shared" si="32"/>
        <v>0</v>
      </c>
      <c r="T53" s="564"/>
      <c r="U53" s="554">
        <f>SUM(U51:U52)</f>
        <v>127323.4044566808</v>
      </c>
      <c r="V53" s="556">
        <f t="shared" si="30"/>
        <v>2.6819032277082688</v>
      </c>
      <c r="W53" s="555">
        <f>SUM(W51:W52)</f>
        <v>0</v>
      </c>
      <c r="X53" s="609">
        <f>V53/I53-1</f>
        <v>0</v>
      </c>
      <c r="Y53" s="541"/>
      <c r="Z53" s="501"/>
      <c r="AA53" s="738"/>
      <c r="AC53" s="738"/>
      <c r="AE53" s="740"/>
    </row>
    <row r="54" spans="1:31">
      <c r="A54" s="6"/>
      <c r="B54" s="58"/>
      <c r="D54" s="58"/>
      <c r="E54" s="567"/>
      <c r="F54" s="58"/>
      <c r="G54" s="568"/>
      <c r="I54" s="534"/>
      <c r="J54" s="538"/>
      <c r="K54" s="538"/>
      <c r="L54" s="538"/>
      <c r="M54" s="538"/>
      <c r="N54" s="538"/>
      <c r="O54" s="538"/>
      <c r="P54" s="64"/>
      <c r="Q54" s="538"/>
      <c r="R54" s="538"/>
      <c r="S54" s="538"/>
      <c r="T54" s="64"/>
      <c r="U54" s="564"/>
      <c r="V54" s="565"/>
      <c r="W54" s="538"/>
      <c r="X54" s="599"/>
      <c r="Y54" s="541"/>
      <c r="Z54" s="501"/>
      <c r="AA54" s="738"/>
      <c r="AC54" s="738"/>
      <c r="AE54" s="740"/>
    </row>
    <row r="55" spans="1:31">
      <c r="A55" s="6">
        <v>27</v>
      </c>
      <c r="B55" s="58"/>
      <c r="C55" s="10" t="s">
        <v>270</v>
      </c>
      <c r="D55" s="58"/>
      <c r="E55" s="535" t="s">
        <v>262</v>
      </c>
      <c r="F55" s="58"/>
      <c r="G55" s="536">
        <v>2974410.3609594423</v>
      </c>
      <c r="H55" s="58"/>
      <c r="I55" s="547">
        <v>18.292533838805749</v>
      </c>
      <c r="J55" s="534">
        <f>G55*I55/100</f>
        <v>544095.02178345027</v>
      </c>
      <c r="K55" s="538"/>
      <c r="L55" s="538">
        <v>0</v>
      </c>
      <c r="M55" s="538">
        <v>0</v>
      </c>
      <c r="N55" s="538">
        <v>0</v>
      </c>
      <c r="O55" s="534">
        <f>J55-L55-M55-N55</f>
        <v>544095.02178345027</v>
      </c>
      <c r="P55" s="564"/>
      <c r="Q55" s="538">
        <v>0</v>
      </c>
      <c r="R55" s="538">
        <v>0</v>
      </c>
      <c r="S55" s="538">
        <v>0</v>
      </c>
      <c r="T55" s="564"/>
      <c r="U55" s="539">
        <f t="shared" ref="U55" si="33">SUM(O55:S55)</f>
        <v>544095.02178345027</v>
      </c>
      <c r="V55" s="548">
        <f t="shared" ref="V55" si="34">U55/G55*100</f>
        <v>18.292533838805749</v>
      </c>
      <c r="W55" s="538">
        <f>U55-J55</f>
        <v>0</v>
      </c>
      <c r="X55" s="599">
        <f>V55/I55-1</f>
        <v>0</v>
      </c>
      <c r="Y55" s="541"/>
      <c r="Z55" s="501"/>
      <c r="AA55" s="738"/>
      <c r="AC55" s="738"/>
      <c r="AE55" s="740"/>
    </row>
    <row r="56" spans="1:31">
      <c r="A56" s="6"/>
      <c r="B56" s="58"/>
      <c r="C56" s="10"/>
      <c r="D56" s="58"/>
      <c r="E56" s="545"/>
      <c r="F56" s="58"/>
      <c r="G56" s="536"/>
      <c r="H56" s="58"/>
      <c r="I56" s="534"/>
      <c r="J56" s="538"/>
      <c r="K56" s="538"/>
      <c r="L56" s="538"/>
      <c r="M56" s="538"/>
      <c r="N56" s="538"/>
      <c r="O56" s="538"/>
      <c r="P56" s="564"/>
      <c r="Q56" s="538"/>
      <c r="R56" s="538"/>
      <c r="S56" s="538"/>
      <c r="T56" s="564"/>
      <c r="U56" s="564"/>
      <c r="V56" s="565"/>
      <c r="W56" s="538"/>
      <c r="X56" s="599"/>
      <c r="Y56" s="541"/>
      <c r="Z56" s="501"/>
      <c r="AE56" s="740"/>
    </row>
    <row r="57" spans="1:31" ht="12.95" thickBot="1">
      <c r="A57" s="6">
        <v>28</v>
      </c>
      <c r="B57" s="58"/>
      <c r="C57" s="10" t="s">
        <v>278</v>
      </c>
      <c r="D57" s="58"/>
      <c r="E57" s="574"/>
      <c r="F57" s="58"/>
      <c r="G57" s="569">
        <f>G44</f>
        <v>4799239.8721003952</v>
      </c>
      <c r="H57" s="58"/>
      <c r="I57" s="570">
        <f>J57/G57*100</f>
        <v>15.480448926684803</v>
      </c>
      <c r="J57" s="571">
        <f>J46+J48+J53+J55</f>
        <v>742943.8772695947</v>
      </c>
      <c r="K57" s="534"/>
      <c r="L57" s="571">
        <f>L46+L48+L53+L55</f>
        <v>507.62961049273036</v>
      </c>
      <c r="M57" s="571">
        <f t="shared" ref="M57:O57" si="35">M46+M48+M53+M55</f>
        <v>12313.689619333923</v>
      </c>
      <c r="N57" s="571">
        <f t="shared" si="35"/>
        <v>4882.6596804294222</v>
      </c>
      <c r="O57" s="571">
        <f t="shared" si="35"/>
        <v>725239.89835933864</v>
      </c>
      <c r="P57" s="534"/>
      <c r="Q57" s="571">
        <f>Q46+Q48+Q53+Q55</f>
        <v>424.51949419726384</v>
      </c>
      <c r="R57" s="571">
        <f t="shared" ref="R57:S57" si="36">R46+R48+R53+R55</f>
        <v>13494.828831344281</v>
      </c>
      <c r="S57" s="571">
        <f t="shared" si="36"/>
        <v>4360.9755781767817</v>
      </c>
      <c r="T57" s="534"/>
      <c r="U57" s="571">
        <f>U46+U48+U53+U55</f>
        <v>743520.22226305702</v>
      </c>
      <c r="V57" s="570">
        <f t="shared" ref="V57" si="37">U57/G57*100</f>
        <v>15.492458015807703</v>
      </c>
      <c r="W57" s="571">
        <f>U57-J57</f>
        <v>576.34499346232042</v>
      </c>
      <c r="X57" s="615">
        <f>V57/I57-1</f>
        <v>7.7575845376154362E-4</v>
      </c>
      <c r="Y57" s="541"/>
      <c r="Z57" s="501"/>
      <c r="AA57" s="738"/>
      <c r="AC57" s="738"/>
      <c r="AE57" s="740"/>
    </row>
    <row r="58" spans="1:31" ht="12.95" thickTop="1">
      <c r="A58" s="6"/>
      <c r="B58" s="58"/>
      <c r="C58" s="58"/>
      <c r="D58" s="58"/>
      <c r="E58" s="591"/>
      <c r="F58" s="58"/>
      <c r="G58" s="591"/>
      <c r="H58" s="58"/>
      <c r="I58" s="501"/>
      <c r="J58" s="501"/>
      <c r="K58" s="501"/>
      <c r="L58" s="501"/>
      <c r="M58" s="501"/>
      <c r="N58" s="501"/>
      <c r="O58" s="501"/>
      <c r="P58" s="58"/>
      <c r="Q58" s="501"/>
      <c r="R58" s="501"/>
      <c r="S58" s="501"/>
      <c r="T58" s="58"/>
      <c r="U58" s="58"/>
      <c r="V58" s="58"/>
      <c r="W58" s="501"/>
      <c r="X58" s="522"/>
      <c r="Y58" s="501"/>
      <c r="Z58" s="501"/>
      <c r="AA58" s="738"/>
      <c r="AC58" s="738"/>
      <c r="AE58" s="740"/>
    </row>
    <row r="59" spans="1:31">
      <c r="J59" s="501"/>
      <c r="K59" s="501"/>
      <c r="L59" s="2"/>
      <c r="M59" s="2"/>
      <c r="N59" s="501"/>
      <c r="O59" s="501"/>
      <c r="Q59" s="501"/>
      <c r="R59" s="501"/>
      <c r="S59" s="501"/>
      <c r="W59" s="534"/>
      <c r="X59" s="522"/>
      <c r="Y59" s="501"/>
      <c r="Z59" s="501"/>
      <c r="AA59" s="738"/>
      <c r="AC59" s="738"/>
      <c r="AE59" s="740"/>
    </row>
    <row r="60" spans="1:31">
      <c r="J60" s="501"/>
      <c r="K60" s="501"/>
      <c r="L60" s="2"/>
      <c r="M60" s="2"/>
      <c r="N60" s="501"/>
      <c r="O60" s="501"/>
      <c r="Q60" s="501"/>
      <c r="R60" s="501"/>
      <c r="S60" s="501"/>
      <c r="V60" s="567"/>
      <c r="W60" s="501"/>
      <c r="X60" s="522"/>
      <c r="Y60" s="501"/>
      <c r="Z60" s="501"/>
      <c r="AA60" s="738"/>
      <c r="AC60" s="738"/>
      <c r="AE60" s="740"/>
    </row>
    <row r="61" spans="1:31">
      <c r="J61" s="501"/>
      <c r="K61" s="501"/>
      <c r="L61" s="2"/>
      <c r="M61" s="2"/>
      <c r="N61" s="501"/>
      <c r="O61" s="501"/>
      <c r="Q61" s="501"/>
      <c r="R61" s="501"/>
      <c r="S61" s="501"/>
      <c r="U61" s="567"/>
      <c r="W61" s="501"/>
      <c r="X61" s="522"/>
      <c r="Y61" s="501"/>
      <c r="Z61" s="501"/>
      <c r="AA61" s="738"/>
      <c r="AC61" s="738"/>
      <c r="AE61" s="740"/>
    </row>
    <row r="62" spans="1:31">
      <c r="A62" s="1156" t="s">
        <v>279</v>
      </c>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713"/>
      <c r="Z62" s="713"/>
      <c r="AA62" s="738"/>
      <c r="AC62" s="738"/>
      <c r="AE62" s="740"/>
    </row>
    <row r="63" spans="1:31">
      <c r="A63" s="1156" t="s">
        <v>499</v>
      </c>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501"/>
      <c r="Z63" s="501"/>
      <c r="AA63" s="738"/>
      <c r="AC63" s="738"/>
      <c r="AE63" s="740"/>
    </row>
    <row r="64" spans="1:31">
      <c r="A64" s="57"/>
      <c r="B64" s="57"/>
      <c r="C64" s="57"/>
      <c r="D64" s="57"/>
      <c r="E64" s="3"/>
      <c r="F64" s="57"/>
      <c r="G64" s="3"/>
      <c r="H64" s="57"/>
      <c r="I64" s="57"/>
      <c r="J64" s="501"/>
      <c r="K64" s="501"/>
      <c r="L64" s="4"/>
      <c r="M64" s="4"/>
      <c r="N64" s="501"/>
      <c r="O64" s="501"/>
      <c r="P64" s="57"/>
      <c r="Q64" s="501"/>
      <c r="R64" s="501"/>
      <c r="S64" s="501"/>
      <c r="T64" s="57"/>
      <c r="U64" s="57"/>
      <c r="V64" s="57"/>
      <c r="W64" s="501"/>
      <c r="X64" s="522"/>
      <c r="Y64" s="6"/>
      <c r="Z64" s="501"/>
      <c r="AA64" s="738"/>
      <c r="AC64" s="738"/>
      <c r="AE64" s="740"/>
    </row>
    <row r="65" spans="1:31">
      <c r="A65" s="3"/>
      <c r="B65" s="3"/>
      <c r="C65" s="3"/>
      <c r="D65" s="3"/>
      <c r="E65" s="58"/>
      <c r="F65" s="58"/>
      <c r="G65" s="1152" t="s">
        <v>231</v>
      </c>
      <c r="H65" s="1152"/>
      <c r="I65" s="1152"/>
      <c r="J65" s="1152"/>
      <c r="K65" s="58"/>
      <c r="L65" s="1152" t="s">
        <v>94</v>
      </c>
      <c r="M65" s="1152"/>
      <c r="N65" s="1152"/>
      <c r="O65" s="58"/>
      <c r="P65" s="3"/>
      <c r="Q65" s="1152" t="s">
        <v>95</v>
      </c>
      <c r="R65" s="1152"/>
      <c r="S65" s="1152"/>
      <c r="T65" s="3"/>
      <c r="U65" s="1152" t="s">
        <v>232</v>
      </c>
      <c r="V65" s="1152"/>
      <c r="W65" s="1152"/>
      <c r="X65" s="1152"/>
      <c r="Y65" s="5"/>
      <c r="Z65" s="501"/>
      <c r="AA65" s="738"/>
      <c r="AC65" s="738"/>
      <c r="AE65" s="740"/>
    </row>
    <row r="66" spans="1:31" ht="37.5">
      <c r="A66" s="5" t="s">
        <v>56</v>
      </c>
      <c r="B66" s="5"/>
      <c r="C66" s="5"/>
      <c r="D66" s="5"/>
      <c r="E66" s="6" t="s">
        <v>233</v>
      </c>
      <c r="F66" s="5"/>
      <c r="G66" s="17" t="s">
        <v>234</v>
      </c>
      <c r="H66" s="5"/>
      <c r="I66" s="17" t="s">
        <v>235</v>
      </c>
      <c r="J66" s="5" t="s">
        <v>101</v>
      </c>
      <c r="K66" s="5"/>
      <c r="L66" s="5" t="s">
        <v>491</v>
      </c>
      <c r="M66" s="5" t="s">
        <v>492</v>
      </c>
      <c r="N66" s="5" t="s">
        <v>493</v>
      </c>
      <c r="O66" s="5" t="s">
        <v>494</v>
      </c>
      <c r="P66" s="5"/>
      <c r="Q66" s="5" t="s">
        <v>491</v>
      </c>
      <c r="R66" s="5" t="s">
        <v>492</v>
      </c>
      <c r="S66" s="5" t="s">
        <v>493</v>
      </c>
      <c r="T66" s="5"/>
      <c r="U66" s="17" t="s">
        <v>113</v>
      </c>
      <c r="V66" s="17" t="s">
        <v>242</v>
      </c>
      <c r="W66" s="17" t="s">
        <v>243</v>
      </c>
      <c r="X66" s="5" t="s">
        <v>244</v>
      </c>
      <c r="Y66" s="6"/>
      <c r="Z66" s="501"/>
      <c r="AA66" s="738"/>
      <c r="AC66" s="738"/>
      <c r="AE66" s="740"/>
    </row>
    <row r="67" spans="1:31" ht="14.45">
      <c r="A67" s="237" t="s">
        <v>57</v>
      </c>
      <c r="B67" s="58"/>
      <c r="C67" s="59" t="s">
        <v>194</v>
      </c>
      <c r="D67" s="58"/>
      <c r="E67" s="237" t="s">
        <v>245</v>
      </c>
      <c r="F67" s="58"/>
      <c r="G67" s="237" t="s">
        <v>246</v>
      </c>
      <c r="H67" s="58"/>
      <c r="I67" s="237" t="s">
        <v>247</v>
      </c>
      <c r="J67" s="237" t="s">
        <v>248</v>
      </c>
      <c r="K67" s="6"/>
      <c r="L67" s="237" t="s">
        <v>248</v>
      </c>
      <c r="M67" s="237" t="s">
        <v>248</v>
      </c>
      <c r="N67" s="237" t="s">
        <v>248</v>
      </c>
      <c r="O67" s="237" t="s">
        <v>248</v>
      </c>
      <c r="P67" s="58"/>
      <c r="Q67" s="237" t="s">
        <v>248</v>
      </c>
      <c r="R67" s="237" t="s">
        <v>248</v>
      </c>
      <c r="S67" s="237" t="s">
        <v>248</v>
      </c>
      <c r="T67" s="58"/>
      <c r="U67" s="237" t="s">
        <v>248</v>
      </c>
      <c r="V67" s="237" t="s">
        <v>247</v>
      </c>
      <c r="W67" s="237" t="s">
        <v>248</v>
      </c>
      <c r="X67" s="237" t="s">
        <v>249</v>
      </c>
      <c r="Y67" s="6"/>
      <c r="Z67" s="501"/>
      <c r="AA67" s="738"/>
      <c r="AC67" s="738"/>
      <c r="AE67" s="740"/>
    </row>
    <row r="68" spans="1:31">
      <c r="A68" s="6"/>
      <c r="B68" s="58"/>
      <c r="C68" s="58"/>
      <c r="D68" s="58"/>
      <c r="E68" s="6"/>
      <c r="F68" s="58"/>
      <c r="G68" s="6" t="s">
        <v>9</v>
      </c>
      <c r="H68" s="6"/>
      <c r="I68" s="6" t="s">
        <v>10</v>
      </c>
      <c r="J68" s="6" t="s">
        <v>58</v>
      </c>
      <c r="K68" s="6"/>
      <c r="L68" s="123" t="s">
        <v>12</v>
      </c>
      <c r="M68" s="123" t="s">
        <v>13</v>
      </c>
      <c r="N68" s="6" t="s">
        <v>115</v>
      </c>
      <c r="O68" s="6" t="s">
        <v>495</v>
      </c>
      <c r="P68" s="6"/>
      <c r="Q68" s="6" t="s">
        <v>210</v>
      </c>
      <c r="R68" s="6" t="s">
        <v>118</v>
      </c>
      <c r="S68" s="6" t="s">
        <v>119</v>
      </c>
      <c r="T68" s="6"/>
      <c r="U68" s="6" t="s">
        <v>496</v>
      </c>
      <c r="V68" s="6" t="s">
        <v>121</v>
      </c>
      <c r="W68" s="6" t="s">
        <v>497</v>
      </c>
      <c r="X68" s="6" t="s">
        <v>498</v>
      </c>
      <c r="Y68" s="501"/>
      <c r="Z68" s="501"/>
    </row>
    <row r="69" spans="1:31">
      <c r="C69" s="9" t="s">
        <v>129</v>
      </c>
      <c r="G69" s="129"/>
      <c r="I69" s="501"/>
      <c r="J69" s="501"/>
      <c r="K69" s="501"/>
      <c r="L69" s="501"/>
      <c r="M69" s="501"/>
      <c r="N69" s="501"/>
      <c r="O69" s="501"/>
      <c r="Q69" s="501"/>
      <c r="R69" s="501"/>
      <c r="S69" s="501"/>
      <c r="W69" s="501"/>
      <c r="X69" s="522"/>
      <c r="Y69" s="501"/>
      <c r="Z69" s="501"/>
    </row>
    <row r="70" spans="1:31">
      <c r="A70" s="6">
        <v>29</v>
      </c>
      <c r="B70" s="58"/>
      <c r="C70" s="10" t="s">
        <v>258</v>
      </c>
      <c r="D70" s="58"/>
      <c r="E70" s="535" t="s">
        <v>259</v>
      </c>
      <c r="F70" s="58"/>
      <c r="G70" s="29">
        <v>168</v>
      </c>
      <c r="H70" s="564"/>
      <c r="I70" s="538">
        <v>0</v>
      </c>
      <c r="J70" s="538">
        <v>0</v>
      </c>
      <c r="K70" s="538"/>
      <c r="L70" s="538">
        <v>0</v>
      </c>
      <c r="M70" s="538">
        <v>0</v>
      </c>
      <c r="N70" s="538">
        <v>0</v>
      </c>
      <c r="O70" s="538">
        <v>0</v>
      </c>
      <c r="P70" s="564"/>
      <c r="Q70" s="538">
        <v>0</v>
      </c>
      <c r="R70" s="538">
        <v>0</v>
      </c>
      <c r="S70" s="538">
        <v>0</v>
      </c>
      <c r="T70" s="564"/>
      <c r="U70" s="564">
        <v>0</v>
      </c>
      <c r="V70" s="564">
        <v>0</v>
      </c>
      <c r="W70" s="538">
        <v>0</v>
      </c>
      <c r="X70" s="782"/>
      <c r="Y70" s="541"/>
      <c r="Z70" s="501"/>
      <c r="AA70" s="738"/>
      <c r="AE70" s="739"/>
    </row>
    <row r="71" spans="1:31">
      <c r="A71" s="6">
        <f>MAX(A$69:A70)+1</f>
        <v>30</v>
      </c>
      <c r="B71" s="58"/>
      <c r="C71" s="521" t="s">
        <v>280</v>
      </c>
      <c r="D71" s="58"/>
      <c r="E71" s="522" t="s">
        <v>281</v>
      </c>
      <c r="F71" s="58"/>
      <c r="G71" s="29">
        <v>4503.3599999999997</v>
      </c>
      <c r="H71" s="564"/>
      <c r="I71" s="538">
        <v>0</v>
      </c>
      <c r="J71" s="538">
        <v>0</v>
      </c>
      <c r="K71" s="538"/>
      <c r="L71" s="538">
        <v>0</v>
      </c>
      <c r="M71" s="538">
        <v>0</v>
      </c>
      <c r="N71" s="538">
        <v>0</v>
      </c>
      <c r="O71" s="538">
        <v>0</v>
      </c>
      <c r="P71" s="564"/>
      <c r="Q71" s="538">
        <v>0</v>
      </c>
      <c r="R71" s="538">
        <v>0</v>
      </c>
      <c r="S71" s="538">
        <v>0</v>
      </c>
      <c r="T71" s="564"/>
      <c r="U71" s="564">
        <v>0</v>
      </c>
      <c r="V71" s="564">
        <v>0</v>
      </c>
      <c r="W71" s="538">
        <v>0</v>
      </c>
      <c r="X71" s="599"/>
      <c r="Y71" s="541"/>
      <c r="Z71" s="501"/>
    </row>
    <row r="72" spans="1:31">
      <c r="A72" s="6">
        <f>MAX(A$69:A71)+1</f>
        <v>31</v>
      </c>
      <c r="B72" s="58"/>
      <c r="C72" s="521" t="s">
        <v>260</v>
      </c>
      <c r="D72" s="58"/>
      <c r="E72" s="522" t="s">
        <v>262</v>
      </c>
      <c r="F72" s="58"/>
      <c r="G72" s="29">
        <v>27429.148000000001</v>
      </c>
      <c r="H72" s="564"/>
      <c r="I72" s="29">
        <v>0.18751269562434469</v>
      </c>
      <c r="J72" s="538">
        <f>G72*I72/100</f>
        <v>51.433134801591031</v>
      </c>
      <c r="K72" s="538"/>
      <c r="L72" s="29">
        <v>2.9012610510117431</v>
      </c>
      <c r="M72" s="29">
        <v>58.27058444301003</v>
      </c>
      <c r="N72" s="538">
        <v>0</v>
      </c>
      <c r="O72" s="538">
        <f>J72-L72-M72-N72</f>
        <v>-9.7387106924307432</v>
      </c>
      <c r="P72" s="564"/>
      <c r="Q72" s="29">
        <v>2.4262608966294046</v>
      </c>
      <c r="R72" s="29">
        <v>63.859946715414175</v>
      </c>
      <c r="S72" s="538">
        <v>0</v>
      </c>
      <c r="T72" s="564"/>
      <c r="U72" s="564">
        <f>SUM(O72:S72)</f>
        <v>56.54749691961284</v>
      </c>
      <c r="V72" s="565">
        <f>U72/G72*100</f>
        <v>0.2061584155643946</v>
      </c>
      <c r="W72" s="538">
        <f>U72-J72</f>
        <v>5.1143621180218091</v>
      </c>
      <c r="X72" s="599">
        <f>IFERROR(V72/I72-1,"-")</f>
        <v>9.9437106794112662E-2</v>
      </c>
      <c r="Y72" s="541"/>
      <c r="Z72" s="501"/>
      <c r="AA72" s="738"/>
      <c r="AC72" s="738"/>
      <c r="AE72" s="740"/>
    </row>
    <row r="73" spans="1:31">
      <c r="A73" s="6"/>
      <c r="B73" s="58"/>
      <c r="C73" s="3"/>
      <c r="D73" s="58"/>
      <c r="E73" s="574"/>
      <c r="F73" s="58"/>
      <c r="G73" s="574"/>
      <c r="H73" s="564"/>
      <c r="I73" s="538"/>
      <c r="J73" s="538"/>
      <c r="K73" s="538"/>
      <c r="L73" s="538"/>
      <c r="M73" s="538"/>
      <c r="N73" s="538"/>
      <c r="O73" s="538"/>
      <c r="P73" s="564"/>
      <c r="Q73" s="538"/>
      <c r="R73" s="538"/>
      <c r="S73" s="538"/>
      <c r="T73" s="564"/>
      <c r="U73" s="564"/>
      <c r="V73" s="564"/>
      <c r="W73" s="538"/>
      <c r="X73" s="576"/>
      <c r="Y73" s="538"/>
      <c r="Z73" s="501"/>
      <c r="AE73" s="530"/>
    </row>
    <row r="74" spans="1:31">
      <c r="A74" s="6">
        <f>MAX(A$69:A73)+1</f>
        <v>32</v>
      </c>
      <c r="C74" s="10" t="s">
        <v>266</v>
      </c>
      <c r="G74" s="407">
        <f>G72</f>
        <v>27429.148000000001</v>
      </c>
      <c r="H74" s="64"/>
      <c r="I74" s="555">
        <f>I72</f>
        <v>0.18751269562434469</v>
      </c>
      <c r="J74" s="555">
        <f>SUM(J72)</f>
        <v>51.433134801591031</v>
      </c>
      <c r="K74" s="538"/>
      <c r="L74" s="555">
        <f>SUM(L72)</f>
        <v>2.9012610510117431</v>
      </c>
      <c r="M74" s="555">
        <f>SUM(M72)</f>
        <v>58.27058444301003</v>
      </c>
      <c r="N74" s="555">
        <f t="shared" ref="N74" si="38">SUM(N72)</f>
        <v>0</v>
      </c>
      <c r="O74" s="555">
        <f>SUM(O72)</f>
        <v>-9.7387106924307432</v>
      </c>
      <c r="P74" s="64"/>
      <c r="Q74" s="407">
        <f>SUM(Q72)</f>
        <v>2.4262608966294046</v>
      </c>
      <c r="R74" s="407">
        <f>SUM(R72)</f>
        <v>63.859946715414175</v>
      </c>
      <c r="S74" s="407">
        <f>SUM(S72)</f>
        <v>0</v>
      </c>
      <c r="T74" s="64"/>
      <c r="U74" s="407">
        <f>SUM(U72)</f>
        <v>56.54749691961284</v>
      </c>
      <c r="V74" s="592">
        <f t="shared" ref="V74:W74" si="39">V72</f>
        <v>0.2061584155643946</v>
      </c>
      <c r="W74" s="407">
        <f t="shared" si="39"/>
        <v>5.1143621180218091</v>
      </c>
      <c r="X74" s="609">
        <f>X72</f>
        <v>9.9437106794112662E-2</v>
      </c>
      <c r="Y74" s="541"/>
      <c r="Z74" s="501"/>
      <c r="AE74" s="530"/>
    </row>
    <row r="75" spans="1:31">
      <c r="A75" s="6"/>
      <c r="G75" s="64"/>
      <c r="H75" s="64"/>
      <c r="I75" s="538"/>
      <c r="J75" s="538"/>
      <c r="K75" s="538"/>
      <c r="L75" s="538"/>
      <c r="M75" s="538"/>
      <c r="N75" s="538"/>
      <c r="O75" s="538"/>
      <c r="P75" s="64"/>
      <c r="Q75" s="538"/>
      <c r="R75" s="538"/>
      <c r="S75" s="538"/>
      <c r="T75" s="64"/>
      <c r="U75" s="64"/>
      <c r="V75" s="64"/>
      <c r="W75" s="538"/>
      <c r="X75" s="576"/>
      <c r="Y75" s="538"/>
      <c r="Z75" s="501"/>
    </row>
    <row r="76" spans="1:31">
      <c r="A76" s="6">
        <f>MAX(A$69:A75)+1</f>
        <v>33</v>
      </c>
      <c r="C76" s="12" t="s">
        <v>267</v>
      </c>
      <c r="E76" s="522" t="s">
        <v>262</v>
      </c>
      <c r="G76" s="29">
        <v>27429.148000000001</v>
      </c>
      <c r="H76" s="64"/>
      <c r="I76" s="29">
        <v>0.61182696025617955</v>
      </c>
      <c r="J76" s="538">
        <f>G76*I76/100</f>
        <v>167.81892243256868</v>
      </c>
      <c r="K76" s="538"/>
      <c r="L76" s="538">
        <v>0</v>
      </c>
      <c r="M76" s="538">
        <v>0</v>
      </c>
      <c r="N76" s="538">
        <v>0</v>
      </c>
      <c r="O76" s="538">
        <f>J76-L76-M76-N76</f>
        <v>167.81892243256868</v>
      </c>
      <c r="P76" s="64"/>
      <c r="Q76" s="538">
        <v>0</v>
      </c>
      <c r="R76" s="538">
        <v>0</v>
      </c>
      <c r="S76" s="538">
        <v>0</v>
      </c>
      <c r="T76" s="64"/>
      <c r="U76" s="64">
        <f>SUM(O76:S76)</f>
        <v>167.81892243256868</v>
      </c>
      <c r="V76" s="580">
        <f>U76/G76*100</f>
        <v>0.61182696025617955</v>
      </c>
      <c r="W76" s="538">
        <f>U76-J76</f>
        <v>0</v>
      </c>
      <c r="X76" s="599">
        <f>V76/I76-1</f>
        <v>0</v>
      </c>
      <c r="Y76" s="541"/>
      <c r="Z76" s="501"/>
      <c r="AA76" s="738"/>
      <c r="AC76" s="738"/>
      <c r="AE76" s="740"/>
    </row>
    <row r="77" spans="1:31">
      <c r="A77" s="6"/>
      <c r="C77" s="12"/>
      <c r="E77" s="522"/>
      <c r="G77" s="29"/>
      <c r="H77" s="64"/>
      <c r="I77" s="29"/>
      <c r="J77" s="538"/>
      <c r="K77" s="538"/>
      <c r="L77" s="538"/>
      <c r="M77" s="538"/>
      <c r="N77" s="538"/>
      <c r="O77" s="538"/>
      <c r="P77" s="64"/>
      <c r="Q77" s="538"/>
      <c r="R77" s="538"/>
      <c r="S77" s="538"/>
      <c r="T77" s="64"/>
      <c r="U77" s="64"/>
      <c r="V77" s="580"/>
      <c r="W77" s="538"/>
      <c r="X77" s="599"/>
      <c r="Y77" s="541"/>
      <c r="Z77" s="501"/>
      <c r="AA77" s="738"/>
      <c r="AC77" s="738"/>
      <c r="AE77" s="740"/>
    </row>
    <row r="78" spans="1:31">
      <c r="A78" s="6"/>
      <c r="C78" s="10" t="s">
        <v>268</v>
      </c>
      <c r="E78" s="522"/>
      <c r="G78" s="29"/>
      <c r="H78" s="64"/>
      <c r="I78" s="29"/>
      <c r="J78" s="538"/>
      <c r="K78" s="538"/>
      <c r="L78" s="538"/>
      <c r="M78" s="538"/>
      <c r="N78" s="538"/>
      <c r="O78" s="538"/>
      <c r="P78" s="64"/>
      <c r="Q78" s="538"/>
      <c r="R78" s="538"/>
      <c r="S78" s="538"/>
      <c r="T78" s="64"/>
      <c r="U78" s="64"/>
      <c r="V78" s="580"/>
      <c r="W78" s="538"/>
      <c r="X78" s="599"/>
      <c r="Y78" s="541"/>
      <c r="Z78" s="501"/>
      <c r="AA78" s="738"/>
      <c r="AC78" s="738"/>
      <c r="AE78" s="740"/>
    </row>
    <row r="79" spans="1:31">
      <c r="A79" s="6">
        <f>MAX(A$69:A78)+1</f>
        <v>34</v>
      </c>
      <c r="B79" s="581"/>
      <c r="C79" s="12" t="s">
        <v>268</v>
      </c>
      <c r="D79" s="581"/>
      <c r="E79" s="522" t="s">
        <v>262</v>
      </c>
      <c r="F79" s="581"/>
      <c r="G79" s="29">
        <v>14756.638999999999</v>
      </c>
      <c r="H79" s="582"/>
      <c r="I79" s="29">
        <v>3.8514524578068499</v>
      </c>
      <c r="J79" s="538">
        <f t="shared" ref="J79:J80" si="40">G79*I79/100</f>
        <v>568.3449354551841</v>
      </c>
      <c r="K79" s="538"/>
      <c r="L79" s="538">
        <v>0</v>
      </c>
      <c r="M79" s="538">
        <v>0</v>
      </c>
      <c r="N79" s="538">
        <v>0</v>
      </c>
      <c r="O79" s="538">
        <f t="shared" ref="O79:O80" si="41">J79-L79-M79-N79</f>
        <v>568.3449354551841</v>
      </c>
      <c r="P79" s="582"/>
      <c r="Q79" s="538">
        <v>0</v>
      </c>
      <c r="R79" s="538">
        <v>0</v>
      </c>
      <c r="S79" s="538">
        <v>0</v>
      </c>
      <c r="T79" s="582"/>
      <c r="U79" s="64">
        <f>SUM(O79:S79)</f>
        <v>568.3449354551841</v>
      </c>
      <c r="V79" s="580">
        <f>U79/G79*100</f>
        <v>3.8514524578068499</v>
      </c>
      <c r="W79" s="538">
        <f>U79-J79</f>
        <v>0</v>
      </c>
      <c r="X79" s="599"/>
      <c r="Y79" s="541"/>
      <c r="Z79" s="501"/>
      <c r="AA79" s="738"/>
      <c r="AC79" s="738"/>
      <c r="AE79" s="740"/>
    </row>
    <row r="80" spans="1:31">
      <c r="A80" s="6">
        <f>MAX(A$69:A79)+1</f>
        <v>35</v>
      </c>
      <c r="B80" s="57"/>
      <c r="C80" s="12" t="s">
        <v>269</v>
      </c>
      <c r="D80" s="57"/>
      <c r="E80" s="522" t="s">
        <v>262</v>
      </c>
      <c r="F80" s="57"/>
      <c r="G80" s="29">
        <v>10804.124</v>
      </c>
      <c r="H80" s="583"/>
      <c r="I80" s="29">
        <v>0.37193566687267077</v>
      </c>
      <c r="J80" s="538">
        <f t="shared" si="40"/>
        <v>40.184390649150274</v>
      </c>
      <c r="K80" s="538"/>
      <c r="L80" s="538">
        <v>0</v>
      </c>
      <c r="M80" s="538">
        <v>0</v>
      </c>
      <c r="N80" s="538">
        <v>0</v>
      </c>
      <c r="O80" s="538">
        <f t="shared" si="41"/>
        <v>40.184390649150274</v>
      </c>
      <c r="P80" s="583"/>
      <c r="Q80" s="538">
        <v>0</v>
      </c>
      <c r="R80" s="538">
        <v>0</v>
      </c>
      <c r="S80" s="538">
        <v>0</v>
      </c>
      <c r="T80" s="583"/>
      <c r="U80" s="64">
        <f>SUM(O80:S80)</f>
        <v>40.184390649150274</v>
      </c>
      <c r="V80" s="580">
        <f>U80/G80*100</f>
        <v>0.37193566687267077</v>
      </c>
      <c r="W80" s="538">
        <f>U80-J80</f>
        <v>0</v>
      </c>
      <c r="X80" s="599"/>
      <c r="Y80" s="541"/>
      <c r="Z80" s="501"/>
      <c r="AA80" s="738"/>
      <c r="AC80" s="738"/>
      <c r="AE80" s="740"/>
    </row>
    <row r="81" spans="1:31">
      <c r="A81" s="6">
        <f>MAX(A$69:A80)+1</f>
        <v>36</v>
      </c>
      <c r="B81" s="57"/>
      <c r="C81" s="10" t="s">
        <v>268</v>
      </c>
      <c r="D81" s="57"/>
      <c r="E81" s="522"/>
      <c r="F81" s="57"/>
      <c r="G81" s="411">
        <f>SUM(G79:G80)</f>
        <v>25560.762999999999</v>
      </c>
      <c r="H81" s="583"/>
      <c r="I81" s="411">
        <f>J81/G81*100</f>
        <v>2.3807165932579335</v>
      </c>
      <c r="J81" s="555">
        <f t="shared" ref="J81" si="42">SUM(J79:J80)</f>
        <v>608.52932610433436</v>
      </c>
      <c r="K81" s="538"/>
      <c r="L81" s="555">
        <f>SUM(L79:L80)</f>
        <v>0</v>
      </c>
      <c r="M81" s="555">
        <f t="shared" ref="M81:U81" si="43">SUM(M79:M80)</f>
        <v>0</v>
      </c>
      <c r="N81" s="555">
        <f t="shared" si="43"/>
        <v>0</v>
      </c>
      <c r="O81" s="555">
        <f t="shared" si="43"/>
        <v>608.52932610433436</v>
      </c>
      <c r="P81" s="538"/>
      <c r="Q81" s="555">
        <f t="shared" si="43"/>
        <v>0</v>
      </c>
      <c r="R81" s="555">
        <f t="shared" si="43"/>
        <v>0</v>
      </c>
      <c r="S81" s="555">
        <f t="shared" si="43"/>
        <v>0</v>
      </c>
      <c r="T81" s="538"/>
      <c r="U81" s="555">
        <f t="shared" si="43"/>
        <v>608.52932610433436</v>
      </c>
      <c r="V81" s="579">
        <f>U81/G81*100</f>
        <v>2.3807165932579335</v>
      </c>
      <c r="W81" s="555">
        <f>SUM(W79:W80)</f>
        <v>0</v>
      </c>
      <c r="X81" s="609">
        <f>V81/I81-1</f>
        <v>0</v>
      </c>
      <c r="Y81" s="541"/>
      <c r="Z81" s="501"/>
      <c r="AA81" s="738"/>
      <c r="AC81" s="738"/>
      <c r="AE81" s="740"/>
    </row>
    <row r="82" spans="1:31">
      <c r="A82" s="6"/>
      <c r="B82" s="3"/>
      <c r="D82" s="3"/>
      <c r="E82" s="57"/>
      <c r="F82" s="3"/>
      <c r="G82" s="29"/>
      <c r="H82" s="584"/>
      <c r="I82" s="29"/>
      <c r="J82" s="538"/>
      <c r="K82" s="538"/>
      <c r="L82" s="538"/>
      <c r="M82" s="538"/>
      <c r="N82" s="538"/>
      <c r="O82" s="538"/>
      <c r="P82" s="584"/>
      <c r="Q82" s="538"/>
      <c r="R82" s="538"/>
      <c r="S82" s="538"/>
      <c r="T82" s="584"/>
      <c r="U82" s="64"/>
      <c r="V82" s="580"/>
      <c r="W82" s="538"/>
      <c r="X82" s="599"/>
      <c r="Y82" s="541"/>
      <c r="Z82" s="501"/>
      <c r="AA82" s="738"/>
      <c r="AC82" s="738"/>
      <c r="AE82" s="740"/>
    </row>
    <row r="83" spans="1:31">
      <c r="A83" s="6">
        <f>MAX(A$69:A82)+1</f>
        <v>37</v>
      </c>
      <c r="B83" s="5"/>
      <c r="C83" s="10" t="s">
        <v>270</v>
      </c>
      <c r="D83" s="5"/>
      <c r="E83" s="522" t="s">
        <v>262</v>
      </c>
      <c r="F83" s="5"/>
      <c r="G83" s="29">
        <v>14756.638999999999</v>
      </c>
      <c r="H83" s="585"/>
      <c r="I83" s="29">
        <v>18.292192317594232</v>
      </c>
      <c r="J83" s="538">
        <f>G83*I83/100</f>
        <v>2699.312785493114</v>
      </c>
      <c r="K83" s="538"/>
      <c r="L83" s="538">
        <v>0</v>
      </c>
      <c r="M83" s="538">
        <v>0</v>
      </c>
      <c r="N83" s="538">
        <v>0</v>
      </c>
      <c r="O83" s="538">
        <f>J83-L83-M83-N83</f>
        <v>2699.312785493114</v>
      </c>
      <c r="P83" s="585"/>
      <c r="Q83" s="538">
        <v>0</v>
      </c>
      <c r="R83" s="538">
        <v>0</v>
      </c>
      <c r="S83" s="538">
        <v>0</v>
      </c>
      <c r="T83" s="585"/>
      <c r="U83" s="64">
        <f>SUM(O83:S83)</f>
        <v>2699.312785493114</v>
      </c>
      <c r="V83" s="580">
        <f>U83/G83*100</f>
        <v>18.292192317594232</v>
      </c>
      <c r="W83" s="538">
        <f>U83-J83</f>
        <v>0</v>
      </c>
      <c r="X83" s="599">
        <f>V83/I83-1</f>
        <v>0</v>
      </c>
      <c r="Y83" s="541"/>
      <c r="Z83" s="501"/>
      <c r="AA83" s="738"/>
      <c r="AC83" s="738"/>
      <c r="AE83" s="740"/>
    </row>
    <row r="84" spans="1:31">
      <c r="A84" s="6"/>
      <c r="B84" s="58"/>
      <c r="C84" s="10"/>
      <c r="D84" s="58"/>
      <c r="E84" s="6"/>
      <c r="F84" s="58"/>
      <c r="G84" s="574"/>
      <c r="H84" s="564"/>
      <c r="I84" s="538"/>
      <c r="J84" s="538"/>
      <c r="K84" s="538"/>
      <c r="L84" s="538"/>
      <c r="M84" s="538"/>
      <c r="N84" s="538"/>
      <c r="O84" s="538"/>
      <c r="P84" s="564"/>
      <c r="Q84" s="538"/>
      <c r="R84" s="538"/>
      <c r="S84" s="538"/>
      <c r="T84" s="564"/>
      <c r="U84" s="564"/>
      <c r="V84" s="564"/>
      <c r="W84" s="538"/>
      <c r="X84" s="576"/>
      <c r="Y84" s="538"/>
      <c r="Z84" s="501"/>
      <c r="AC84" s="738"/>
    </row>
    <row r="85" spans="1:31" ht="12.95" thickBot="1">
      <c r="A85" s="6">
        <f>MAX(A$69:A84)+1</f>
        <v>38</v>
      </c>
      <c r="B85" s="58"/>
      <c r="C85" s="10" t="s">
        <v>282</v>
      </c>
      <c r="D85" s="58"/>
      <c r="E85" s="6"/>
      <c r="F85" s="58"/>
      <c r="G85" s="439">
        <f>G72</f>
        <v>27429.148000000001</v>
      </c>
      <c r="H85" s="564"/>
      <c r="I85" s="587">
        <f>J85/G85*100</f>
        <v>12.858927185166699</v>
      </c>
      <c r="J85" s="587">
        <f t="shared" ref="J85" si="44">J74+J76+J81+J83</f>
        <v>3527.0941688316079</v>
      </c>
      <c r="K85" s="538"/>
      <c r="L85" s="587">
        <f>L74+L76+L81+L83</f>
        <v>2.9012610510117431</v>
      </c>
      <c r="M85" s="587">
        <f t="shared" ref="M85:N85" si="45">M74+M76+M81+M83</f>
        <v>58.27058444301003</v>
      </c>
      <c r="N85" s="587">
        <f t="shared" si="45"/>
        <v>0</v>
      </c>
      <c r="O85" s="587">
        <f>O74+O76+O81+O83</f>
        <v>3465.922323337586</v>
      </c>
      <c r="P85" s="564"/>
      <c r="Q85" s="628">
        <f>Q74+Q76+Q81+Q83</f>
        <v>2.4262608966294046</v>
      </c>
      <c r="R85" s="628">
        <f t="shared" ref="R85:S85" si="46">R74+R76+R81+R83</f>
        <v>63.859946715414175</v>
      </c>
      <c r="S85" s="628">
        <f t="shared" si="46"/>
        <v>0</v>
      </c>
      <c r="T85" s="564"/>
      <c r="U85" s="628">
        <f>U74+U76+U81+U83</f>
        <v>3532.2085309496297</v>
      </c>
      <c r="V85" s="590">
        <f>U85/G85*100</f>
        <v>12.877572905106749</v>
      </c>
      <c r="W85" s="587">
        <f>W74+W76+W81+W83</f>
        <v>5.1143621180218091</v>
      </c>
      <c r="X85" s="615">
        <f>V85/I85-1</f>
        <v>1.4500214264809852E-3</v>
      </c>
      <c r="Y85" s="541"/>
      <c r="Z85" s="501"/>
      <c r="AA85" s="738"/>
      <c r="AC85" s="738"/>
      <c r="AE85" s="740"/>
    </row>
    <row r="86" spans="1:31" ht="12.95" thickTop="1">
      <c r="A86" s="6"/>
      <c r="B86" s="501"/>
      <c r="C86" s="501"/>
      <c r="D86" s="501"/>
      <c r="E86" s="501"/>
      <c r="F86" s="501"/>
      <c r="G86" s="501"/>
      <c r="H86" s="501"/>
      <c r="I86" s="501"/>
      <c r="J86" s="501"/>
      <c r="K86" s="501"/>
      <c r="L86" s="501"/>
      <c r="M86" s="501"/>
      <c r="N86" s="501"/>
      <c r="O86" s="501"/>
      <c r="P86" s="501"/>
      <c r="Q86" s="501"/>
      <c r="R86" s="501"/>
      <c r="S86" s="501"/>
      <c r="T86" s="501"/>
      <c r="U86" s="501"/>
      <c r="V86" s="501"/>
      <c r="W86" s="538"/>
      <c r="X86" s="605"/>
      <c r="Y86" s="501"/>
      <c r="Z86" s="501"/>
    </row>
    <row r="87" spans="1:31" ht="12.95">
      <c r="A87" s="6"/>
      <c r="B87" s="58"/>
      <c r="C87" s="9" t="s">
        <v>130</v>
      </c>
      <c r="D87" s="58"/>
      <c r="E87" s="128"/>
      <c r="F87" s="58"/>
      <c r="G87" s="128"/>
      <c r="H87" s="58"/>
      <c r="I87" s="547"/>
      <c r="J87" s="501"/>
      <c r="K87" s="501"/>
      <c r="L87" s="501"/>
      <c r="M87" s="501"/>
      <c r="N87" s="501"/>
      <c r="O87" s="501"/>
      <c r="P87" s="58"/>
      <c r="Q87" s="501"/>
      <c r="R87" s="501"/>
      <c r="S87" s="501"/>
      <c r="T87" s="58"/>
      <c r="U87" s="58"/>
      <c r="V87" s="58"/>
      <c r="W87" s="538"/>
      <c r="X87" s="605"/>
      <c r="Y87" s="501"/>
      <c r="Z87" s="501"/>
    </row>
    <row r="88" spans="1:31">
      <c r="A88" s="6">
        <f>MAX(A$69:A87)+1</f>
        <v>39</v>
      </c>
      <c r="B88" s="58"/>
      <c r="C88" s="10" t="s">
        <v>258</v>
      </c>
      <c r="D88" s="58"/>
      <c r="E88" s="30" t="s">
        <v>259</v>
      </c>
      <c r="F88" s="58"/>
      <c r="G88" s="536">
        <v>4992</v>
      </c>
      <c r="H88" s="58"/>
      <c r="I88" s="29">
        <v>0</v>
      </c>
      <c r="J88" s="538">
        <v>0</v>
      </c>
      <c r="K88" s="538"/>
      <c r="L88" s="538">
        <v>0</v>
      </c>
      <c r="M88" s="538">
        <v>0</v>
      </c>
      <c r="N88" s="538">
        <v>0</v>
      </c>
      <c r="O88" s="538">
        <v>0</v>
      </c>
      <c r="P88" s="564"/>
      <c r="Q88" s="538">
        <v>0</v>
      </c>
      <c r="R88" s="538">
        <v>0</v>
      </c>
      <c r="S88" s="538">
        <v>0</v>
      </c>
      <c r="T88" s="564"/>
      <c r="U88" s="564">
        <v>0</v>
      </c>
      <c r="V88" s="564">
        <v>0</v>
      </c>
      <c r="W88" s="538">
        <v>0</v>
      </c>
      <c r="X88" s="599"/>
      <c r="Y88" s="541"/>
      <c r="Z88" s="538"/>
      <c r="AA88" s="738"/>
      <c r="AE88" s="739"/>
    </row>
    <row r="89" spans="1:31">
      <c r="A89" s="6">
        <f>MAX(A$69:A88)+1</f>
        <v>40</v>
      </c>
      <c r="B89" s="58"/>
      <c r="C89" s="521" t="s">
        <v>280</v>
      </c>
      <c r="D89" s="58"/>
      <c r="E89" s="30" t="s">
        <v>281</v>
      </c>
      <c r="F89" s="58"/>
      <c r="G89" s="536">
        <v>75653.868000000002</v>
      </c>
      <c r="H89" s="58"/>
      <c r="I89" s="29">
        <v>0</v>
      </c>
      <c r="J89" s="538">
        <v>0</v>
      </c>
      <c r="K89" s="538"/>
      <c r="L89" s="538">
        <v>0</v>
      </c>
      <c r="M89" s="538">
        <v>0</v>
      </c>
      <c r="N89" s="538">
        <v>0</v>
      </c>
      <c r="O89" s="538">
        <v>0</v>
      </c>
      <c r="P89" s="564"/>
      <c r="Q89" s="538">
        <v>0</v>
      </c>
      <c r="R89" s="538">
        <v>0</v>
      </c>
      <c r="S89" s="538">
        <v>0</v>
      </c>
      <c r="T89" s="564"/>
      <c r="U89" s="564">
        <v>0</v>
      </c>
      <c r="V89" s="564">
        <v>0</v>
      </c>
      <c r="W89" s="538">
        <v>0</v>
      </c>
      <c r="X89" s="599"/>
      <c r="Y89" s="541"/>
      <c r="Z89" s="538"/>
    </row>
    <row r="90" spans="1:31">
      <c r="A90" s="6"/>
      <c r="B90" s="58"/>
      <c r="C90" s="521" t="s">
        <v>260</v>
      </c>
      <c r="D90" s="58"/>
      <c r="E90" s="30"/>
      <c r="F90" s="58"/>
      <c r="G90" s="536"/>
      <c r="H90" s="58"/>
      <c r="I90" s="547"/>
      <c r="J90" s="538"/>
      <c r="K90" s="538"/>
      <c r="L90" s="538"/>
      <c r="M90" s="538"/>
      <c r="N90" s="538"/>
      <c r="O90" s="538"/>
      <c r="P90" s="564"/>
      <c r="Q90" s="538"/>
      <c r="R90" s="538"/>
      <c r="S90" s="538"/>
      <c r="T90" s="564"/>
      <c r="U90" s="564"/>
      <c r="V90" s="565"/>
      <c r="W90" s="538"/>
      <c r="X90" s="599"/>
      <c r="Y90" s="541"/>
      <c r="Z90" s="538"/>
    </row>
    <row r="91" spans="1:31">
      <c r="A91" s="6">
        <f>MAX(A$69:A90)+1</f>
        <v>41</v>
      </c>
      <c r="B91" s="58"/>
      <c r="C91" s="12" t="s">
        <v>283</v>
      </c>
      <c r="D91" s="58"/>
      <c r="E91" s="30" t="s">
        <v>262</v>
      </c>
      <c r="F91" s="58"/>
      <c r="G91" s="536">
        <v>897522.08799999999</v>
      </c>
      <c r="H91" s="58"/>
      <c r="I91" s="547">
        <v>0.3395244769217225</v>
      </c>
      <c r="J91" s="538">
        <f>G91*I91/100</f>
        <v>3047.3071745389216</v>
      </c>
      <c r="K91" s="538"/>
      <c r="L91" s="536">
        <v>94.933531159521763</v>
      </c>
      <c r="M91" s="536">
        <v>2001.8173368158507</v>
      </c>
      <c r="N91" s="536">
        <v>120.32789710906034</v>
      </c>
      <c r="O91" s="538">
        <f>J91-L91-M91-N91</f>
        <v>830.22840945448866</v>
      </c>
      <c r="P91" s="564"/>
      <c r="Q91" s="536">
        <v>79.390827085681821</v>
      </c>
      <c r="R91" s="536">
        <v>2193.8332983098717</v>
      </c>
      <c r="S91" s="536">
        <v>107.47155341775326</v>
      </c>
      <c r="T91" s="564"/>
      <c r="U91" s="564">
        <f>SUM(O91:S91)</f>
        <v>3210.924088267795</v>
      </c>
      <c r="V91" s="565">
        <f>U91/G91*100</f>
        <v>0.35775432506879934</v>
      </c>
      <c r="W91" s="538">
        <f>U91-J91</f>
        <v>163.61691372887344</v>
      </c>
      <c r="X91" s="599"/>
      <c r="Y91" s="541"/>
      <c r="Z91" s="538"/>
      <c r="AA91" s="738"/>
      <c r="AC91" s="738"/>
      <c r="AE91" s="740"/>
    </row>
    <row r="92" spans="1:31">
      <c r="A92" s="6">
        <f>MAX(A$69:A91)+1</f>
        <v>42</v>
      </c>
      <c r="B92" s="58"/>
      <c r="C92" s="12" t="s">
        <v>284</v>
      </c>
      <c r="D92" s="58"/>
      <c r="E92" s="30" t="s">
        <v>262</v>
      </c>
      <c r="F92" s="58"/>
      <c r="G92" s="536">
        <v>170759.079</v>
      </c>
      <c r="H92" s="58"/>
      <c r="I92" s="547">
        <v>0.33952575437933941</v>
      </c>
      <c r="J92" s="538">
        <f>G92*I92/100</f>
        <v>579.77105114596213</v>
      </c>
      <c r="K92" s="538"/>
      <c r="L92" s="536">
        <v>18.061686240102581</v>
      </c>
      <c r="M92" s="536">
        <v>380.85801935261952</v>
      </c>
      <c r="N92" s="536">
        <v>22.893120027982988</v>
      </c>
      <c r="O92" s="538">
        <f>J92-L92-M92-N92</f>
        <v>157.95822552525698</v>
      </c>
      <c r="P92" s="564"/>
      <c r="Q92" s="536">
        <v>15.10459151418598</v>
      </c>
      <c r="R92" s="536">
        <v>417.39023307349055</v>
      </c>
      <c r="S92" s="536">
        <v>20.44712183207557</v>
      </c>
      <c r="T92" s="564"/>
      <c r="U92" s="564">
        <f>SUM(O92:S92)</f>
        <v>610.90017194500911</v>
      </c>
      <c r="V92" s="565">
        <f>U92/G92*100</f>
        <v>0.35775560252641625</v>
      </c>
      <c r="W92" s="538">
        <f>U92-J92</f>
        <v>31.129120799046973</v>
      </c>
      <c r="X92" s="599"/>
      <c r="Y92" s="541"/>
      <c r="Z92" s="538"/>
      <c r="AA92" s="738"/>
      <c r="AC92" s="738"/>
      <c r="AE92" s="740"/>
    </row>
    <row r="93" spans="1:31">
      <c r="A93" s="6">
        <f>MAX(A$69:A92)+1</f>
        <v>43</v>
      </c>
      <c r="C93" s="521" t="s">
        <v>260</v>
      </c>
      <c r="E93" s="30"/>
      <c r="G93" s="553">
        <f>SUM(G91:G92)</f>
        <v>1068281.1669999999</v>
      </c>
      <c r="I93" s="578">
        <f>J93/G93*100</f>
        <v>0.33952468111654766</v>
      </c>
      <c r="J93" s="555">
        <f t="shared" ref="J93" si="47">SUM(J91:J92)</f>
        <v>3627.0782256848838</v>
      </c>
      <c r="K93" s="538"/>
      <c r="L93" s="553">
        <f>SUM(L91:L92)</f>
        <v>112.99521739962435</v>
      </c>
      <c r="M93" s="553">
        <f t="shared" ref="M93:N93" si="48">SUM(M91:M92)</f>
        <v>2382.67535616847</v>
      </c>
      <c r="N93" s="553">
        <f t="shared" si="48"/>
        <v>143.22101713704333</v>
      </c>
      <c r="O93" s="555">
        <f>SUM(O91:O92)</f>
        <v>988.18663497974558</v>
      </c>
      <c r="P93" s="64"/>
      <c r="Q93" s="553">
        <f>SUM(Q91:Q92)</f>
        <v>94.495418599867804</v>
      </c>
      <c r="R93" s="553">
        <f t="shared" ref="R93:S93" si="49">SUM(R91:R92)</f>
        <v>2611.2235313833621</v>
      </c>
      <c r="S93" s="553">
        <f t="shared" si="49"/>
        <v>127.91867524982882</v>
      </c>
      <c r="T93" s="64"/>
      <c r="U93" s="407">
        <f>SUM(U91:U92)</f>
        <v>3821.8242602128039</v>
      </c>
      <c r="V93" s="579">
        <f>U93/G93*100</f>
        <v>0.3577545292636245</v>
      </c>
      <c r="W93" s="555">
        <f>SUM(W88:W92)</f>
        <v>194.74603452792041</v>
      </c>
      <c r="X93" s="609">
        <f>V93/I93-1</f>
        <v>5.3692262038585348E-2</v>
      </c>
      <c r="Y93" s="541"/>
      <c r="Z93" s="538"/>
      <c r="AA93" s="738"/>
      <c r="AC93" s="738"/>
      <c r="AE93" s="740"/>
    </row>
    <row r="94" spans="1:31">
      <c r="A94" s="6"/>
      <c r="B94" s="58"/>
      <c r="C94" s="10"/>
      <c r="D94" s="58"/>
      <c r="E94" s="574"/>
      <c r="F94" s="58"/>
      <c r="G94" s="29"/>
      <c r="H94" s="58"/>
      <c r="I94" s="501"/>
      <c r="J94" s="538"/>
      <c r="K94" s="538"/>
      <c r="L94" s="536"/>
      <c r="M94" s="536"/>
      <c r="N94" s="536"/>
      <c r="O94" s="555"/>
      <c r="P94" s="564"/>
      <c r="Q94" s="536"/>
      <c r="R94" s="536"/>
      <c r="S94" s="536"/>
      <c r="T94" s="564"/>
      <c r="U94" s="564"/>
      <c r="V94" s="565"/>
      <c r="W94" s="538"/>
      <c r="X94" s="599"/>
      <c r="Y94" s="541"/>
      <c r="Z94" s="538"/>
      <c r="AA94" s="738"/>
      <c r="AC94" s="738"/>
    </row>
    <row r="95" spans="1:31">
      <c r="A95" s="6">
        <f>MAX(A$69:A94)+1</f>
        <v>44</v>
      </c>
      <c r="B95" s="58"/>
      <c r="C95" s="10" t="s">
        <v>266</v>
      </c>
      <c r="D95" s="58"/>
      <c r="E95" s="574"/>
      <c r="F95" s="58"/>
      <c r="G95" s="411">
        <f>G93</f>
        <v>1068281.1669999999</v>
      </c>
      <c r="H95" s="29"/>
      <c r="I95" s="578">
        <f t="shared" ref="I95:X95" si="50">I93</f>
        <v>0.33952468111654766</v>
      </c>
      <c r="J95" s="411">
        <f t="shared" si="50"/>
        <v>3627.0782256848838</v>
      </c>
      <c r="K95" s="29"/>
      <c r="L95" s="553">
        <f>L93</f>
        <v>112.99521739962435</v>
      </c>
      <c r="M95" s="553">
        <f t="shared" ref="M95:N95" si="51">M93</f>
        <v>2382.67535616847</v>
      </c>
      <c r="N95" s="553">
        <f t="shared" si="51"/>
        <v>143.22101713704333</v>
      </c>
      <c r="O95" s="555">
        <f>O93</f>
        <v>988.18663497974558</v>
      </c>
      <c r="P95" s="29"/>
      <c r="Q95" s="553">
        <f>Q93</f>
        <v>94.495418599867804</v>
      </c>
      <c r="R95" s="553">
        <f t="shared" ref="R95:S95" si="52">R93</f>
        <v>2611.2235313833621</v>
      </c>
      <c r="S95" s="553">
        <f t="shared" si="52"/>
        <v>127.91867524982882</v>
      </c>
      <c r="T95" s="29"/>
      <c r="U95" s="411">
        <f t="shared" si="50"/>
        <v>3821.8242602128039</v>
      </c>
      <c r="V95" s="579">
        <f t="shared" si="50"/>
        <v>0.3577545292636245</v>
      </c>
      <c r="W95" s="411">
        <f t="shared" si="50"/>
        <v>194.74603452792041</v>
      </c>
      <c r="X95" s="609">
        <f t="shared" si="50"/>
        <v>5.3692262038585348E-2</v>
      </c>
      <c r="Y95" s="541"/>
      <c r="Z95" s="538"/>
      <c r="AA95" s="738"/>
      <c r="AC95" s="738"/>
    </row>
    <row r="96" spans="1:31">
      <c r="A96" s="6"/>
      <c r="B96" s="58"/>
      <c r="C96" s="12"/>
      <c r="D96" s="58"/>
      <c r="E96" s="574"/>
      <c r="F96" s="58"/>
      <c r="G96" s="29"/>
      <c r="H96" s="58"/>
      <c r="I96" s="501"/>
      <c r="J96" s="538"/>
      <c r="K96" s="538"/>
      <c r="L96" s="538"/>
      <c r="M96" s="538"/>
      <c r="N96" s="538"/>
      <c r="O96" s="538"/>
      <c r="P96" s="564"/>
      <c r="Q96" s="538"/>
      <c r="R96" s="538"/>
      <c r="S96" s="538"/>
      <c r="T96" s="564"/>
      <c r="U96" s="564"/>
      <c r="V96" s="564"/>
      <c r="W96" s="538"/>
      <c r="X96" s="576"/>
      <c r="Y96" s="538"/>
      <c r="Z96" s="538"/>
      <c r="AA96" s="738"/>
      <c r="AC96" s="738"/>
    </row>
    <row r="97" spans="1:31">
      <c r="A97" s="6">
        <f>MAX(A$69:A96)+1</f>
        <v>45</v>
      </c>
      <c r="B97" s="58"/>
      <c r="C97" s="12" t="s">
        <v>267</v>
      </c>
      <c r="D97" s="58"/>
      <c r="E97" s="522" t="s">
        <v>262</v>
      </c>
      <c r="F97" s="58"/>
      <c r="G97" s="536">
        <v>1068281.1669999999</v>
      </c>
      <c r="H97" s="58"/>
      <c r="I97" s="547">
        <v>0.10947276673447881</v>
      </c>
      <c r="J97" s="538">
        <f>G97*I97/100</f>
        <v>1169.4769500182779</v>
      </c>
      <c r="K97" s="538"/>
      <c r="L97" s="538">
        <v>0</v>
      </c>
      <c r="M97" s="538">
        <v>0</v>
      </c>
      <c r="N97" s="538">
        <v>0</v>
      </c>
      <c r="O97" s="538">
        <f>J97-L97-M97-N97</f>
        <v>1169.4769500182779</v>
      </c>
      <c r="P97" s="564"/>
      <c r="Q97" s="538">
        <v>0</v>
      </c>
      <c r="R97" s="538">
        <v>0</v>
      </c>
      <c r="S97" s="538">
        <v>0</v>
      </c>
      <c r="T97" s="564"/>
      <c r="U97" s="564">
        <f>SUM(O97:S97)</f>
        <v>1169.4769500182779</v>
      </c>
      <c r="V97" s="565">
        <f>U97/G97*100</f>
        <v>0.10947276673447881</v>
      </c>
      <c r="W97" s="538">
        <f>U97-J97</f>
        <v>0</v>
      </c>
      <c r="X97" s="559">
        <f>V97/I97-1</f>
        <v>0</v>
      </c>
      <c r="Y97" s="559"/>
      <c r="Z97" s="538"/>
      <c r="AA97" s="738"/>
      <c r="AC97" s="738"/>
      <c r="AE97" s="740"/>
    </row>
    <row r="98" spans="1:31">
      <c r="A98" s="6"/>
      <c r="B98" s="58"/>
      <c r="C98" s="12"/>
      <c r="D98" s="58"/>
      <c r="E98" s="522"/>
      <c r="F98" s="58"/>
      <c r="G98" s="536"/>
      <c r="H98" s="58"/>
      <c r="I98" s="547"/>
      <c r="J98" s="538"/>
      <c r="K98" s="538"/>
      <c r="L98" s="538"/>
      <c r="M98" s="538"/>
      <c r="N98" s="538"/>
      <c r="O98" s="538"/>
      <c r="P98" s="564"/>
      <c r="Q98" s="538"/>
      <c r="R98" s="538"/>
      <c r="S98" s="538"/>
      <c r="T98" s="564"/>
      <c r="U98" s="564"/>
      <c r="V98" s="565"/>
      <c r="W98" s="538"/>
      <c r="X98" s="559"/>
      <c r="Y98" s="559"/>
      <c r="Z98" s="538"/>
      <c r="AA98" s="738"/>
      <c r="AC98" s="738"/>
      <c r="AE98" s="740"/>
    </row>
    <row r="99" spans="1:31">
      <c r="A99" s="6"/>
      <c r="B99" s="58"/>
      <c r="C99" s="10" t="s">
        <v>268</v>
      </c>
      <c r="D99" s="58"/>
      <c r="E99" s="522"/>
      <c r="F99" s="58"/>
      <c r="G99" s="536"/>
      <c r="H99" s="58"/>
      <c r="I99" s="547"/>
      <c r="J99" s="538"/>
      <c r="K99" s="538"/>
      <c r="L99" s="538"/>
      <c r="M99" s="538"/>
      <c r="N99" s="538"/>
      <c r="O99" s="538"/>
      <c r="P99" s="564"/>
      <c r="Q99" s="538"/>
      <c r="R99" s="538"/>
      <c r="S99" s="538"/>
      <c r="T99" s="564"/>
      <c r="U99" s="564"/>
      <c r="V99" s="565"/>
      <c r="W99" s="538"/>
      <c r="X99" s="559"/>
      <c r="Y99" s="559"/>
      <c r="Z99" s="538"/>
      <c r="AA99" s="738"/>
      <c r="AC99" s="738"/>
      <c r="AE99" s="740"/>
    </row>
    <row r="100" spans="1:31">
      <c r="A100" s="6">
        <f>MAX(A$69:A99)+1</f>
        <v>46</v>
      </c>
      <c r="B100" s="58"/>
      <c r="C100" s="12" t="s">
        <v>268</v>
      </c>
      <c r="D100" s="58"/>
      <c r="E100" s="522" t="s">
        <v>262</v>
      </c>
      <c r="F100" s="58"/>
      <c r="G100" s="536">
        <v>113376.269</v>
      </c>
      <c r="H100" s="58"/>
      <c r="I100" s="547">
        <v>3.8514964873726862</v>
      </c>
      <c r="J100" s="538">
        <f>G100*I100/100</f>
        <v>4366.6830180492079</v>
      </c>
      <c r="K100" s="538"/>
      <c r="L100" s="538">
        <v>0</v>
      </c>
      <c r="M100" s="538">
        <v>0</v>
      </c>
      <c r="N100" s="538">
        <v>0</v>
      </c>
      <c r="O100" s="538">
        <f>J100-L100-M100-N100</f>
        <v>4366.6830180492079</v>
      </c>
      <c r="P100" s="564"/>
      <c r="Q100" s="538">
        <v>0</v>
      </c>
      <c r="R100" s="538">
        <v>0</v>
      </c>
      <c r="S100" s="538">
        <v>0</v>
      </c>
      <c r="T100" s="564"/>
      <c r="U100" s="564">
        <f>SUM(O100:S100)</f>
        <v>4366.6830180492079</v>
      </c>
      <c r="V100" s="565">
        <f>U100/G100*100</f>
        <v>3.8514964873726862</v>
      </c>
      <c r="W100" s="538">
        <f>U100-J100</f>
        <v>0</v>
      </c>
      <c r="X100" s="599"/>
      <c r="Y100" s="541"/>
      <c r="Z100" s="538"/>
      <c r="AA100" s="738"/>
      <c r="AC100" s="738"/>
      <c r="AE100" s="740"/>
    </row>
    <row r="101" spans="1:31">
      <c r="A101" s="6">
        <f>MAX(A$69:A100)+1</f>
        <v>47</v>
      </c>
      <c r="B101" s="58"/>
      <c r="C101" s="12" t="s">
        <v>269</v>
      </c>
      <c r="D101" s="58"/>
      <c r="E101" s="522" t="s">
        <v>262</v>
      </c>
      <c r="F101" s="58"/>
      <c r="G101" s="536">
        <v>927920.70200000005</v>
      </c>
      <c r="H101" s="58"/>
      <c r="I101" s="547">
        <v>0.37192392053251588</v>
      </c>
      <c r="J101" s="538">
        <f t="shared" ref="J101" si="53">G101*I101/100</f>
        <v>3451.1590543112438</v>
      </c>
      <c r="K101" s="538"/>
      <c r="L101" s="538">
        <v>0</v>
      </c>
      <c r="M101" s="538">
        <v>0</v>
      </c>
      <c r="N101" s="538">
        <v>0</v>
      </c>
      <c r="O101" s="538">
        <f>J101-L101-M101-N101</f>
        <v>3451.1590543112438</v>
      </c>
      <c r="P101" s="564"/>
      <c r="Q101" s="538">
        <v>0</v>
      </c>
      <c r="R101" s="538">
        <v>0</v>
      </c>
      <c r="S101" s="538">
        <v>0</v>
      </c>
      <c r="T101" s="564"/>
      <c r="U101" s="564">
        <f>SUM(O101:S101)</f>
        <v>3451.1590543112438</v>
      </c>
      <c r="V101" s="565">
        <f>U101/G101*100</f>
        <v>0.37192392053251588</v>
      </c>
      <c r="W101" s="538">
        <f>U101-J101</f>
        <v>0</v>
      </c>
      <c r="X101" s="599"/>
      <c r="Y101" s="541"/>
      <c r="Z101" s="538"/>
      <c r="AA101" s="738"/>
      <c r="AC101" s="738"/>
      <c r="AE101" s="740"/>
    </row>
    <row r="102" spans="1:31">
      <c r="A102" s="6">
        <f>MAX(A$69:A101)+1</f>
        <v>48</v>
      </c>
      <c r="C102" s="10" t="s">
        <v>268</v>
      </c>
      <c r="E102" s="57"/>
      <c r="G102" s="553">
        <f>SUM(G100:G101)</f>
        <v>1041296.971</v>
      </c>
      <c r="I102" s="566">
        <f>J102/G102*100</f>
        <v>0.75077929640500729</v>
      </c>
      <c r="J102" s="555">
        <f t="shared" ref="J102" si="54">SUM(J100:J101)</f>
        <v>7817.8420723604522</v>
      </c>
      <c r="K102" s="538"/>
      <c r="L102" s="555">
        <f>SUM(L100:L101)</f>
        <v>0</v>
      </c>
      <c r="M102" s="555">
        <f t="shared" ref="M102:U102" si="55">SUM(M100:M101)</f>
        <v>0</v>
      </c>
      <c r="N102" s="555">
        <f t="shared" si="55"/>
        <v>0</v>
      </c>
      <c r="O102" s="555">
        <f t="shared" si="55"/>
        <v>7817.8420723604522</v>
      </c>
      <c r="P102" s="538"/>
      <c r="Q102" s="555">
        <f t="shared" si="55"/>
        <v>0</v>
      </c>
      <c r="R102" s="555">
        <f t="shared" si="55"/>
        <v>0</v>
      </c>
      <c r="S102" s="555">
        <f t="shared" si="55"/>
        <v>0</v>
      </c>
      <c r="T102" s="538"/>
      <c r="U102" s="555">
        <f t="shared" si="55"/>
        <v>7817.8420723604522</v>
      </c>
      <c r="V102" s="592">
        <f>U102/G102*100</f>
        <v>0.75077929640500729</v>
      </c>
      <c r="W102" s="555">
        <f>SUM(W100:W101)</f>
        <v>0</v>
      </c>
      <c r="X102" s="609">
        <f>V102/I102-1</f>
        <v>0</v>
      </c>
      <c r="Y102" s="541"/>
      <c r="Z102" s="538"/>
      <c r="AA102" s="738"/>
      <c r="AC102" s="738"/>
      <c r="AE102" s="740"/>
    </row>
    <row r="103" spans="1:31">
      <c r="A103" s="6"/>
      <c r="C103" s="10"/>
      <c r="E103" s="57"/>
      <c r="G103" s="536"/>
      <c r="I103" s="547"/>
      <c r="J103" s="538"/>
      <c r="K103" s="538"/>
      <c r="L103" s="538"/>
      <c r="M103" s="538"/>
      <c r="N103" s="538"/>
      <c r="O103" s="538"/>
      <c r="P103" s="64"/>
      <c r="Q103" s="538"/>
      <c r="R103" s="538"/>
      <c r="S103" s="538"/>
      <c r="T103" s="64"/>
      <c r="U103" s="564"/>
      <c r="V103" s="565"/>
      <c r="W103" s="538"/>
      <c r="X103" s="599"/>
      <c r="Y103" s="541"/>
      <c r="Z103" s="538"/>
      <c r="AA103" s="738"/>
      <c r="AC103" s="738"/>
      <c r="AE103" s="740"/>
    </row>
    <row r="104" spans="1:31">
      <c r="A104" s="6">
        <f>MAX(A$69:A103)+1</f>
        <v>49</v>
      </c>
      <c r="B104" s="58"/>
      <c r="C104" s="10" t="s">
        <v>270</v>
      </c>
      <c r="D104" s="58"/>
      <c r="E104" s="522" t="s">
        <v>262</v>
      </c>
      <c r="F104" s="58"/>
      <c r="G104" s="536">
        <v>102196.917</v>
      </c>
      <c r="H104" s="58"/>
      <c r="I104" s="547">
        <v>18.292507159365996</v>
      </c>
      <c r="J104" s="538">
        <f>G104*I104/100</f>
        <v>18694.378358876325</v>
      </c>
      <c r="K104" s="538"/>
      <c r="L104" s="538">
        <v>0</v>
      </c>
      <c r="M104" s="538">
        <v>0</v>
      </c>
      <c r="N104" s="538">
        <v>0</v>
      </c>
      <c r="O104" s="538">
        <f>J104-L104-M104-N104</f>
        <v>18694.378358876325</v>
      </c>
      <c r="P104" s="564"/>
      <c r="Q104" s="538">
        <v>0</v>
      </c>
      <c r="R104" s="538">
        <v>0</v>
      </c>
      <c r="S104" s="538">
        <v>0</v>
      </c>
      <c r="T104" s="564"/>
      <c r="U104" s="564">
        <f>SUM(O104:S104)</f>
        <v>18694.378358876325</v>
      </c>
      <c r="V104" s="565">
        <f>U104/G104*100</f>
        <v>18.292507159365996</v>
      </c>
      <c r="W104" s="538">
        <f>U104-J104</f>
        <v>0</v>
      </c>
      <c r="X104" s="599">
        <f>V104/I104-1</f>
        <v>0</v>
      </c>
      <c r="Y104" s="541"/>
      <c r="Z104" s="538"/>
      <c r="AA104" s="738"/>
      <c r="AC104" s="738"/>
      <c r="AE104" s="740"/>
    </row>
    <row r="105" spans="1:31">
      <c r="A105" s="6"/>
      <c r="B105" s="58"/>
      <c r="D105" s="58"/>
      <c r="E105" s="522"/>
      <c r="F105" s="58"/>
      <c r="G105" s="536"/>
      <c r="H105" s="58"/>
      <c r="I105" s="547"/>
      <c r="J105" s="538"/>
      <c r="K105" s="538"/>
      <c r="L105" s="538"/>
      <c r="M105" s="538"/>
      <c r="N105" s="538"/>
      <c r="O105" s="538"/>
      <c r="P105" s="564"/>
      <c r="Q105" s="538"/>
      <c r="R105" s="538"/>
      <c r="S105" s="538"/>
      <c r="T105" s="564"/>
      <c r="U105" s="564"/>
      <c r="V105" s="565"/>
      <c r="W105" s="538"/>
      <c r="X105" s="599"/>
      <c r="Y105" s="541"/>
      <c r="Z105" s="538"/>
      <c r="AA105" s="738"/>
      <c r="AC105" s="738"/>
      <c r="AE105" s="740"/>
    </row>
    <row r="106" spans="1:31" ht="12.95" thickBot="1">
      <c r="A106" s="6">
        <f>MAX(A$69:A105)+1</f>
        <v>50</v>
      </c>
      <c r="B106" s="58"/>
      <c r="C106" s="10" t="s">
        <v>285</v>
      </c>
      <c r="D106" s="58"/>
      <c r="E106" s="30"/>
      <c r="F106" s="58"/>
      <c r="G106" s="594">
        <f>G93</f>
        <v>1068281.1669999999</v>
      </c>
      <c r="I106" s="586">
        <f>J106/G106*100</f>
        <v>2.9307617295980979</v>
      </c>
      <c r="J106" s="587">
        <f>J95+J97+J102+J104</f>
        <v>31308.77560693994</v>
      </c>
      <c r="K106" s="534"/>
      <c r="L106" s="571">
        <f>L95+L97+L102+L104</f>
        <v>112.99521739962435</v>
      </c>
      <c r="M106" s="571">
        <f t="shared" ref="M106:N106" si="56">M95+M97+M102+M104</f>
        <v>2382.67535616847</v>
      </c>
      <c r="N106" s="571">
        <f t="shared" si="56"/>
        <v>143.22101713704333</v>
      </c>
      <c r="O106" s="587">
        <f>O95+O97+O102+O104</f>
        <v>28669.884016234799</v>
      </c>
      <c r="P106" s="534"/>
      <c r="Q106" s="571">
        <f>Q95+Q97+Q102+Q104</f>
        <v>94.495418599867804</v>
      </c>
      <c r="R106" s="571">
        <f t="shared" ref="R106:S106" si="57">R95+R97+R102+R104</f>
        <v>2611.2235313833621</v>
      </c>
      <c r="S106" s="571">
        <f t="shared" si="57"/>
        <v>127.91867524982882</v>
      </c>
      <c r="T106" s="534"/>
      <c r="U106" s="628">
        <f>U95+U97+U102+U104</f>
        <v>31503.521641467858</v>
      </c>
      <c r="V106" s="590">
        <f>U106/G106*100</f>
        <v>2.9489915777451743</v>
      </c>
      <c r="W106" s="587">
        <f>W95+W97+W102+W104</f>
        <v>194.74603452792041</v>
      </c>
      <c r="X106" s="615">
        <f>V106/I106-1</f>
        <v>6.2201740806737682E-3</v>
      </c>
      <c r="Y106" s="541"/>
      <c r="Z106" s="538"/>
      <c r="AA106" s="738"/>
      <c r="AC106" s="738"/>
      <c r="AE106" s="740"/>
    </row>
    <row r="107" spans="1:31" ht="12.95" thickTop="1">
      <c r="A107" s="6"/>
      <c r="B107" s="58"/>
      <c r="C107" s="10"/>
      <c r="D107" s="58"/>
      <c r="E107" s="30"/>
      <c r="F107" s="58"/>
      <c r="G107" s="29"/>
      <c r="H107" s="58"/>
      <c r="I107" s="625"/>
      <c r="J107" s="564"/>
      <c r="K107" s="564"/>
      <c r="L107" s="564"/>
      <c r="M107" s="564"/>
      <c r="N107" s="564"/>
      <c r="O107" s="564"/>
      <c r="P107" s="564"/>
      <c r="Q107" s="564"/>
      <c r="R107" s="564"/>
      <c r="S107" s="564"/>
      <c r="T107" s="564"/>
      <c r="U107" s="564"/>
      <c r="V107" s="565"/>
      <c r="W107" s="564"/>
      <c r="X107" s="783"/>
      <c r="Y107" s="630"/>
      <c r="Z107" s="501"/>
      <c r="AA107" s="738"/>
      <c r="AC107" s="738"/>
      <c r="AE107" s="740"/>
    </row>
    <row r="108" spans="1:31">
      <c r="J108" s="501"/>
      <c r="K108" s="501"/>
      <c r="L108" s="2"/>
      <c r="M108" s="2"/>
      <c r="N108" s="501"/>
      <c r="O108" s="501"/>
      <c r="Q108" s="501"/>
      <c r="R108" s="501"/>
      <c r="S108" s="501"/>
      <c r="W108" s="501"/>
      <c r="X108" s="522"/>
      <c r="Y108" s="501"/>
      <c r="Z108" s="501"/>
      <c r="AA108" s="738"/>
      <c r="AC108" s="738"/>
      <c r="AE108" s="740"/>
    </row>
    <row r="109" spans="1:31">
      <c r="J109" s="501"/>
      <c r="K109" s="501"/>
      <c r="L109" s="2"/>
      <c r="M109" s="2"/>
      <c r="N109" s="501"/>
      <c r="O109" s="501"/>
      <c r="Q109" s="501"/>
      <c r="R109" s="501"/>
      <c r="S109" s="501"/>
      <c r="W109" s="534"/>
      <c r="X109" s="522"/>
      <c r="Y109" s="501"/>
      <c r="Z109" s="501"/>
      <c r="AA109" s="738"/>
      <c r="AC109" s="738"/>
      <c r="AE109" s="740"/>
    </row>
    <row r="110" spans="1:31">
      <c r="J110" s="501"/>
      <c r="K110" s="501"/>
      <c r="L110" s="2"/>
      <c r="M110" s="2"/>
      <c r="N110" s="501"/>
      <c r="O110" s="501"/>
      <c r="Q110" s="501"/>
      <c r="R110" s="501"/>
      <c r="S110" s="501"/>
      <c r="V110" s="567"/>
      <c r="W110" s="501"/>
      <c r="X110" s="522"/>
      <c r="Y110" s="501"/>
      <c r="Z110" s="501"/>
      <c r="AA110" s="738"/>
      <c r="AC110" s="738"/>
      <c r="AE110" s="740"/>
    </row>
    <row r="111" spans="1:31">
      <c r="A111" s="1156" t="s">
        <v>279</v>
      </c>
      <c r="B111" s="1156"/>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713"/>
      <c r="Z111" s="713"/>
      <c r="AA111" s="738"/>
      <c r="AC111" s="738"/>
      <c r="AE111" s="740"/>
    </row>
    <row r="112" spans="1:31">
      <c r="A112" s="1156" t="s">
        <v>499</v>
      </c>
      <c r="B112" s="1156"/>
      <c r="C112" s="1156"/>
      <c r="D112" s="1156"/>
      <c r="E112" s="1156"/>
      <c r="F112" s="1156"/>
      <c r="G112" s="1156"/>
      <c r="H112" s="1156"/>
      <c r="I112" s="1156"/>
      <c r="J112" s="1156"/>
      <c r="K112" s="1156"/>
      <c r="L112" s="1156"/>
      <c r="M112" s="1156"/>
      <c r="N112" s="1156"/>
      <c r="O112" s="1156"/>
      <c r="P112" s="1156"/>
      <c r="Q112" s="1156"/>
      <c r="R112" s="1156"/>
      <c r="S112" s="1156"/>
      <c r="T112" s="1156"/>
      <c r="U112" s="1156"/>
      <c r="V112" s="1156"/>
      <c r="W112" s="1156"/>
      <c r="X112" s="1156"/>
      <c r="Y112" s="501"/>
      <c r="Z112" s="501"/>
      <c r="AA112" s="738"/>
      <c r="AC112" s="738"/>
      <c r="AE112" s="740"/>
    </row>
    <row r="113" spans="1:31">
      <c r="A113" s="57"/>
      <c r="B113" s="57"/>
      <c r="C113" s="57"/>
      <c r="D113" s="57"/>
      <c r="E113" s="3"/>
      <c r="F113" s="57"/>
      <c r="G113" s="3"/>
      <c r="H113" s="57"/>
      <c r="I113" s="57"/>
      <c r="J113" s="501"/>
      <c r="K113" s="501"/>
      <c r="L113" s="4"/>
      <c r="M113" s="4"/>
      <c r="N113" s="501"/>
      <c r="O113" s="501"/>
      <c r="P113" s="57"/>
      <c r="Q113" s="501"/>
      <c r="R113" s="501"/>
      <c r="S113" s="501"/>
      <c r="T113" s="57"/>
      <c r="U113" s="57"/>
      <c r="V113" s="57"/>
      <c r="W113" s="501"/>
      <c r="X113" s="522"/>
      <c r="Y113" s="6"/>
      <c r="Z113" s="501"/>
      <c r="AA113" s="738"/>
      <c r="AC113" s="738"/>
      <c r="AE113" s="740"/>
    </row>
    <row r="114" spans="1:31">
      <c r="A114" s="3"/>
      <c r="B114" s="3"/>
      <c r="C114" s="3"/>
      <c r="D114" s="3"/>
      <c r="E114" s="58"/>
      <c r="F114" s="58"/>
      <c r="G114" s="1152" t="s">
        <v>231</v>
      </c>
      <c r="H114" s="1152"/>
      <c r="I114" s="1152"/>
      <c r="J114" s="1152"/>
      <c r="K114" s="58"/>
      <c r="L114" s="1152" t="s">
        <v>94</v>
      </c>
      <c r="M114" s="1152"/>
      <c r="N114" s="1152"/>
      <c r="O114" s="58"/>
      <c r="P114" s="3"/>
      <c r="Q114" s="1152" t="s">
        <v>95</v>
      </c>
      <c r="R114" s="1152"/>
      <c r="S114" s="1152"/>
      <c r="T114" s="3"/>
      <c r="U114" s="1152" t="s">
        <v>232</v>
      </c>
      <c r="V114" s="1152"/>
      <c r="W114" s="1152"/>
      <c r="X114" s="1152"/>
      <c r="Y114" s="5"/>
      <c r="Z114" s="501"/>
      <c r="AA114" s="738"/>
      <c r="AC114" s="738"/>
      <c r="AE114" s="740"/>
    </row>
    <row r="115" spans="1:31" ht="37.5">
      <c r="A115" s="5" t="s">
        <v>56</v>
      </c>
      <c r="B115" s="5"/>
      <c r="C115" s="5"/>
      <c r="D115" s="5"/>
      <c r="E115" s="6" t="s">
        <v>233</v>
      </c>
      <c r="F115" s="5"/>
      <c r="G115" s="17" t="s">
        <v>234</v>
      </c>
      <c r="H115" s="5"/>
      <c r="I115" s="17" t="s">
        <v>235</v>
      </c>
      <c r="J115" s="5" t="s">
        <v>101</v>
      </c>
      <c r="K115" s="5"/>
      <c r="L115" s="5" t="s">
        <v>491</v>
      </c>
      <c r="M115" s="5" t="s">
        <v>492</v>
      </c>
      <c r="N115" s="5" t="s">
        <v>493</v>
      </c>
      <c r="O115" s="5" t="s">
        <v>494</v>
      </c>
      <c r="P115" s="5"/>
      <c r="Q115" s="5" t="s">
        <v>491</v>
      </c>
      <c r="R115" s="5" t="s">
        <v>492</v>
      </c>
      <c r="S115" s="5" t="s">
        <v>493</v>
      </c>
      <c r="T115" s="5"/>
      <c r="U115" s="17" t="s">
        <v>113</v>
      </c>
      <c r="V115" s="17" t="s">
        <v>242</v>
      </c>
      <c r="W115" s="17" t="s">
        <v>243</v>
      </c>
      <c r="X115" s="5" t="s">
        <v>244</v>
      </c>
      <c r="Y115" s="6"/>
      <c r="Z115" s="501"/>
      <c r="AA115" s="738"/>
      <c r="AC115" s="738"/>
      <c r="AE115" s="740"/>
    </row>
    <row r="116" spans="1:31" ht="14.45">
      <c r="A116" s="237" t="s">
        <v>57</v>
      </c>
      <c r="B116" s="58"/>
      <c r="C116" s="59" t="s">
        <v>194</v>
      </c>
      <c r="D116" s="58"/>
      <c r="E116" s="237" t="s">
        <v>245</v>
      </c>
      <c r="F116" s="58"/>
      <c r="G116" s="237" t="s">
        <v>246</v>
      </c>
      <c r="H116" s="58"/>
      <c r="I116" s="237" t="s">
        <v>247</v>
      </c>
      <c r="J116" s="237" t="s">
        <v>248</v>
      </c>
      <c r="K116" s="6"/>
      <c r="L116" s="237" t="s">
        <v>248</v>
      </c>
      <c r="M116" s="237" t="s">
        <v>248</v>
      </c>
      <c r="N116" s="237" t="s">
        <v>248</v>
      </c>
      <c r="O116" s="237" t="s">
        <v>248</v>
      </c>
      <c r="P116" s="58"/>
      <c r="Q116" s="237" t="s">
        <v>248</v>
      </c>
      <c r="R116" s="237" t="s">
        <v>248</v>
      </c>
      <c r="S116" s="237" t="s">
        <v>248</v>
      </c>
      <c r="T116" s="58"/>
      <c r="U116" s="237" t="s">
        <v>248</v>
      </c>
      <c r="V116" s="237" t="s">
        <v>247</v>
      </c>
      <c r="W116" s="237" t="s">
        <v>248</v>
      </c>
      <c r="X116" s="237" t="s">
        <v>249</v>
      </c>
      <c r="Y116" s="6"/>
      <c r="Z116" s="501"/>
      <c r="AA116" s="738"/>
      <c r="AC116" s="738"/>
      <c r="AE116" s="740"/>
    </row>
    <row r="117" spans="1:31">
      <c r="A117" s="6"/>
      <c r="B117" s="58"/>
      <c r="C117" s="58"/>
      <c r="D117" s="58"/>
      <c r="E117" s="6"/>
      <c r="F117" s="58"/>
      <c r="G117" s="6" t="s">
        <v>9</v>
      </c>
      <c r="H117" s="6"/>
      <c r="I117" s="6" t="s">
        <v>10</v>
      </c>
      <c r="J117" s="6" t="s">
        <v>58</v>
      </c>
      <c r="K117" s="6"/>
      <c r="L117" s="123" t="s">
        <v>12</v>
      </c>
      <c r="M117" s="123" t="s">
        <v>13</v>
      </c>
      <c r="N117" s="6" t="s">
        <v>115</v>
      </c>
      <c r="O117" s="6" t="s">
        <v>495</v>
      </c>
      <c r="P117" s="6"/>
      <c r="Q117" s="6" t="s">
        <v>210</v>
      </c>
      <c r="R117" s="6" t="s">
        <v>118</v>
      </c>
      <c r="S117" s="6" t="s">
        <v>119</v>
      </c>
      <c r="T117" s="6"/>
      <c r="U117" s="6" t="s">
        <v>496</v>
      </c>
      <c r="V117" s="6" t="s">
        <v>121</v>
      </c>
      <c r="W117" s="6" t="s">
        <v>497</v>
      </c>
      <c r="X117" s="6" t="s">
        <v>498</v>
      </c>
      <c r="Y117" s="6"/>
      <c r="Z117" s="501"/>
      <c r="AA117" s="738"/>
      <c r="AC117" s="738"/>
      <c r="AE117" s="740"/>
    </row>
    <row r="118" spans="1:31" ht="12.95">
      <c r="A118" s="6"/>
      <c r="B118" s="58"/>
      <c r="C118" s="9" t="s">
        <v>131</v>
      </c>
      <c r="D118" s="58"/>
      <c r="E118" s="128"/>
      <c r="F118" s="58"/>
      <c r="G118" s="575"/>
      <c r="H118" s="58"/>
      <c r="I118" s="501"/>
      <c r="J118" s="501"/>
      <c r="K118" s="501"/>
      <c r="L118" s="501"/>
      <c r="M118" s="501"/>
      <c r="N118" s="501"/>
      <c r="O118" s="501"/>
      <c r="P118" s="58"/>
      <c r="Q118" s="501"/>
      <c r="R118" s="501"/>
      <c r="S118" s="501"/>
      <c r="T118" s="58"/>
      <c r="U118" s="58"/>
      <c r="V118" s="58"/>
      <c r="W118" s="501"/>
      <c r="X118" s="522"/>
      <c r="Y118" s="501"/>
      <c r="Z118" s="501"/>
    </row>
    <row r="119" spans="1:31">
      <c r="A119" s="6">
        <v>51</v>
      </c>
      <c r="B119" s="58"/>
      <c r="C119" s="10" t="s">
        <v>258</v>
      </c>
      <c r="D119" s="58"/>
      <c r="E119" s="30" t="s">
        <v>259</v>
      </c>
      <c r="F119" s="58"/>
      <c r="G119" s="536">
        <v>264</v>
      </c>
      <c r="H119" s="58"/>
      <c r="I119" s="29">
        <v>0</v>
      </c>
      <c r="J119" s="538">
        <v>0</v>
      </c>
      <c r="K119" s="538"/>
      <c r="L119" s="538">
        <v>0</v>
      </c>
      <c r="M119" s="538">
        <v>0</v>
      </c>
      <c r="N119" s="538">
        <v>0</v>
      </c>
      <c r="O119" s="538">
        <v>0</v>
      </c>
      <c r="P119" s="564"/>
      <c r="Q119" s="538">
        <v>0</v>
      </c>
      <c r="R119" s="538">
        <v>0</v>
      </c>
      <c r="S119" s="538">
        <v>0</v>
      </c>
      <c r="T119" s="564"/>
      <c r="U119" s="564">
        <v>0</v>
      </c>
      <c r="V119" s="564">
        <v>0</v>
      </c>
      <c r="W119" s="538">
        <v>0</v>
      </c>
      <c r="X119" s="599"/>
      <c r="Y119" s="541"/>
      <c r="Z119" s="501"/>
      <c r="AA119" s="738"/>
      <c r="AE119" s="739"/>
    </row>
    <row r="120" spans="1:31">
      <c r="A120" s="6">
        <f>MAX(A$118:A119)+1</f>
        <v>52</v>
      </c>
      <c r="B120" s="58"/>
      <c r="C120" s="10" t="s">
        <v>500</v>
      </c>
      <c r="D120" s="58"/>
      <c r="E120" s="30" t="s">
        <v>281</v>
      </c>
      <c r="F120" s="58"/>
      <c r="G120" s="536">
        <v>14480.82</v>
      </c>
      <c r="H120" s="58"/>
      <c r="I120" s="29">
        <v>0</v>
      </c>
      <c r="J120" s="538">
        <v>0</v>
      </c>
      <c r="K120" s="538"/>
      <c r="L120" s="538">
        <v>0</v>
      </c>
      <c r="M120" s="538">
        <v>0</v>
      </c>
      <c r="N120" s="538">
        <v>0</v>
      </c>
      <c r="O120" s="538">
        <v>0</v>
      </c>
      <c r="P120" s="564"/>
      <c r="Q120" s="538">
        <v>0</v>
      </c>
      <c r="R120" s="538">
        <v>0</v>
      </c>
      <c r="S120" s="538">
        <v>0</v>
      </c>
      <c r="T120" s="564"/>
      <c r="U120" s="564">
        <v>0</v>
      </c>
      <c r="V120" s="564">
        <v>0</v>
      </c>
      <c r="W120" s="538">
        <v>0</v>
      </c>
      <c r="X120" s="599"/>
      <c r="Y120" s="541"/>
      <c r="Z120" s="501"/>
    </row>
    <row r="121" spans="1:31">
      <c r="A121" s="6"/>
      <c r="B121" s="58"/>
      <c r="C121" s="10" t="s">
        <v>501</v>
      </c>
      <c r="D121" s="58"/>
      <c r="E121" s="30"/>
      <c r="F121" s="58"/>
      <c r="G121" s="536"/>
      <c r="H121" s="58"/>
      <c r="I121" s="547"/>
      <c r="J121" s="538"/>
      <c r="K121" s="538"/>
      <c r="L121" s="538"/>
      <c r="M121" s="538"/>
      <c r="N121" s="538"/>
      <c r="O121" s="538"/>
      <c r="P121" s="564"/>
      <c r="Q121" s="538"/>
      <c r="R121" s="538"/>
      <c r="S121" s="538"/>
      <c r="T121" s="564"/>
      <c r="U121" s="564"/>
      <c r="V121" s="565"/>
      <c r="W121" s="538"/>
      <c r="X121" s="599"/>
      <c r="Y121" s="541"/>
      <c r="Z121" s="501"/>
    </row>
    <row r="122" spans="1:31">
      <c r="A122" s="6">
        <f>MAX(A$118:A121)+1</f>
        <v>53</v>
      </c>
      <c r="B122" s="58"/>
      <c r="C122" s="12" t="s">
        <v>283</v>
      </c>
      <c r="D122" s="58"/>
      <c r="E122" s="30" t="s">
        <v>262</v>
      </c>
      <c r="F122" s="58"/>
      <c r="G122" s="536">
        <v>144905.005</v>
      </c>
      <c r="H122" s="58"/>
      <c r="I122" s="547">
        <v>0.2878105235831096</v>
      </c>
      <c r="J122" s="538">
        <f>G122*I122/100</f>
        <v>417.0518535886311</v>
      </c>
      <c r="K122" s="538"/>
      <c r="L122" s="536">
        <v>15.327025363790442</v>
      </c>
      <c r="M122" s="536">
        <v>312.19740139048338</v>
      </c>
      <c r="N122" s="536">
        <v>7.7085147255787296</v>
      </c>
      <c r="O122" s="538">
        <f>J122-L122-M122-N122</f>
        <v>81.818912108778576</v>
      </c>
      <c r="P122" s="564"/>
      <c r="Q122" s="536">
        <v>12.817654684621932</v>
      </c>
      <c r="R122" s="536">
        <v>342.14363229848487</v>
      </c>
      <c r="S122" s="536">
        <v>6.8849042658054778</v>
      </c>
      <c r="T122" s="564"/>
      <c r="U122" s="564">
        <f>SUM(O122:S122)</f>
        <v>443.66510335769084</v>
      </c>
      <c r="V122" s="565">
        <f>U122/G122*100</f>
        <v>0.30617652120276373</v>
      </c>
      <c r="W122" s="538">
        <f>U122-J122</f>
        <v>26.613249769059735</v>
      </c>
      <c r="X122" s="559"/>
      <c r="Y122" s="559"/>
      <c r="Z122" s="501"/>
      <c r="AA122" s="738"/>
      <c r="AC122" s="738"/>
      <c r="AE122" s="740"/>
    </row>
    <row r="123" spans="1:31">
      <c r="A123" s="6">
        <f>MAX(A$118:A122)+1</f>
        <v>54</v>
      </c>
      <c r="B123" s="58"/>
      <c r="C123" s="12" t="s">
        <v>284</v>
      </c>
      <c r="D123" s="58"/>
      <c r="E123" s="30" t="s">
        <v>262</v>
      </c>
      <c r="F123" s="58"/>
      <c r="G123" s="536">
        <v>236967.948</v>
      </c>
      <c r="H123" s="58"/>
      <c r="I123" s="547">
        <v>0.2878078682224765</v>
      </c>
      <c r="J123" s="538">
        <f>G123*I123/100</f>
        <v>682.01239950934678</v>
      </c>
      <c r="K123" s="538"/>
      <c r="L123" s="536">
        <v>25.064791581225055</v>
      </c>
      <c r="M123" s="536">
        <v>510.54673769505195</v>
      </c>
      <c r="N123" s="536">
        <v>12.605989121274138</v>
      </c>
      <c r="O123" s="538">
        <f>J123-L123-M123-N123</f>
        <v>133.79488111179558</v>
      </c>
      <c r="P123" s="564"/>
      <c r="Q123" s="536">
        <v>20.961134701920379</v>
      </c>
      <c r="R123" s="536">
        <v>559.51879969251911</v>
      </c>
      <c r="S123" s="536">
        <v>11.25911169213493</v>
      </c>
      <c r="T123" s="564"/>
      <c r="U123" s="564">
        <f>SUM(O123:S123)</f>
        <v>725.53392719837007</v>
      </c>
      <c r="V123" s="565">
        <f>U123/G123*100</f>
        <v>0.30617386584213069</v>
      </c>
      <c r="W123" s="538">
        <f>U123-J123</f>
        <v>43.521527689023287</v>
      </c>
      <c r="X123" s="559"/>
      <c r="Y123" s="559"/>
      <c r="Z123" s="501"/>
      <c r="AA123" s="738"/>
      <c r="AC123" s="738"/>
      <c r="AE123" s="740"/>
    </row>
    <row r="124" spans="1:31">
      <c r="A124" s="6">
        <f>MAX(A$118:A123)+1</f>
        <v>55</v>
      </c>
      <c r="B124" s="58"/>
      <c r="C124" s="10" t="s">
        <v>501</v>
      </c>
      <c r="D124" s="58"/>
      <c r="E124" s="30"/>
      <c r="G124" s="553">
        <f>SUM(G122:G123)</f>
        <v>381872.95299999998</v>
      </c>
      <c r="I124" s="578">
        <f>J124/G124*100</f>
        <v>0.28780887582210568</v>
      </c>
      <c r="J124" s="555">
        <f t="shared" ref="J124" si="58">SUM(J122:J123)</f>
        <v>1099.0642530979778</v>
      </c>
      <c r="K124" s="538"/>
      <c r="L124" s="553">
        <f>SUM(L122:L123)</f>
        <v>40.391816945015499</v>
      </c>
      <c r="M124" s="553">
        <f>SUM(M122:M123)</f>
        <v>822.74413908553538</v>
      </c>
      <c r="N124" s="553">
        <f>SUM(N122:N123)</f>
        <v>20.314503846852869</v>
      </c>
      <c r="O124" s="555">
        <f>J124-L124-M124-N124</f>
        <v>215.61379322057405</v>
      </c>
      <c r="P124" s="64"/>
      <c r="Q124" s="553">
        <f>SUM(Q122:Q123)</f>
        <v>33.778789386542314</v>
      </c>
      <c r="R124" s="553">
        <f>SUM(R122:R123)</f>
        <v>901.66243199100404</v>
      </c>
      <c r="S124" s="553">
        <f>SUM(S122:S123)</f>
        <v>18.144015957940407</v>
      </c>
      <c r="T124" s="64"/>
      <c r="U124" s="407">
        <f>SUM(U122:U123)</f>
        <v>1169.199030556061</v>
      </c>
      <c r="V124" s="579">
        <f>U124/G124*100</f>
        <v>0.30617487344175981</v>
      </c>
      <c r="W124" s="555">
        <f>SUM(W119:W123)</f>
        <v>70.134777458083022</v>
      </c>
      <c r="X124" s="558">
        <f>V124/I124-1</f>
        <v>6.3813173124674938E-2</v>
      </c>
      <c r="Y124" s="559"/>
      <c r="Z124" s="501"/>
      <c r="AA124" s="738"/>
      <c r="AC124" s="738"/>
      <c r="AE124" s="740"/>
    </row>
    <row r="125" spans="1:31">
      <c r="A125" s="6"/>
      <c r="B125" s="58"/>
      <c r="C125" s="10"/>
      <c r="D125" s="58"/>
      <c r="E125" s="574"/>
      <c r="F125" s="58"/>
      <c r="G125" s="29"/>
      <c r="H125" s="58"/>
      <c r="I125" s="501"/>
      <c r="J125" s="538"/>
      <c r="K125" s="538"/>
      <c r="L125" s="536"/>
      <c r="M125" s="536"/>
      <c r="N125" s="536"/>
      <c r="O125" s="538"/>
      <c r="P125" s="564"/>
      <c r="Q125" s="538"/>
      <c r="R125" s="538"/>
      <c r="S125" s="538"/>
      <c r="T125" s="564"/>
      <c r="U125" s="564"/>
      <c r="V125" s="565"/>
      <c r="W125" s="538"/>
      <c r="X125" s="599"/>
      <c r="Y125" s="541"/>
      <c r="Z125" s="501"/>
      <c r="AA125" s="738"/>
      <c r="AC125" s="738"/>
      <c r="AE125" s="740"/>
    </row>
    <row r="126" spans="1:31">
      <c r="A126" s="6">
        <f>MAX(A$118:A125)+1</f>
        <v>56</v>
      </c>
      <c r="B126" s="58"/>
      <c r="C126" s="10" t="s">
        <v>266</v>
      </c>
      <c r="D126" s="58"/>
      <c r="E126" s="574"/>
      <c r="F126" s="58"/>
      <c r="G126" s="411">
        <f>G124</f>
        <v>381872.95299999998</v>
      </c>
      <c r="H126" s="29"/>
      <c r="I126" s="578">
        <f t="shared" ref="I126:X126" si="59">I124</f>
        <v>0.28780887582210568</v>
      </c>
      <c r="J126" s="411">
        <f t="shared" si="59"/>
        <v>1099.0642530979778</v>
      </c>
      <c r="K126" s="29"/>
      <c r="L126" s="553">
        <f>L124</f>
        <v>40.391816945015499</v>
      </c>
      <c r="M126" s="553">
        <f t="shared" ref="M126:S126" si="60">M124</f>
        <v>822.74413908553538</v>
      </c>
      <c r="N126" s="553">
        <f t="shared" si="60"/>
        <v>20.314503846852869</v>
      </c>
      <c r="O126" s="555">
        <f>O124</f>
        <v>215.61379322057405</v>
      </c>
      <c r="P126" s="29"/>
      <c r="Q126" s="553">
        <f t="shared" si="60"/>
        <v>33.778789386542314</v>
      </c>
      <c r="R126" s="553">
        <f t="shared" si="60"/>
        <v>901.66243199100404</v>
      </c>
      <c r="S126" s="553">
        <f t="shared" si="60"/>
        <v>18.144015957940407</v>
      </c>
      <c r="T126" s="29"/>
      <c r="U126" s="411">
        <f t="shared" si="59"/>
        <v>1169.199030556061</v>
      </c>
      <c r="V126" s="579">
        <f t="shared" si="59"/>
        <v>0.30617487344175981</v>
      </c>
      <c r="W126" s="411">
        <f t="shared" si="59"/>
        <v>70.134777458083022</v>
      </c>
      <c r="X126" s="558">
        <f t="shared" si="59"/>
        <v>6.3813173124674938E-2</v>
      </c>
      <c r="Y126" s="559"/>
      <c r="Z126" s="501"/>
      <c r="AA126" s="738"/>
      <c r="AC126" s="738"/>
      <c r="AE126" s="740"/>
    </row>
    <row r="127" spans="1:31">
      <c r="A127" s="6"/>
      <c r="E127" s="574"/>
      <c r="F127" s="58"/>
      <c r="G127" s="29"/>
      <c r="H127" s="58"/>
      <c r="I127" s="501"/>
      <c r="J127" s="538"/>
      <c r="K127" s="538"/>
      <c r="L127" s="538"/>
      <c r="M127" s="538"/>
      <c r="N127" s="538"/>
      <c r="O127" s="538"/>
      <c r="P127" s="564"/>
      <c r="Q127" s="538"/>
      <c r="R127" s="538"/>
      <c r="S127" s="538"/>
      <c r="T127" s="564"/>
      <c r="U127" s="564"/>
      <c r="V127" s="564"/>
      <c r="W127" s="538"/>
      <c r="X127" s="576"/>
      <c r="Y127" s="538"/>
      <c r="Z127" s="501"/>
      <c r="AA127" s="738"/>
      <c r="AC127" s="738"/>
      <c r="AE127" s="740"/>
    </row>
    <row r="128" spans="1:31">
      <c r="A128" s="6">
        <f>MAX(A$118:A127)+1</f>
        <v>57</v>
      </c>
      <c r="B128" s="58"/>
      <c r="C128" s="12" t="s">
        <v>479</v>
      </c>
      <c r="D128" s="58"/>
      <c r="E128" s="522" t="s">
        <v>262</v>
      </c>
      <c r="F128" s="58"/>
      <c r="G128" s="536">
        <v>381872.95299999998</v>
      </c>
      <c r="H128" s="58"/>
      <c r="I128" s="547">
        <v>4.7884777599733502E-2</v>
      </c>
      <c r="J128" s="538">
        <f>G128*I128/100</f>
        <v>182.85901425758482</v>
      </c>
      <c r="K128" s="538"/>
      <c r="L128" s="538">
        <v>0</v>
      </c>
      <c r="M128" s="538">
        <v>0</v>
      </c>
      <c r="N128" s="538">
        <v>0</v>
      </c>
      <c r="O128" s="538">
        <f>J128-L128-M128-N128</f>
        <v>182.85901425758482</v>
      </c>
      <c r="P128" s="564"/>
      <c r="Q128" s="538">
        <v>0</v>
      </c>
      <c r="R128" s="538">
        <v>0</v>
      </c>
      <c r="S128" s="538">
        <v>0</v>
      </c>
      <c r="T128" s="564"/>
      <c r="U128" s="132">
        <f>SUM(O128:S128)</f>
        <v>182.85901425758482</v>
      </c>
      <c r="V128" s="565">
        <f>U128/G128*100</f>
        <v>4.7884777599733495E-2</v>
      </c>
      <c r="W128" s="576">
        <f>U128-J128</f>
        <v>0</v>
      </c>
      <c r="X128" s="559">
        <f>V128/I128-1</f>
        <v>0</v>
      </c>
      <c r="Y128" s="559"/>
      <c r="Z128" s="501"/>
      <c r="AA128" s="738"/>
      <c r="AC128" s="738"/>
      <c r="AE128" s="740"/>
    </row>
    <row r="129" spans="1:31">
      <c r="A129" s="6"/>
      <c r="B129" s="58"/>
      <c r="C129" s="12"/>
      <c r="D129" s="58"/>
      <c r="E129" s="522"/>
      <c r="F129" s="58"/>
      <c r="G129" s="536"/>
      <c r="H129" s="58"/>
      <c r="I129" s="547"/>
      <c r="J129" s="538"/>
      <c r="K129" s="538"/>
      <c r="L129" s="538"/>
      <c r="M129" s="538"/>
      <c r="N129" s="538"/>
      <c r="O129" s="538"/>
      <c r="P129" s="564"/>
      <c r="Q129" s="538"/>
      <c r="R129" s="538"/>
      <c r="S129" s="538"/>
      <c r="T129" s="564"/>
      <c r="U129" s="132"/>
      <c r="V129" s="597"/>
      <c r="W129" s="576"/>
      <c r="X129" s="559"/>
      <c r="Y129" s="559"/>
      <c r="Z129" s="501"/>
      <c r="AA129" s="738"/>
      <c r="AC129" s="738"/>
      <c r="AE129" s="740"/>
    </row>
    <row r="130" spans="1:31">
      <c r="A130" s="6"/>
      <c r="B130" s="58"/>
      <c r="C130" s="10" t="s">
        <v>268</v>
      </c>
      <c r="D130" s="58"/>
      <c r="E130" s="522"/>
      <c r="F130" s="58"/>
      <c r="G130" s="536"/>
      <c r="H130" s="58"/>
      <c r="I130" s="547"/>
      <c r="J130" s="538"/>
      <c r="K130" s="538"/>
      <c r="L130" s="538"/>
      <c r="M130" s="538"/>
      <c r="N130" s="538"/>
      <c r="O130" s="538"/>
      <c r="P130" s="564"/>
      <c r="Q130" s="538"/>
      <c r="R130" s="538"/>
      <c r="S130" s="538"/>
      <c r="T130" s="564"/>
      <c r="U130" s="132"/>
      <c r="V130" s="597"/>
      <c r="W130" s="576"/>
      <c r="X130" s="559"/>
      <c r="Y130" s="559"/>
      <c r="Z130" s="501"/>
      <c r="AA130" s="738"/>
      <c r="AC130" s="738"/>
      <c r="AE130" s="740"/>
    </row>
    <row r="131" spans="1:31">
      <c r="A131" s="6">
        <f>MAX(A$118:A130)+1</f>
        <v>58</v>
      </c>
      <c r="B131" s="58"/>
      <c r="C131" s="12" t="s">
        <v>268</v>
      </c>
      <c r="D131" s="58"/>
      <c r="E131" s="522" t="s">
        <v>262</v>
      </c>
      <c r="F131" s="58"/>
      <c r="G131" s="536">
        <v>1651.1379999999999</v>
      </c>
      <c r="H131" s="58"/>
      <c r="I131" s="547">
        <v>3.8514689412094061</v>
      </c>
      <c r="J131" s="538">
        <f t="shared" ref="J131:J132" si="61">G131*I131/100</f>
        <v>63.593067246506159</v>
      </c>
      <c r="K131" s="538"/>
      <c r="L131" s="538">
        <v>0</v>
      </c>
      <c r="M131" s="538">
        <v>0</v>
      </c>
      <c r="N131" s="538">
        <v>0</v>
      </c>
      <c r="O131" s="538">
        <f>J131-L131-M131-N131</f>
        <v>63.593067246506159</v>
      </c>
      <c r="P131" s="564"/>
      <c r="Q131" s="538">
        <v>0</v>
      </c>
      <c r="R131" s="538">
        <v>0</v>
      </c>
      <c r="S131" s="538">
        <v>0</v>
      </c>
      <c r="T131" s="564"/>
      <c r="U131" s="132">
        <f t="shared" ref="U131:U132" si="62">SUM(O131:S131)</f>
        <v>63.593067246506159</v>
      </c>
      <c r="V131" s="565">
        <f>U131/G131*100</f>
        <v>3.8514689412094056</v>
      </c>
      <c r="W131" s="576">
        <f>U131-J131</f>
        <v>0</v>
      </c>
      <c r="X131" s="559"/>
      <c r="Y131" s="559"/>
      <c r="Z131" s="501"/>
      <c r="AA131" s="738"/>
      <c r="AC131" s="738"/>
      <c r="AE131" s="740"/>
    </row>
    <row r="132" spans="1:31">
      <c r="A132" s="6">
        <f>MAX(A$118:A131)+1</f>
        <v>59</v>
      </c>
      <c r="B132" s="58"/>
      <c r="C132" s="12" t="s">
        <v>269</v>
      </c>
      <c r="D132" s="58"/>
      <c r="E132" s="522" t="s">
        <v>262</v>
      </c>
      <c r="F132" s="58"/>
      <c r="G132" s="536">
        <v>241077.16699999999</v>
      </c>
      <c r="H132" s="58"/>
      <c r="I132" s="547">
        <v>0.37192331383903554</v>
      </c>
      <c r="J132" s="538">
        <f t="shared" si="61"/>
        <v>896.62218841566573</v>
      </c>
      <c r="K132" s="538"/>
      <c r="L132" s="538">
        <v>0</v>
      </c>
      <c r="M132" s="538">
        <v>0</v>
      </c>
      <c r="N132" s="538">
        <v>0</v>
      </c>
      <c r="O132" s="538">
        <f>J132-L132-M132-N132</f>
        <v>896.62218841566573</v>
      </c>
      <c r="P132" s="564"/>
      <c r="Q132" s="538">
        <v>0</v>
      </c>
      <c r="R132" s="538">
        <v>0</v>
      </c>
      <c r="S132" s="538">
        <v>0</v>
      </c>
      <c r="T132" s="564"/>
      <c r="U132" s="132">
        <f t="shared" si="62"/>
        <v>896.62218841566573</v>
      </c>
      <c r="V132" s="565">
        <f>U132/G132*100</f>
        <v>0.37192331383903554</v>
      </c>
      <c r="W132" s="576">
        <f>U132-J132</f>
        <v>0</v>
      </c>
      <c r="X132" s="559"/>
      <c r="Y132" s="559"/>
      <c r="Z132" s="501"/>
      <c r="AA132" s="738"/>
      <c r="AC132" s="738"/>
      <c r="AE132" s="740"/>
    </row>
    <row r="133" spans="1:31">
      <c r="A133" s="6">
        <f>MAX(A$118:A132)+1</f>
        <v>60</v>
      </c>
      <c r="B133" s="58"/>
      <c r="C133" s="10" t="s">
        <v>268</v>
      </c>
      <c r="D133" s="58"/>
      <c r="E133" s="522"/>
      <c r="F133" s="58"/>
      <c r="G133" s="553">
        <f>SUM(G131:G132)</f>
        <v>242728.30499999999</v>
      </c>
      <c r="H133" s="58"/>
      <c r="I133" s="566">
        <f>J133/G133*100</f>
        <v>0.39559261770569853</v>
      </c>
      <c r="J133" s="555">
        <f t="shared" ref="J133" si="63">SUM(J131:J132)</f>
        <v>960.2152556621719</v>
      </c>
      <c r="K133" s="538"/>
      <c r="L133" s="555">
        <f>SUM(L131:L132)</f>
        <v>0</v>
      </c>
      <c r="M133" s="555">
        <f t="shared" ref="M133:U133" si="64">SUM(M131:M132)</f>
        <v>0</v>
      </c>
      <c r="N133" s="555">
        <f t="shared" si="64"/>
        <v>0</v>
      </c>
      <c r="O133" s="555">
        <f t="shared" si="64"/>
        <v>960.2152556621719</v>
      </c>
      <c r="P133" s="538"/>
      <c r="Q133" s="555">
        <f t="shared" si="64"/>
        <v>0</v>
      </c>
      <c r="R133" s="555">
        <f t="shared" si="64"/>
        <v>0</v>
      </c>
      <c r="S133" s="555">
        <f t="shared" si="64"/>
        <v>0</v>
      </c>
      <c r="T133" s="538"/>
      <c r="U133" s="555">
        <f t="shared" si="64"/>
        <v>960.2152556621719</v>
      </c>
      <c r="V133" s="592">
        <f>U133/G133*100</f>
        <v>0.39559261770569853</v>
      </c>
      <c r="W133" s="598">
        <f>SUM(W131:W132)</f>
        <v>0</v>
      </c>
      <c r="X133" s="558">
        <f>V133/I133-1</f>
        <v>0</v>
      </c>
      <c r="Y133" s="559"/>
      <c r="Z133" s="501"/>
      <c r="AA133" s="738"/>
      <c r="AC133" s="738"/>
      <c r="AE133" s="740"/>
    </row>
    <row r="134" spans="1:31">
      <c r="A134" s="6"/>
      <c r="B134" s="58"/>
      <c r="C134" s="10"/>
      <c r="D134" s="58"/>
      <c r="E134" s="57"/>
      <c r="G134" s="536"/>
      <c r="I134" s="547"/>
      <c r="J134" s="538"/>
      <c r="K134" s="538"/>
      <c r="L134" s="538"/>
      <c r="M134" s="538"/>
      <c r="N134" s="538"/>
      <c r="O134" s="538"/>
      <c r="P134" s="64"/>
      <c r="Q134" s="538"/>
      <c r="R134" s="538"/>
      <c r="S134" s="538"/>
      <c r="T134" s="64"/>
      <c r="U134" s="132"/>
      <c r="V134" s="597"/>
      <c r="W134" s="576"/>
      <c r="X134" s="559"/>
      <c r="Y134" s="559"/>
      <c r="Z134" s="501"/>
      <c r="AA134" s="738"/>
      <c r="AC134" s="738"/>
      <c r="AE134" s="740"/>
    </row>
    <row r="135" spans="1:31">
      <c r="A135" s="6">
        <f>MAX(A$118:A134)+1</f>
        <v>61</v>
      </c>
      <c r="B135" s="58"/>
      <c r="C135" s="10" t="s">
        <v>270</v>
      </c>
      <c r="D135" s="58"/>
      <c r="E135" s="522" t="s">
        <v>262</v>
      </c>
      <c r="F135" s="58"/>
      <c r="G135" s="536">
        <v>1651.1379999999999</v>
      </c>
      <c r="H135" s="58"/>
      <c r="I135" s="547">
        <v>18.292507159365996</v>
      </c>
      <c r="J135" s="538">
        <f>G135*I135/100</f>
        <v>302.03453686101255</v>
      </c>
      <c r="K135" s="538"/>
      <c r="L135" s="538">
        <v>0</v>
      </c>
      <c r="M135" s="538">
        <v>0</v>
      </c>
      <c r="N135" s="538">
        <v>0</v>
      </c>
      <c r="O135" s="538">
        <f>J135-L135-M135-N135</f>
        <v>302.03453686101255</v>
      </c>
      <c r="P135" s="564"/>
      <c r="Q135" s="538">
        <v>0</v>
      </c>
      <c r="R135" s="538">
        <v>0</v>
      </c>
      <c r="S135" s="538">
        <v>0</v>
      </c>
      <c r="T135" s="564"/>
      <c r="U135" s="132">
        <f>SUM(O135:S135)</f>
        <v>302.03453686101255</v>
      </c>
      <c r="V135" s="565">
        <f>U135/G135*100</f>
        <v>18.292507159365996</v>
      </c>
      <c r="W135" s="576">
        <f>U135-J135</f>
        <v>0</v>
      </c>
      <c r="X135" s="559">
        <f>V135/I135-1</f>
        <v>0</v>
      </c>
      <c r="Y135" s="559"/>
      <c r="Z135" s="501"/>
      <c r="AA135" s="738"/>
      <c r="AC135" s="738"/>
      <c r="AE135" s="740"/>
    </row>
    <row r="136" spans="1:31">
      <c r="A136" s="6"/>
      <c r="B136" s="58"/>
      <c r="C136" s="10"/>
      <c r="D136" s="58"/>
      <c r="E136" s="30"/>
      <c r="F136" s="58"/>
      <c r="G136" s="29"/>
      <c r="H136" s="58"/>
      <c r="I136" s="547"/>
      <c r="J136" s="538"/>
      <c r="K136" s="538"/>
      <c r="L136" s="538"/>
      <c r="M136" s="538"/>
      <c r="N136" s="538"/>
      <c r="O136" s="538"/>
      <c r="P136" s="564"/>
      <c r="Q136" s="538"/>
      <c r="R136" s="538"/>
      <c r="S136" s="538"/>
      <c r="T136" s="564"/>
      <c r="U136" s="132"/>
      <c r="V136" s="565"/>
      <c r="W136" s="576"/>
      <c r="X136" s="599"/>
      <c r="Y136" s="599"/>
      <c r="Z136" s="501"/>
      <c r="AA136" s="738"/>
      <c r="AC136" s="738"/>
    </row>
    <row r="137" spans="1:31" ht="12.95" thickBot="1">
      <c r="A137" s="6">
        <f>MAX(A$118:A136)+1</f>
        <v>62</v>
      </c>
      <c r="C137" s="10" t="s">
        <v>286</v>
      </c>
      <c r="E137" s="30"/>
      <c r="F137" s="58"/>
      <c r="G137" s="594">
        <f>G124</f>
        <v>381872.95299999998</v>
      </c>
      <c r="I137" s="586">
        <f>J137/G137*100</f>
        <v>0.66623546912439935</v>
      </c>
      <c r="J137" s="587">
        <f>J126+J128+J133+J135</f>
        <v>2544.1730598787467</v>
      </c>
      <c r="K137" s="534"/>
      <c r="L137" s="571">
        <f>L126+L128+L133+L135</f>
        <v>40.391816945015499</v>
      </c>
      <c r="M137" s="571">
        <f t="shared" ref="M137:N137" si="65">M126+M128+M133+M135</f>
        <v>822.74413908553538</v>
      </c>
      <c r="N137" s="571">
        <f t="shared" si="65"/>
        <v>20.314503846852869</v>
      </c>
      <c r="O137" s="587">
        <f>O126+O128+O133+O135</f>
        <v>1660.7226000013434</v>
      </c>
      <c r="P137" s="534"/>
      <c r="Q137" s="571">
        <f>Q126+Q128+Q133+Q135</f>
        <v>33.778789386542314</v>
      </c>
      <c r="R137" s="571">
        <f t="shared" ref="R137:S137" si="66">R126+R128+R133+R135</f>
        <v>901.66243199100404</v>
      </c>
      <c r="S137" s="571">
        <f t="shared" si="66"/>
        <v>18.144015957940407</v>
      </c>
      <c r="T137" s="534"/>
      <c r="U137" s="587">
        <f>U126+U128+U133+U135</f>
        <v>2614.3078373368298</v>
      </c>
      <c r="V137" s="590">
        <f t="shared" ref="V137" si="67">U137/G137*100</f>
        <v>0.68460146674405353</v>
      </c>
      <c r="W137" s="601">
        <f>W126+W128+W133+W135</f>
        <v>70.134777458083022</v>
      </c>
      <c r="X137" s="602">
        <f>V137/I137-1</f>
        <v>2.7566826551266743E-2</v>
      </c>
      <c r="Y137" s="599"/>
      <c r="Z137" s="501"/>
      <c r="AA137" s="738"/>
      <c r="AC137" s="738"/>
      <c r="AE137" s="740"/>
    </row>
    <row r="138" spans="1:31" ht="12.95" thickTop="1">
      <c r="A138" s="6"/>
      <c r="B138" s="58"/>
      <c r="C138" s="10"/>
      <c r="D138" s="58"/>
      <c r="E138" s="30"/>
      <c r="F138" s="58"/>
      <c r="G138" s="29"/>
      <c r="H138" s="58"/>
      <c r="I138" s="501"/>
      <c r="J138" s="501"/>
      <c r="K138" s="501"/>
      <c r="L138" s="501"/>
      <c r="M138" s="501"/>
      <c r="N138" s="501"/>
      <c r="O138" s="501"/>
      <c r="P138" s="58"/>
      <c r="Q138" s="501"/>
      <c r="R138" s="501"/>
      <c r="S138" s="501"/>
      <c r="T138" s="58"/>
      <c r="U138" s="603"/>
      <c r="V138" s="603"/>
      <c r="W138" s="605"/>
      <c r="X138" s="605"/>
      <c r="Y138" s="605"/>
      <c r="Z138" s="501"/>
    </row>
    <row r="139" spans="1:31">
      <c r="A139" s="6"/>
      <c r="B139" s="58"/>
      <c r="C139" s="9" t="s">
        <v>132</v>
      </c>
      <c r="D139" s="58"/>
      <c r="E139" s="30"/>
      <c r="F139" s="58"/>
      <c r="G139" s="536"/>
      <c r="H139" s="58"/>
      <c r="I139" s="501"/>
      <c r="J139" s="501"/>
      <c r="K139" s="501"/>
      <c r="L139" s="501"/>
      <c r="M139" s="501"/>
      <c r="N139" s="501"/>
      <c r="O139" s="501"/>
      <c r="P139" s="58"/>
      <c r="Q139" s="501"/>
      <c r="R139" s="501"/>
      <c r="S139" s="501"/>
      <c r="T139" s="58"/>
      <c r="U139" s="603"/>
      <c r="V139" s="603"/>
      <c r="W139" s="605"/>
      <c r="X139" s="605"/>
      <c r="Y139" s="605"/>
      <c r="Z139" s="501"/>
    </row>
    <row r="140" spans="1:31">
      <c r="A140" s="6">
        <f>MAX(A$118:A139)+1</f>
        <v>63</v>
      </c>
      <c r="B140" s="58"/>
      <c r="C140" s="10" t="s">
        <v>258</v>
      </c>
      <c r="D140" s="58"/>
      <c r="E140" s="30" t="s">
        <v>259</v>
      </c>
      <c r="F140" s="58"/>
      <c r="G140" s="536">
        <v>48</v>
      </c>
      <c r="H140" s="58"/>
      <c r="I140" s="29">
        <v>0</v>
      </c>
      <c r="J140" s="538">
        <v>0</v>
      </c>
      <c r="K140" s="538"/>
      <c r="L140" s="538">
        <v>0</v>
      </c>
      <c r="M140" s="538">
        <v>0</v>
      </c>
      <c r="N140" s="538">
        <v>0</v>
      </c>
      <c r="O140" s="538">
        <v>0</v>
      </c>
      <c r="P140" s="564"/>
      <c r="Q140" s="538">
        <v>0</v>
      </c>
      <c r="R140" s="538">
        <v>0</v>
      </c>
      <c r="S140" s="538">
        <v>0</v>
      </c>
      <c r="T140" s="564"/>
      <c r="U140" s="132">
        <v>0</v>
      </c>
      <c r="V140" s="132">
        <v>0</v>
      </c>
      <c r="W140" s="576">
        <v>0</v>
      </c>
      <c r="X140" s="599"/>
      <c r="Y140" s="599"/>
      <c r="Z140" s="501"/>
      <c r="AA140" s="738"/>
      <c r="AE140" s="739"/>
    </row>
    <row r="141" spans="1:31">
      <c r="A141" s="6">
        <f>MAX(A$118:A140)+1</f>
        <v>64</v>
      </c>
      <c r="C141" s="521" t="s">
        <v>280</v>
      </c>
      <c r="E141" s="30" t="s">
        <v>281</v>
      </c>
      <c r="G141" s="536">
        <v>111124.284</v>
      </c>
      <c r="I141" s="29">
        <v>0</v>
      </c>
      <c r="J141" s="538">
        <f>G141*I141/100</f>
        <v>0</v>
      </c>
      <c r="K141" s="538"/>
      <c r="L141" s="538">
        <v>0</v>
      </c>
      <c r="M141" s="538">
        <v>0</v>
      </c>
      <c r="N141" s="538">
        <v>0</v>
      </c>
      <c r="O141" s="538">
        <f>I141-J141-L141-M141-N141</f>
        <v>0</v>
      </c>
      <c r="P141" s="64"/>
      <c r="Q141" s="29">
        <v>0</v>
      </c>
      <c r="R141" s="29">
        <v>0</v>
      </c>
      <c r="S141" s="29">
        <v>0</v>
      </c>
      <c r="T141" s="64"/>
      <c r="U141" s="29">
        <f>SUM(O141:S141)</f>
        <v>0</v>
      </c>
      <c r="V141" s="29">
        <v>0</v>
      </c>
      <c r="W141" s="29">
        <v>0</v>
      </c>
      <c r="X141" s="29"/>
      <c r="Y141" s="599"/>
      <c r="Z141" s="501"/>
    </row>
    <row r="142" spans="1:31">
      <c r="A142" s="6">
        <f>MAX(A$118:A141)+1</f>
        <v>65</v>
      </c>
      <c r="B142" s="58"/>
      <c r="C142" s="10" t="s">
        <v>266</v>
      </c>
      <c r="D142" s="58"/>
      <c r="E142" s="30" t="s">
        <v>262</v>
      </c>
      <c r="F142" s="58"/>
      <c r="G142" s="553">
        <v>824970.7141199999</v>
      </c>
      <c r="H142" s="536"/>
      <c r="I142" s="411">
        <f t="shared" ref="I142:W142" si="68">I141</f>
        <v>0</v>
      </c>
      <c r="J142" s="411">
        <f t="shared" si="68"/>
        <v>0</v>
      </c>
      <c r="K142" s="29"/>
      <c r="L142" s="411">
        <f t="shared" si="68"/>
        <v>0</v>
      </c>
      <c r="M142" s="411">
        <f t="shared" si="68"/>
        <v>0</v>
      </c>
      <c r="N142" s="411">
        <f t="shared" si="68"/>
        <v>0</v>
      </c>
      <c r="O142" s="411">
        <f t="shared" si="68"/>
        <v>0</v>
      </c>
      <c r="P142" s="29"/>
      <c r="Q142" s="411">
        <f t="shared" si="68"/>
        <v>0</v>
      </c>
      <c r="R142" s="411">
        <f t="shared" si="68"/>
        <v>0</v>
      </c>
      <c r="S142" s="411">
        <f t="shared" si="68"/>
        <v>0</v>
      </c>
      <c r="T142" s="29"/>
      <c r="U142" s="411">
        <f t="shared" si="68"/>
        <v>0</v>
      </c>
      <c r="V142" s="411">
        <f t="shared" si="68"/>
        <v>0</v>
      </c>
      <c r="W142" s="411">
        <f t="shared" si="68"/>
        <v>0</v>
      </c>
      <c r="X142" s="411"/>
      <c r="Y142" s="599"/>
      <c r="Z142" s="501"/>
    </row>
    <row r="143" spans="1:31">
      <c r="A143" s="6"/>
      <c r="G143" s="567"/>
      <c r="H143" s="567"/>
      <c r="I143" s="534"/>
      <c r="J143" s="538"/>
      <c r="K143" s="538"/>
      <c r="L143" s="538"/>
      <c r="M143" s="538"/>
      <c r="N143" s="538"/>
      <c r="O143" s="538"/>
      <c r="P143" s="64"/>
      <c r="Q143" s="538"/>
      <c r="R143" s="538"/>
      <c r="S143" s="538"/>
      <c r="T143" s="64"/>
      <c r="U143" s="29"/>
      <c r="V143" s="130"/>
      <c r="W143" s="576"/>
      <c r="X143" s="576"/>
      <c r="Y143" s="576"/>
      <c r="Z143" s="501"/>
    </row>
    <row r="144" spans="1:31">
      <c r="A144" s="6">
        <f>MAX(A$118:A143)+1</f>
        <v>66</v>
      </c>
      <c r="C144" s="10" t="s">
        <v>287</v>
      </c>
      <c r="E144" s="30" t="s">
        <v>262</v>
      </c>
      <c r="G144" s="536">
        <v>2835</v>
      </c>
      <c r="H144" s="567"/>
      <c r="I144" s="547">
        <v>20.749300000000002</v>
      </c>
      <c r="J144" s="538">
        <f>G144*I144/100</f>
        <v>588.24265500000001</v>
      </c>
      <c r="K144" s="538"/>
      <c r="L144" s="538">
        <v>0</v>
      </c>
      <c r="M144" s="536">
        <v>588.24265500000001</v>
      </c>
      <c r="N144" s="538">
        <v>0</v>
      </c>
      <c r="O144" s="538">
        <f>J144-L144-M144-N144</f>
        <v>0</v>
      </c>
      <c r="P144" s="64"/>
      <c r="Q144" s="29">
        <v>0</v>
      </c>
      <c r="R144" s="536">
        <v>717.82949090787918</v>
      </c>
      <c r="S144" s="29">
        <v>0</v>
      </c>
      <c r="T144" s="64"/>
      <c r="U144" s="29">
        <f>SUM(O144:S144)</f>
        <v>717.82949090787918</v>
      </c>
      <c r="V144" s="607">
        <f>IFERROR(U144/G144*100,"-")</f>
        <v>25.320264229554823</v>
      </c>
      <c r="W144" s="576">
        <f>U144-J144</f>
        <v>129.58683590787916</v>
      </c>
      <c r="X144" s="599">
        <f>IFERROR(V144/I144-1,"-")</f>
        <v>0.22029486438360912</v>
      </c>
      <c r="Y144" s="599"/>
      <c r="Z144" s="501"/>
      <c r="AA144" s="738"/>
      <c r="AC144" s="738"/>
      <c r="AE144" s="740"/>
    </row>
    <row r="145" spans="1:31">
      <c r="A145" s="6"/>
      <c r="B145" s="581"/>
      <c r="C145" s="10"/>
      <c r="D145" s="581"/>
      <c r="E145" s="581"/>
      <c r="F145" s="581"/>
      <c r="G145" s="611"/>
      <c r="H145" s="611"/>
      <c r="I145" s="534"/>
      <c r="J145" s="538"/>
      <c r="K145" s="538"/>
      <c r="L145" s="538"/>
      <c r="M145" s="538"/>
      <c r="N145" s="538"/>
      <c r="O145" s="538"/>
      <c r="P145" s="582"/>
      <c r="Q145" s="576"/>
      <c r="R145" s="538"/>
      <c r="S145" s="538"/>
      <c r="T145" s="582"/>
      <c r="U145" s="612"/>
      <c r="V145" s="613"/>
      <c r="W145" s="576"/>
      <c r="X145" s="599"/>
      <c r="Y145" s="599"/>
      <c r="Z145" s="501"/>
    </row>
    <row r="146" spans="1:31" ht="12.95" thickBot="1">
      <c r="A146" s="6">
        <f>MAX(A$118:A145)+1</f>
        <v>67</v>
      </c>
      <c r="B146" s="57"/>
      <c r="C146" s="10" t="s">
        <v>288</v>
      </c>
      <c r="D146" s="57"/>
      <c r="E146" s="3"/>
      <c r="F146" s="57"/>
      <c r="G146" s="588">
        <v>824970.7141199999</v>
      </c>
      <c r="H146" s="614"/>
      <c r="I146" s="570">
        <f>J146/G146*100</f>
        <v>7.1304671175810297E-2</v>
      </c>
      <c r="J146" s="571">
        <f>J142+J144</f>
        <v>588.24265500000001</v>
      </c>
      <c r="K146" s="538"/>
      <c r="L146" s="587">
        <f>L142+L144</f>
        <v>0</v>
      </c>
      <c r="M146" s="571">
        <f>M142+M144</f>
        <v>588.24265500000001</v>
      </c>
      <c r="N146" s="587">
        <f t="shared" ref="N146" si="69">N142+N144</f>
        <v>0</v>
      </c>
      <c r="O146" s="587">
        <f>O142+O144</f>
        <v>0</v>
      </c>
      <c r="P146" s="538"/>
      <c r="Q146" s="587">
        <f>Q142+Q144</f>
        <v>0</v>
      </c>
      <c r="R146" s="571">
        <f>R142+R144</f>
        <v>717.82949090787918</v>
      </c>
      <c r="S146" s="587">
        <f t="shared" ref="S146" si="70">S142+S144</f>
        <v>0</v>
      </c>
      <c r="T146" s="583"/>
      <c r="U146" s="439">
        <f>U142+U144</f>
        <v>717.82949090787918</v>
      </c>
      <c r="V146" s="590">
        <f t="shared" ref="V146" si="71">U146/G146*100</f>
        <v>8.7012724042403289E-2</v>
      </c>
      <c r="W146" s="601">
        <f>W142+W144</f>
        <v>129.58683590787916</v>
      </c>
      <c r="X146" s="615">
        <f>V146/I146-1</f>
        <v>0.22029486438360935</v>
      </c>
      <c r="Y146" s="599"/>
      <c r="Z146" s="501"/>
      <c r="AA146" s="738"/>
      <c r="AC146" s="738"/>
      <c r="AE146" s="740"/>
    </row>
    <row r="147" spans="1:31" ht="12.95" thickTop="1">
      <c r="A147" s="6"/>
      <c r="B147" s="58"/>
      <c r="C147" s="10"/>
      <c r="D147" s="58"/>
      <c r="E147" s="30"/>
      <c r="F147" s="58"/>
      <c r="G147" s="29"/>
      <c r="H147" s="58"/>
      <c r="I147" s="58"/>
      <c r="J147" s="501"/>
      <c r="K147" s="501"/>
      <c r="L147" s="501"/>
      <c r="M147" s="501"/>
      <c r="N147" s="501"/>
      <c r="O147" s="501"/>
      <c r="P147" s="58"/>
      <c r="Q147" s="501"/>
      <c r="R147" s="501"/>
      <c r="S147" s="501"/>
      <c r="T147" s="58"/>
      <c r="U147" s="58"/>
      <c r="V147" s="58"/>
      <c r="W147" s="501"/>
      <c r="X147" s="522"/>
      <c r="Y147" s="501"/>
      <c r="Z147" s="501"/>
    </row>
    <row r="148" spans="1:31">
      <c r="J148" s="501"/>
      <c r="K148" s="501"/>
      <c r="L148" s="2"/>
      <c r="M148" s="2"/>
      <c r="N148" s="501"/>
      <c r="O148" s="501"/>
      <c r="Q148" s="501"/>
      <c r="R148" s="501"/>
      <c r="S148" s="501"/>
      <c r="W148" s="501"/>
      <c r="X148" s="522"/>
      <c r="Y148" s="501"/>
      <c r="Z148" s="501"/>
    </row>
    <row r="149" spans="1:31">
      <c r="J149" s="501"/>
      <c r="K149" s="501"/>
      <c r="L149" s="2"/>
      <c r="M149" s="2"/>
      <c r="N149" s="501"/>
      <c r="O149" s="501"/>
      <c r="Q149" s="501"/>
      <c r="R149" s="501"/>
      <c r="S149" s="501"/>
      <c r="V149" s="64"/>
      <c r="W149" s="538"/>
      <c r="X149" s="522"/>
      <c r="Y149" s="501"/>
      <c r="Z149" s="501"/>
    </row>
    <row r="150" spans="1:31">
      <c r="J150" s="501"/>
      <c r="K150" s="501"/>
      <c r="L150" s="2"/>
      <c r="M150" s="2"/>
      <c r="N150" s="501"/>
      <c r="O150" s="501"/>
      <c r="Q150" s="501"/>
      <c r="R150" s="501"/>
      <c r="S150" s="501"/>
      <c r="W150" s="501"/>
      <c r="X150" s="522"/>
      <c r="Y150" s="501"/>
      <c r="Z150" s="501"/>
    </row>
    <row r="151" spans="1:31">
      <c r="A151" s="1156" t="s">
        <v>279</v>
      </c>
      <c r="B151" s="1156"/>
      <c r="C151" s="1156"/>
      <c r="D151" s="1156"/>
      <c r="E151" s="1156"/>
      <c r="F151" s="1156"/>
      <c r="G151" s="1156"/>
      <c r="H151" s="1156"/>
      <c r="I151" s="1156"/>
      <c r="J151" s="1156"/>
      <c r="K151" s="1156"/>
      <c r="L151" s="1156"/>
      <c r="M151" s="1156"/>
      <c r="N151" s="1156"/>
      <c r="O151" s="1156"/>
      <c r="P151" s="1156"/>
      <c r="Q151" s="1156"/>
      <c r="R151" s="1156"/>
      <c r="S151" s="1156"/>
      <c r="T151" s="1156"/>
      <c r="U151" s="1156"/>
      <c r="V151" s="1156"/>
      <c r="W151" s="1156"/>
      <c r="X151" s="1156"/>
      <c r="Y151" s="779"/>
      <c r="Z151" s="501"/>
    </row>
    <row r="152" spans="1:31">
      <c r="A152" s="1156" t="s">
        <v>499</v>
      </c>
      <c r="B152" s="1156"/>
      <c r="C152" s="1156"/>
      <c r="D152" s="1156"/>
      <c r="E152" s="1156"/>
      <c r="F152" s="1156"/>
      <c r="G152" s="1156"/>
      <c r="H152" s="1156"/>
      <c r="I152" s="1156"/>
      <c r="J152" s="1156"/>
      <c r="K152" s="1156"/>
      <c r="L152" s="1156"/>
      <c r="M152" s="1156"/>
      <c r="N152" s="1156"/>
      <c r="O152" s="1156"/>
      <c r="P152" s="1156"/>
      <c r="Q152" s="1156"/>
      <c r="R152" s="1156"/>
      <c r="S152" s="1156"/>
      <c r="T152" s="1156"/>
      <c r="U152" s="1156"/>
      <c r="V152" s="1156"/>
      <c r="W152" s="1156"/>
      <c r="X152" s="1156"/>
      <c r="Y152" s="713"/>
      <c r="Z152" s="713"/>
    </row>
    <row r="153" spans="1:31">
      <c r="A153" s="57"/>
      <c r="B153" s="57"/>
      <c r="C153" s="57"/>
      <c r="D153" s="57"/>
      <c r="E153" s="3"/>
      <c r="F153" s="57"/>
      <c r="G153" s="3"/>
      <c r="H153" s="57"/>
      <c r="I153" s="57"/>
      <c r="J153" s="501"/>
      <c r="K153" s="501"/>
      <c r="L153" s="4"/>
      <c r="M153" s="4"/>
      <c r="N153" s="501"/>
      <c r="O153" s="501"/>
      <c r="P153" s="57"/>
      <c r="Q153" s="501"/>
      <c r="R153" s="501"/>
      <c r="S153" s="501"/>
      <c r="T153" s="57"/>
      <c r="U153" s="57"/>
      <c r="V153" s="57"/>
      <c r="W153" s="501"/>
      <c r="X153" s="522"/>
      <c r="Y153" s="501"/>
      <c r="Z153" s="501"/>
    </row>
    <row r="154" spans="1:31">
      <c r="A154" s="3"/>
      <c r="B154" s="3"/>
      <c r="C154" s="3"/>
      <c r="D154" s="3"/>
      <c r="E154" s="58"/>
      <c r="F154" s="58"/>
      <c r="G154" s="1152" t="s">
        <v>231</v>
      </c>
      <c r="H154" s="1152"/>
      <c r="I154" s="1152"/>
      <c r="J154" s="1152"/>
      <c r="K154" s="58"/>
      <c r="L154" s="1152" t="s">
        <v>94</v>
      </c>
      <c r="M154" s="1152"/>
      <c r="N154" s="1152"/>
      <c r="O154" s="58"/>
      <c r="P154" s="3"/>
      <c r="Q154" s="1152" t="s">
        <v>95</v>
      </c>
      <c r="R154" s="1152"/>
      <c r="S154" s="1152"/>
      <c r="T154" s="3"/>
      <c r="U154" s="1152" t="s">
        <v>232</v>
      </c>
      <c r="V154" s="1152"/>
      <c r="W154" s="1152"/>
      <c r="X154" s="1152"/>
      <c r="Y154" s="6"/>
      <c r="Z154" s="501"/>
    </row>
    <row r="155" spans="1:31" ht="37.5">
      <c r="A155" s="5" t="s">
        <v>56</v>
      </c>
      <c r="B155" s="5"/>
      <c r="C155" s="5"/>
      <c r="D155" s="5"/>
      <c r="E155" s="6" t="s">
        <v>233</v>
      </c>
      <c r="F155" s="5"/>
      <c r="G155" s="17" t="s">
        <v>234</v>
      </c>
      <c r="H155" s="5"/>
      <c r="I155" s="17" t="s">
        <v>235</v>
      </c>
      <c r="J155" s="5" t="s">
        <v>101</v>
      </c>
      <c r="K155" s="5"/>
      <c r="L155" s="5" t="s">
        <v>491</v>
      </c>
      <c r="M155" s="5" t="s">
        <v>492</v>
      </c>
      <c r="N155" s="5" t="s">
        <v>493</v>
      </c>
      <c r="O155" s="5" t="s">
        <v>494</v>
      </c>
      <c r="P155" s="5"/>
      <c r="Q155" s="5" t="s">
        <v>491</v>
      </c>
      <c r="R155" s="5" t="s">
        <v>492</v>
      </c>
      <c r="S155" s="5" t="s">
        <v>493</v>
      </c>
      <c r="T155" s="5"/>
      <c r="U155" s="17" t="s">
        <v>113</v>
      </c>
      <c r="V155" s="17" t="s">
        <v>242</v>
      </c>
      <c r="W155" s="17" t="s">
        <v>243</v>
      </c>
      <c r="X155" s="5" t="s">
        <v>244</v>
      </c>
      <c r="Y155" s="5"/>
      <c r="Z155" s="501"/>
    </row>
    <row r="156" spans="1:31" ht="14.45">
      <c r="A156" s="237" t="s">
        <v>57</v>
      </c>
      <c r="B156" s="58"/>
      <c r="C156" s="59" t="s">
        <v>194</v>
      </c>
      <c r="D156" s="58"/>
      <c r="E156" s="237" t="s">
        <v>245</v>
      </c>
      <c r="F156" s="58"/>
      <c r="G156" s="237" t="s">
        <v>246</v>
      </c>
      <c r="H156" s="58"/>
      <c r="I156" s="237" t="s">
        <v>247</v>
      </c>
      <c r="J156" s="237" t="s">
        <v>248</v>
      </c>
      <c r="K156" s="6"/>
      <c r="L156" s="237" t="s">
        <v>248</v>
      </c>
      <c r="M156" s="237" t="s">
        <v>248</v>
      </c>
      <c r="N156" s="237" t="s">
        <v>248</v>
      </c>
      <c r="O156" s="237" t="s">
        <v>248</v>
      </c>
      <c r="P156" s="58"/>
      <c r="Q156" s="237" t="s">
        <v>248</v>
      </c>
      <c r="R156" s="237" t="s">
        <v>248</v>
      </c>
      <c r="S156" s="237" t="s">
        <v>248</v>
      </c>
      <c r="T156" s="58"/>
      <c r="U156" s="237" t="s">
        <v>248</v>
      </c>
      <c r="V156" s="237" t="s">
        <v>247</v>
      </c>
      <c r="W156" s="237" t="s">
        <v>248</v>
      </c>
      <c r="X156" s="237" t="s">
        <v>249</v>
      </c>
      <c r="Y156" s="6"/>
      <c r="Z156" s="501"/>
    </row>
    <row r="157" spans="1:31">
      <c r="A157" s="6"/>
      <c r="B157" s="58"/>
      <c r="C157" s="58"/>
      <c r="D157" s="58"/>
      <c r="E157" s="6"/>
      <c r="F157" s="58"/>
      <c r="G157" s="6" t="s">
        <v>9</v>
      </c>
      <c r="H157" s="6"/>
      <c r="I157" s="6" t="s">
        <v>10</v>
      </c>
      <c r="J157" s="6" t="s">
        <v>58</v>
      </c>
      <c r="K157" s="6"/>
      <c r="L157" s="123" t="s">
        <v>12</v>
      </c>
      <c r="M157" s="123" t="s">
        <v>13</v>
      </c>
      <c r="N157" s="6" t="s">
        <v>115</v>
      </c>
      <c r="O157" s="6" t="s">
        <v>495</v>
      </c>
      <c r="P157" s="6"/>
      <c r="Q157" s="6" t="s">
        <v>210</v>
      </c>
      <c r="R157" s="6" t="s">
        <v>118</v>
      </c>
      <c r="S157" s="6" t="s">
        <v>119</v>
      </c>
      <c r="T157" s="6"/>
      <c r="U157" s="6" t="s">
        <v>496</v>
      </c>
      <c r="V157" s="6" t="s">
        <v>121</v>
      </c>
      <c r="W157" s="6" t="s">
        <v>497</v>
      </c>
      <c r="X157" s="6" t="s">
        <v>498</v>
      </c>
      <c r="Y157" s="501"/>
      <c r="Z157" s="501"/>
    </row>
    <row r="158" spans="1:31">
      <c r="A158" s="3"/>
      <c r="B158" s="3"/>
      <c r="C158" s="3"/>
      <c r="D158" s="3"/>
      <c r="E158" s="57"/>
      <c r="F158" s="3"/>
      <c r="G158" s="614"/>
      <c r="H158" s="616"/>
      <c r="I158" s="534"/>
      <c r="J158" s="501"/>
      <c r="K158" s="501"/>
      <c r="L158" s="501"/>
      <c r="M158" s="501"/>
      <c r="N158" s="501"/>
      <c r="O158" s="501"/>
      <c r="P158" s="3"/>
      <c r="Q158" s="501"/>
      <c r="R158" s="501"/>
      <c r="S158" s="501"/>
      <c r="T158" s="3"/>
      <c r="U158" s="3"/>
      <c r="V158" s="617"/>
      <c r="W158" s="501"/>
      <c r="X158" s="522"/>
      <c r="Y158" s="501"/>
      <c r="Z158" s="501"/>
    </row>
    <row r="159" spans="1:31">
      <c r="A159" s="5"/>
      <c r="B159" s="5"/>
      <c r="C159" s="9" t="s">
        <v>133</v>
      </c>
      <c r="D159" s="5"/>
      <c r="E159" s="6"/>
      <c r="F159" s="5"/>
      <c r="G159" s="17"/>
      <c r="H159" s="5"/>
      <c r="I159" s="501"/>
      <c r="J159" s="538"/>
      <c r="K159" s="538"/>
      <c r="L159" s="538"/>
      <c r="M159" s="538"/>
      <c r="N159" s="538"/>
      <c r="O159" s="538"/>
      <c r="P159" s="5"/>
      <c r="Q159" s="501"/>
      <c r="R159" s="501"/>
      <c r="S159" s="501"/>
      <c r="T159" s="5"/>
      <c r="U159" s="5"/>
      <c r="V159" s="5"/>
      <c r="W159" s="501"/>
      <c r="X159" s="522"/>
      <c r="Y159" s="501"/>
      <c r="Z159" s="501"/>
    </row>
    <row r="160" spans="1:31">
      <c r="A160" s="6">
        <v>68</v>
      </c>
      <c r="B160" s="58"/>
      <c r="C160" s="10" t="s">
        <v>258</v>
      </c>
      <c r="D160" s="58"/>
      <c r="E160" s="30" t="s">
        <v>259</v>
      </c>
      <c r="F160" s="58"/>
      <c r="G160" s="29">
        <v>492</v>
      </c>
      <c r="H160" s="58"/>
      <c r="I160" s="29">
        <v>0</v>
      </c>
      <c r="J160" s="538">
        <v>0</v>
      </c>
      <c r="K160" s="538"/>
      <c r="L160" s="538">
        <v>0</v>
      </c>
      <c r="M160" s="538">
        <v>0</v>
      </c>
      <c r="N160" s="538">
        <v>0</v>
      </c>
      <c r="O160" s="538">
        <v>0</v>
      </c>
      <c r="P160" s="564"/>
      <c r="Q160" s="538">
        <v>0</v>
      </c>
      <c r="R160" s="538">
        <v>0</v>
      </c>
      <c r="S160" s="538">
        <v>0</v>
      </c>
      <c r="T160" s="564"/>
      <c r="U160" s="564">
        <v>0</v>
      </c>
      <c r="V160" s="564">
        <v>0</v>
      </c>
      <c r="W160" s="538">
        <v>0</v>
      </c>
      <c r="X160" s="784"/>
      <c r="Y160" s="541"/>
      <c r="Z160" s="501"/>
      <c r="AA160" s="738"/>
      <c r="AE160" s="739"/>
    </row>
    <row r="161" spans="1:31">
      <c r="A161" s="6"/>
      <c r="B161" s="58"/>
      <c r="C161" s="10" t="s">
        <v>289</v>
      </c>
      <c r="D161" s="58"/>
      <c r="E161" s="6"/>
      <c r="F161" s="58"/>
      <c r="G161" s="6"/>
      <c r="H161" s="58"/>
      <c r="I161" s="501"/>
      <c r="J161" s="538"/>
      <c r="K161" s="538"/>
      <c r="L161" s="538"/>
      <c r="M161" s="538"/>
      <c r="N161" s="538"/>
      <c r="O161" s="538"/>
      <c r="P161" s="58"/>
      <c r="Q161" s="538"/>
      <c r="R161" s="538"/>
      <c r="S161" s="538"/>
      <c r="T161" s="564"/>
      <c r="U161" s="564"/>
      <c r="V161" s="564"/>
      <c r="W161" s="538"/>
      <c r="X161" s="782"/>
      <c r="Y161" s="541"/>
      <c r="Z161" s="501"/>
    </row>
    <row r="162" spans="1:31">
      <c r="A162" s="6"/>
      <c r="B162" s="58"/>
      <c r="C162" s="521" t="s">
        <v>260</v>
      </c>
      <c r="D162" s="58"/>
      <c r="E162" s="591"/>
      <c r="F162" s="58"/>
      <c r="G162" s="618"/>
      <c r="H162" s="58"/>
      <c r="I162" s="501"/>
      <c r="J162" s="538"/>
      <c r="K162" s="538"/>
      <c r="L162" s="538"/>
      <c r="M162" s="538"/>
      <c r="N162" s="538"/>
      <c r="O162" s="538"/>
      <c r="P162" s="58"/>
      <c r="Q162" s="538"/>
      <c r="R162" s="538"/>
      <c r="S162" s="538"/>
      <c r="T162" s="564"/>
      <c r="U162" s="564"/>
      <c r="V162" s="564"/>
      <c r="W162" s="538"/>
      <c r="X162" s="599"/>
      <c r="Y162" s="541"/>
      <c r="Z162" s="501"/>
    </row>
    <row r="163" spans="1:31">
      <c r="A163" s="6">
        <f>MAX(A$159:A162)+1</f>
        <v>69</v>
      </c>
      <c r="B163" s="58"/>
      <c r="C163" s="521" t="s">
        <v>290</v>
      </c>
      <c r="D163" s="58"/>
      <c r="E163" s="30" t="s">
        <v>262</v>
      </c>
      <c r="F163" s="58"/>
      <c r="G163" s="29">
        <v>402.14400000000001</v>
      </c>
      <c r="H163" s="58"/>
      <c r="I163" s="547">
        <v>0.26966326187814804</v>
      </c>
      <c r="J163" s="538">
        <f>G163*I163/100</f>
        <v>1.0844346278472596</v>
      </c>
      <c r="K163" s="538"/>
      <c r="L163" s="29">
        <v>4.2535944758403228E-2</v>
      </c>
      <c r="M163" s="29">
        <v>0.8543162153724142</v>
      </c>
      <c r="N163" s="538">
        <v>0</v>
      </c>
      <c r="O163" s="538">
        <f>J163-L163-M163-N163</f>
        <v>0.18758246771644216</v>
      </c>
      <c r="P163" s="58"/>
      <c r="Q163" s="29">
        <v>3.557187638544717E-2</v>
      </c>
      <c r="R163" s="29">
        <v>0.93626292774108477</v>
      </c>
      <c r="S163" s="538">
        <v>0</v>
      </c>
      <c r="T163" s="564"/>
      <c r="U163" s="564">
        <f>SUM(O163:S163)</f>
        <v>1.1594172718429741</v>
      </c>
      <c r="V163" s="565">
        <f>U163/G163*100</f>
        <v>0.28830898181819797</v>
      </c>
      <c r="W163" s="538">
        <f>U163-J163</f>
        <v>7.4982643995714415E-2</v>
      </c>
      <c r="X163" s="599"/>
      <c r="Y163" s="541"/>
      <c r="Z163" s="501"/>
      <c r="AA163" s="738"/>
      <c r="AC163" s="738"/>
      <c r="AE163" s="740"/>
    </row>
    <row r="164" spans="1:31">
      <c r="A164" s="6">
        <f>MAX(A$159:A163)+1</f>
        <v>70</v>
      </c>
      <c r="B164" s="58"/>
      <c r="C164" s="521" t="s">
        <v>291</v>
      </c>
      <c r="D164" s="58"/>
      <c r="E164" s="30" t="s">
        <v>262</v>
      </c>
      <c r="F164" s="58"/>
      <c r="G164" s="29">
        <v>846.84799999999996</v>
      </c>
      <c r="H164" s="58"/>
      <c r="I164" s="547">
        <v>0.26989745298271917</v>
      </c>
      <c r="J164" s="538">
        <f t="shared" ref="J164:J165" si="72">G164*I164/100</f>
        <v>2.2856211826350976</v>
      </c>
      <c r="K164" s="538"/>
      <c r="L164" s="29">
        <v>8.9573584951570223E-2</v>
      </c>
      <c r="M164" s="29">
        <v>1.7990470536815126</v>
      </c>
      <c r="N164" s="538">
        <v>0</v>
      </c>
      <c r="O164" s="538">
        <f t="shared" ref="O164:O165" si="73">J164-L164-M164-N164</f>
        <v>0.39700054400201457</v>
      </c>
      <c r="P164" s="58"/>
      <c r="Q164" s="29">
        <v>7.490842179235091E-2</v>
      </c>
      <c r="R164" s="29">
        <v>1.971613123238646</v>
      </c>
      <c r="S164" s="538">
        <v>0</v>
      </c>
      <c r="T164" s="564"/>
      <c r="U164" s="564">
        <f t="shared" ref="U164:U165" si="74">SUM(O164:S164)</f>
        <v>2.4435220890330114</v>
      </c>
      <c r="V164" s="565">
        <f>U164/G164*100</f>
        <v>0.2885431729227691</v>
      </c>
      <c r="W164" s="538">
        <f>U164-J164</f>
        <v>0.15790090639791377</v>
      </c>
      <c r="X164" s="599"/>
      <c r="Y164" s="541"/>
      <c r="Z164" s="501"/>
      <c r="AA164" s="738"/>
      <c r="AC164" s="738"/>
      <c r="AE164" s="740"/>
    </row>
    <row r="165" spans="1:31">
      <c r="A165" s="6">
        <f>MAX(A$159:A164)+1</f>
        <v>71</v>
      </c>
      <c r="B165" s="58"/>
      <c r="C165" s="521" t="s">
        <v>292</v>
      </c>
      <c r="D165" s="58"/>
      <c r="E165" s="30" t="s">
        <v>262</v>
      </c>
      <c r="F165" s="58"/>
      <c r="G165" s="29">
        <v>2136.3440000000001</v>
      </c>
      <c r="H165" s="58"/>
      <c r="I165" s="547">
        <v>0.26981835274511567</v>
      </c>
      <c r="J165" s="538">
        <f t="shared" si="72"/>
        <v>5.7642481897691145</v>
      </c>
      <c r="K165" s="538"/>
      <c r="L165" s="29">
        <v>0.22596734097474086</v>
      </c>
      <c r="M165" s="29">
        <v>4.5384571715941675</v>
      </c>
      <c r="N165" s="538">
        <v>0</v>
      </c>
      <c r="O165" s="538">
        <f t="shared" si="73"/>
        <v>0.99982367720020626</v>
      </c>
      <c r="P165" s="58"/>
      <c r="Q165" s="29">
        <v>0.18897152434150891</v>
      </c>
      <c r="R165" s="29">
        <v>4.9737897074234612</v>
      </c>
      <c r="S165" s="538">
        <v>0</v>
      </c>
      <c r="T165" s="564"/>
      <c r="U165" s="564">
        <f t="shared" si="74"/>
        <v>6.1625849089651759</v>
      </c>
      <c r="V165" s="565">
        <f>U165/G165*100</f>
        <v>0.28846407268516566</v>
      </c>
      <c r="W165" s="538">
        <f>U165-J165</f>
        <v>0.3983367191960614</v>
      </c>
      <c r="X165" s="599"/>
      <c r="Y165" s="541"/>
      <c r="Z165" s="501"/>
      <c r="AA165" s="738"/>
      <c r="AC165" s="738"/>
      <c r="AE165" s="740"/>
    </row>
    <row r="166" spans="1:31">
      <c r="A166" s="6">
        <f>MAX(A$159:A165)+1</f>
        <v>72</v>
      </c>
      <c r="B166" s="58"/>
      <c r="C166" s="521" t="s">
        <v>260</v>
      </c>
      <c r="D166" s="58"/>
      <c r="E166" s="30"/>
      <c r="F166" s="58"/>
      <c r="G166" s="411">
        <f>SUM(G163:G165)</f>
        <v>3385.3360000000002</v>
      </c>
      <c r="H166" s="58"/>
      <c r="I166" s="578">
        <f>J166/G166*100</f>
        <v>0.26981971657322851</v>
      </c>
      <c r="J166" s="555">
        <f t="shared" ref="J166" si="75">SUM(J163:J165)</f>
        <v>9.1343040002514719</v>
      </c>
      <c r="K166" s="538"/>
      <c r="L166" s="555">
        <f>SUM(L163:L165)</f>
        <v>0.35807687068471428</v>
      </c>
      <c r="M166" s="555">
        <f t="shared" ref="M166:O166" si="76">SUM(M163:M165)</f>
        <v>7.1918204406480939</v>
      </c>
      <c r="N166" s="555">
        <f t="shared" si="76"/>
        <v>0</v>
      </c>
      <c r="O166" s="555">
        <f t="shared" si="76"/>
        <v>1.584406688918663</v>
      </c>
      <c r="P166" s="58"/>
      <c r="Q166" s="619">
        <f t="shared" ref="Q166:S166" si="77">SUM(Q163:Q165)</f>
        <v>0.29945182251930702</v>
      </c>
      <c r="R166" s="619">
        <f t="shared" si="77"/>
        <v>7.8816657584031917</v>
      </c>
      <c r="S166" s="619">
        <f t="shared" si="77"/>
        <v>0</v>
      </c>
      <c r="T166" s="564"/>
      <c r="U166" s="619">
        <f>SUM(U163:U165)</f>
        <v>9.765524269841162</v>
      </c>
      <c r="V166" s="592">
        <f>U166/G166*100</f>
        <v>0.28846543651327844</v>
      </c>
      <c r="W166" s="555">
        <f>SUM(W163:W165)</f>
        <v>0.63122026958968958</v>
      </c>
      <c r="X166" s="609">
        <f>V166/I166-1</f>
        <v>6.9104364117102968E-2</v>
      </c>
      <c r="Y166" s="541"/>
      <c r="Z166" s="501"/>
      <c r="AA166" s="738"/>
      <c r="AC166" s="738"/>
      <c r="AE166" s="740"/>
    </row>
    <row r="167" spans="1:31">
      <c r="A167" s="6"/>
      <c r="B167" s="58"/>
      <c r="C167" s="10"/>
      <c r="D167" s="58"/>
      <c r="E167" s="30"/>
      <c r="F167" s="58"/>
      <c r="G167" s="29"/>
      <c r="H167" s="58"/>
      <c r="I167" s="501"/>
      <c r="J167" s="538"/>
      <c r="K167" s="538"/>
      <c r="L167" s="538"/>
      <c r="M167" s="538"/>
      <c r="N167" s="538"/>
      <c r="O167" s="538"/>
      <c r="P167" s="58"/>
      <c r="Q167" s="538"/>
      <c r="R167" s="538"/>
      <c r="S167" s="538"/>
      <c r="T167" s="564"/>
      <c r="U167" s="564"/>
      <c r="V167" s="564"/>
      <c r="W167" s="501"/>
      <c r="X167" s="599"/>
      <c r="Y167" s="541"/>
      <c r="Z167" s="501"/>
      <c r="AA167" s="738"/>
      <c r="AE167" s="740"/>
    </row>
    <row r="168" spans="1:31">
      <c r="A168" s="6"/>
      <c r="B168" s="58"/>
      <c r="C168" s="10" t="s">
        <v>293</v>
      </c>
      <c r="D168" s="58"/>
      <c r="E168" s="30"/>
      <c r="F168" s="58"/>
      <c r="G168" s="29"/>
      <c r="H168" s="58"/>
      <c r="I168" s="501"/>
      <c r="J168" s="538"/>
      <c r="K168" s="538"/>
      <c r="L168" s="538"/>
      <c r="M168" s="538"/>
      <c r="N168" s="538"/>
      <c r="O168" s="538"/>
      <c r="P168" s="58"/>
      <c r="Q168" s="538"/>
      <c r="R168" s="538"/>
      <c r="S168" s="538"/>
      <c r="T168" s="564"/>
      <c r="U168" s="564"/>
      <c r="V168" s="564"/>
      <c r="W168" s="501"/>
      <c r="X168" s="599"/>
      <c r="Y168" s="541"/>
      <c r="Z168" s="501"/>
      <c r="AA168" s="738"/>
      <c r="AE168" s="740"/>
    </row>
    <row r="169" spans="1:31">
      <c r="A169" s="6"/>
      <c r="B169" s="58"/>
      <c r="C169" s="521" t="s">
        <v>260</v>
      </c>
      <c r="D169" s="58"/>
      <c r="E169" s="30"/>
      <c r="F169" s="58"/>
      <c r="G169" s="132"/>
      <c r="H169" s="58"/>
      <c r="I169" s="501"/>
      <c r="J169" s="538"/>
      <c r="K169" s="538"/>
      <c r="L169" s="538"/>
      <c r="M169" s="538"/>
      <c r="N169" s="538"/>
      <c r="O169" s="538"/>
      <c r="P169" s="58"/>
      <c r="Q169" s="538"/>
      <c r="R169" s="538"/>
      <c r="S169" s="538"/>
      <c r="T169" s="564"/>
      <c r="U169" s="564"/>
      <c r="V169" s="564"/>
      <c r="W169" s="501"/>
      <c r="X169" s="599"/>
      <c r="Y169" s="541"/>
      <c r="Z169" s="501"/>
      <c r="AA169" s="738"/>
      <c r="AE169" s="740"/>
    </row>
    <row r="170" spans="1:31">
      <c r="A170" s="6">
        <f>MAX(A$159:A169)+1</f>
        <v>73</v>
      </c>
      <c r="B170" s="58"/>
      <c r="C170" s="521" t="s">
        <v>290</v>
      </c>
      <c r="D170" s="58"/>
      <c r="E170" s="30" t="s">
        <v>262</v>
      </c>
      <c r="F170" s="58"/>
      <c r="G170" s="29">
        <v>3705.44</v>
      </c>
      <c r="H170" s="58"/>
      <c r="I170" s="547">
        <v>0.26968876675910014</v>
      </c>
      <c r="J170" s="538">
        <f>G170*I170/100</f>
        <v>9.9931554389984001</v>
      </c>
      <c r="K170" s="538"/>
      <c r="L170" s="29">
        <v>0.39193520516426367</v>
      </c>
      <c r="M170" s="29">
        <v>7.8718505736491373</v>
      </c>
      <c r="N170" s="538">
        <v>0</v>
      </c>
      <c r="O170" s="538">
        <f>J170-L170-M170-N170</f>
        <v>1.7293696601849984</v>
      </c>
      <c r="P170" s="58"/>
      <c r="Q170" s="29">
        <v>0.32776680401470953</v>
      </c>
      <c r="R170" s="29">
        <v>8.6269249397452796</v>
      </c>
      <c r="S170" s="538">
        <v>0</v>
      </c>
      <c r="T170" s="564"/>
      <c r="U170" s="564">
        <f>SUM(O170:S170)</f>
        <v>10.684061403944987</v>
      </c>
      <c r="V170" s="565">
        <f>U170/G170*100</f>
        <v>0.28833448669915013</v>
      </c>
      <c r="W170" s="538">
        <f>U170-J170</f>
        <v>0.6909059649465874</v>
      </c>
      <c r="X170" s="599"/>
      <c r="Y170" s="541"/>
      <c r="Z170" s="501"/>
      <c r="AA170" s="738"/>
      <c r="AC170" s="738"/>
      <c r="AE170" s="740"/>
    </row>
    <row r="171" spans="1:31">
      <c r="A171" s="6">
        <f>MAX(A$159:A170)+1</f>
        <v>74</v>
      </c>
      <c r="B171" s="58"/>
      <c r="C171" s="521" t="s">
        <v>291</v>
      </c>
      <c r="D171" s="58"/>
      <c r="E171" s="30" t="s">
        <v>262</v>
      </c>
      <c r="F171" s="58"/>
      <c r="G171" s="29">
        <v>7201.058</v>
      </c>
      <c r="H171" s="58"/>
      <c r="I171" s="547">
        <v>0.26966964603921939</v>
      </c>
      <c r="J171" s="538">
        <f t="shared" ref="J171:J172" si="78">G171*I171/100</f>
        <v>19.419067619678891</v>
      </c>
      <c r="K171" s="538"/>
      <c r="L171" s="29">
        <v>0.76167692490763905</v>
      </c>
      <c r="M171" s="29">
        <v>15.297954506935939</v>
      </c>
      <c r="N171" s="538">
        <v>0</v>
      </c>
      <c r="O171" s="538">
        <f t="shared" ref="O171:O172" si="79">J171-L171-M171-N171</f>
        <v>3.3594361878353123</v>
      </c>
      <c r="P171" s="58"/>
      <c r="Q171" s="29">
        <v>0.63697368360695528</v>
      </c>
      <c r="R171" s="29">
        <v>16.765346855637187</v>
      </c>
      <c r="S171" s="538">
        <v>0</v>
      </c>
      <c r="T171" s="564"/>
      <c r="U171" s="564">
        <f t="shared" ref="U171:U172" si="80">SUM(O171:S171)</f>
        <v>20.761756727079455</v>
      </c>
      <c r="V171" s="565">
        <f>U171/G171*100</f>
        <v>0.28831536597926932</v>
      </c>
      <c r="W171" s="538">
        <f>U171-J171</f>
        <v>1.3426891074005631</v>
      </c>
      <c r="X171" s="599"/>
      <c r="Y171" s="541"/>
      <c r="Z171" s="501"/>
      <c r="AA171" s="738"/>
      <c r="AC171" s="738"/>
      <c r="AE171" s="740"/>
    </row>
    <row r="172" spans="1:31">
      <c r="A172" s="6">
        <f>MAX(A$159:A171)+1</f>
        <v>75</v>
      </c>
      <c r="C172" s="521" t="s">
        <v>292</v>
      </c>
      <c r="E172" s="30" t="s">
        <v>262</v>
      </c>
      <c r="G172" s="29">
        <v>38354.665000000001</v>
      </c>
      <c r="I172" s="547">
        <v>0.26966926708618133</v>
      </c>
      <c r="J172" s="538">
        <f t="shared" si="78"/>
        <v>103.43074399886011</v>
      </c>
      <c r="K172" s="538"/>
      <c r="L172" s="29">
        <v>4.0568848762310559</v>
      </c>
      <c r="M172" s="29">
        <v>81.480793558219929</v>
      </c>
      <c r="N172" s="538">
        <v>0</v>
      </c>
      <c r="O172" s="538">
        <f t="shared" si="79"/>
        <v>17.893065564409127</v>
      </c>
      <c r="Q172" s="29">
        <v>3.3926837207200333</v>
      </c>
      <c r="R172" s="29">
        <v>89.296498133575312</v>
      </c>
      <c r="S172" s="538">
        <v>0</v>
      </c>
      <c r="T172" s="64"/>
      <c r="U172" s="564">
        <f t="shared" si="80"/>
        <v>110.58224741870447</v>
      </c>
      <c r="V172" s="565">
        <f>U172/G172*100</f>
        <v>0.28831498702623126</v>
      </c>
      <c r="W172" s="538">
        <f>U172-J172</f>
        <v>7.1515034198443601</v>
      </c>
      <c r="X172" s="599"/>
      <c r="Y172" s="541"/>
      <c r="Z172" s="501"/>
      <c r="AA172" s="738"/>
      <c r="AC172" s="738"/>
      <c r="AE172" s="740"/>
    </row>
    <row r="173" spans="1:31">
      <c r="A173" s="6">
        <f>MAX(A$159:A172)+1</f>
        <v>76</v>
      </c>
      <c r="B173" s="58"/>
      <c r="C173" s="521" t="s">
        <v>260</v>
      </c>
      <c r="D173" s="58"/>
      <c r="E173" s="574"/>
      <c r="F173" s="58"/>
      <c r="G173" s="411">
        <f>SUM(G170:G172)</f>
        <v>49261.163</v>
      </c>
      <c r="H173" s="58"/>
      <c r="I173" s="578">
        <f>J173/G173*100</f>
        <v>0.2696707892534681</v>
      </c>
      <c r="J173" s="555">
        <f t="shared" ref="J173" si="81">SUM(J170:J172)</f>
        <v>132.84296705753741</v>
      </c>
      <c r="K173" s="538"/>
      <c r="L173" s="555">
        <f>SUM(L170:L172)</f>
        <v>5.2104970063029583</v>
      </c>
      <c r="M173" s="555">
        <f t="shared" ref="M173:O173" si="82">SUM(M170:M172)</f>
        <v>104.65059863880501</v>
      </c>
      <c r="N173" s="555">
        <f t="shared" si="82"/>
        <v>0</v>
      </c>
      <c r="O173" s="555">
        <f t="shared" si="82"/>
        <v>22.981871412429438</v>
      </c>
      <c r="P173" s="58"/>
      <c r="Q173" s="619">
        <f t="shared" ref="Q173:S173" si="83">SUM(Q170:Q172)</f>
        <v>4.3574242083416976</v>
      </c>
      <c r="R173" s="619">
        <f t="shared" si="83"/>
        <v>114.68876992895778</v>
      </c>
      <c r="S173" s="619">
        <f t="shared" si="83"/>
        <v>0</v>
      </c>
      <c r="T173" s="564"/>
      <c r="U173" s="619">
        <f>SUM(U170:U172)</f>
        <v>142.02806554972892</v>
      </c>
      <c r="V173" s="592">
        <f>U173/G173*100</f>
        <v>0.28831650919351809</v>
      </c>
      <c r="W173" s="555">
        <f>SUM(W170:W172)</f>
        <v>9.1850984921915106</v>
      </c>
      <c r="X173" s="609">
        <f>V173/I173-1</f>
        <v>6.91425274189581E-2</v>
      </c>
      <c r="Y173" s="541"/>
      <c r="Z173" s="501"/>
      <c r="AA173" s="738"/>
      <c r="AC173" s="738"/>
      <c r="AE173" s="740"/>
    </row>
    <row r="174" spans="1:31">
      <c r="A174" s="6"/>
      <c r="B174" s="58"/>
      <c r="C174" s="10"/>
      <c r="D174" s="58"/>
      <c r="E174" s="574"/>
      <c r="F174" s="58"/>
      <c r="G174" s="29"/>
      <c r="H174" s="58"/>
      <c r="I174" s="501"/>
      <c r="J174" s="538"/>
      <c r="K174" s="538"/>
      <c r="L174" s="538"/>
      <c r="M174" s="538"/>
      <c r="N174" s="538"/>
      <c r="O174" s="538"/>
      <c r="P174" s="58"/>
      <c r="Q174" s="538"/>
      <c r="R174" s="538"/>
      <c r="S174" s="538"/>
      <c r="T174" s="564"/>
      <c r="U174" s="564"/>
      <c r="V174" s="564"/>
      <c r="W174" s="501"/>
      <c r="X174" s="599"/>
      <c r="Y174" s="541"/>
      <c r="Z174" s="501"/>
      <c r="AA174" s="738"/>
      <c r="AE174" s="740"/>
    </row>
    <row r="175" spans="1:31">
      <c r="A175" s="6">
        <f>MAX(A$159:A174)+1</f>
        <v>77</v>
      </c>
      <c r="B175" s="58"/>
      <c r="C175" s="10" t="s">
        <v>294</v>
      </c>
      <c r="D175" s="58"/>
      <c r="E175" s="30" t="s">
        <v>262</v>
      </c>
      <c r="F175" s="58"/>
      <c r="G175" s="29">
        <v>576.94793424657541</v>
      </c>
      <c r="H175" s="58"/>
      <c r="I175" s="620">
        <v>-77</v>
      </c>
      <c r="J175" s="538">
        <f>G175*I175/100</f>
        <v>-444.24990936986308</v>
      </c>
      <c r="K175" s="538"/>
      <c r="L175" s="538">
        <v>0</v>
      </c>
      <c r="M175" s="538">
        <v>0</v>
      </c>
      <c r="N175" s="538">
        <v>0</v>
      </c>
      <c r="O175" s="538">
        <f>J175-L175-M175-N175</f>
        <v>-444.24990936986308</v>
      </c>
      <c r="P175" s="58"/>
      <c r="Q175" s="538">
        <v>0</v>
      </c>
      <c r="R175" s="538">
        <v>0</v>
      </c>
      <c r="S175" s="538">
        <v>0</v>
      </c>
      <c r="T175" s="564"/>
      <c r="U175" s="564">
        <f>SUM(O175:S175)</f>
        <v>-444.24990936986308</v>
      </c>
      <c r="V175" s="564">
        <v>0</v>
      </c>
      <c r="W175" s="564">
        <v>0</v>
      </c>
      <c r="X175" s="132"/>
      <c r="Y175" s="622"/>
      <c r="Z175" s="501"/>
      <c r="AA175" s="738"/>
      <c r="AE175" s="740"/>
    </row>
    <row r="176" spans="1:31">
      <c r="A176" s="6"/>
      <c r="B176" s="58"/>
      <c r="C176" s="10"/>
      <c r="D176" s="58"/>
      <c r="E176" s="574"/>
      <c r="F176" s="58"/>
      <c r="G176" s="29"/>
      <c r="H176" s="58"/>
      <c r="I176" s="501"/>
      <c r="J176" s="538"/>
      <c r="K176" s="538"/>
      <c r="L176" s="538"/>
      <c r="M176" s="538"/>
      <c r="N176" s="538"/>
      <c r="O176" s="538"/>
      <c r="P176" s="58"/>
      <c r="Q176" s="538"/>
      <c r="R176" s="538"/>
      <c r="S176" s="538"/>
      <c r="T176" s="564"/>
      <c r="U176" s="564"/>
      <c r="V176" s="564"/>
      <c r="W176" s="501"/>
      <c r="X176" s="599"/>
      <c r="Y176" s="541"/>
      <c r="Z176" s="501"/>
      <c r="AA176" s="738"/>
      <c r="AE176" s="740"/>
    </row>
    <row r="177" spans="1:31">
      <c r="A177" s="6">
        <f>MAX(A$159:A176)+1</f>
        <v>78</v>
      </c>
      <c r="B177" s="58"/>
      <c r="C177" s="10" t="s">
        <v>266</v>
      </c>
      <c r="D177" s="58"/>
      <c r="E177" s="574"/>
      <c r="F177" s="58"/>
      <c r="G177" s="411">
        <f>G173</f>
        <v>49261.163</v>
      </c>
      <c r="H177" s="29"/>
      <c r="I177" s="578">
        <f t="shared" ref="I177:X177" si="84">I173</f>
        <v>0.2696707892534681</v>
      </c>
      <c r="J177" s="411">
        <f t="shared" ref="J177" si="85">J166+J173+J175</f>
        <v>-302.27263831207421</v>
      </c>
      <c r="K177" s="29"/>
      <c r="L177" s="411">
        <f>L166+L173+L175</f>
        <v>5.5685738769876725</v>
      </c>
      <c r="M177" s="411">
        <f t="shared" ref="M177:O177" si="86">M166+M173+M175</f>
        <v>111.84241907945309</v>
      </c>
      <c r="N177" s="411">
        <f t="shared" si="86"/>
        <v>0</v>
      </c>
      <c r="O177" s="411">
        <f t="shared" si="86"/>
        <v>-419.683631268515</v>
      </c>
      <c r="P177" s="29"/>
      <c r="Q177" s="411">
        <f>Q166+Q173+Q175</f>
        <v>4.6568760308610049</v>
      </c>
      <c r="R177" s="411">
        <f t="shared" ref="R177:S177" si="87">R166+R173+R175</f>
        <v>122.57043568736097</v>
      </c>
      <c r="S177" s="411">
        <f t="shared" si="87"/>
        <v>0</v>
      </c>
      <c r="T177" s="29"/>
      <c r="U177" s="411">
        <f>U166+U173+U175</f>
        <v>-292.45631955029296</v>
      </c>
      <c r="V177" s="592">
        <f t="shared" si="84"/>
        <v>0.28831650919351809</v>
      </c>
      <c r="W177" s="411">
        <f>W166+W173+W175</f>
        <v>9.8163187617812007</v>
      </c>
      <c r="X177" s="609">
        <f t="shared" si="84"/>
        <v>6.91425274189581E-2</v>
      </c>
      <c r="Y177" s="541"/>
      <c r="Z177" s="501"/>
      <c r="AA177" s="738"/>
      <c r="AE177" s="740"/>
    </row>
    <row r="178" spans="1:31">
      <c r="A178" s="6"/>
      <c r="B178" s="58"/>
      <c r="C178" s="10"/>
      <c r="D178" s="58"/>
      <c r="E178" s="30"/>
      <c r="F178" s="58"/>
      <c r="G178" s="132"/>
      <c r="H178" s="58"/>
      <c r="I178" s="501"/>
      <c r="J178" s="538"/>
      <c r="K178" s="538"/>
      <c r="L178" s="538"/>
      <c r="M178" s="538"/>
      <c r="N178" s="538"/>
      <c r="O178" s="538"/>
      <c r="P178" s="58"/>
      <c r="Q178" s="538"/>
      <c r="R178" s="538"/>
      <c r="S178" s="538"/>
      <c r="T178" s="564"/>
      <c r="U178" s="564"/>
      <c r="V178" s="564"/>
      <c r="W178" s="501"/>
      <c r="X178" s="599"/>
      <c r="Y178" s="541"/>
      <c r="Z178" s="501"/>
      <c r="AA178" s="738"/>
      <c r="AE178" s="740"/>
    </row>
    <row r="179" spans="1:31">
      <c r="A179" s="6">
        <f>MAX(A$159:A178)+1</f>
        <v>79</v>
      </c>
      <c r="C179" s="12" t="s">
        <v>267</v>
      </c>
      <c r="E179" s="574" t="s">
        <v>262</v>
      </c>
      <c r="G179" s="29">
        <v>52646.499000000003</v>
      </c>
      <c r="H179" s="567"/>
      <c r="I179" s="29">
        <v>0</v>
      </c>
      <c r="J179" s="538">
        <f>G179*I179/100</f>
        <v>0</v>
      </c>
      <c r="K179" s="538"/>
      <c r="L179" s="538">
        <v>0</v>
      </c>
      <c r="M179" s="538">
        <v>0</v>
      </c>
      <c r="N179" s="538">
        <v>0</v>
      </c>
      <c r="O179" s="538">
        <f>J179-L179-M179-N179</f>
        <v>0</v>
      </c>
      <c r="Q179" s="538">
        <v>0</v>
      </c>
      <c r="R179" s="538">
        <v>0</v>
      </c>
      <c r="S179" s="538">
        <v>0</v>
      </c>
      <c r="T179" s="64"/>
      <c r="U179" s="564">
        <v>0</v>
      </c>
      <c r="V179" s="64">
        <f>U179/G179*100</f>
        <v>0</v>
      </c>
      <c r="W179" s="538">
        <f>U179-J179</f>
        <v>0</v>
      </c>
      <c r="X179" s="599"/>
      <c r="Y179" s="599"/>
      <c r="Z179" s="501"/>
      <c r="AA179" s="738"/>
      <c r="AC179" s="738"/>
      <c r="AE179" s="740"/>
    </row>
    <row r="180" spans="1:31">
      <c r="A180" s="6"/>
      <c r="C180" s="12"/>
      <c r="E180" s="574"/>
      <c r="G180" s="29"/>
      <c r="H180" s="567"/>
      <c r="I180" s="29"/>
      <c r="J180" s="538"/>
      <c r="K180" s="538"/>
      <c r="L180" s="538"/>
      <c r="M180" s="538"/>
      <c r="N180" s="538"/>
      <c r="O180" s="538"/>
      <c r="Q180" s="538"/>
      <c r="R180" s="538"/>
      <c r="S180" s="538"/>
      <c r="T180" s="64"/>
      <c r="U180" s="564"/>
      <c r="V180" s="64"/>
      <c r="W180" s="538"/>
      <c r="X180" s="599"/>
      <c r="Y180" s="599"/>
      <c r="Z180" s="501"/>
      <c r="AA180" s="738"/>
      <c r="AC180" s="738"/>
      <c r="AE180" s="740"/>
    </row>
    <row r="181" spans="1:31">
      <c r="A181" s="6"/>
      <c r="C181" s="10" t="s">
        <v>268</v>
      </c>
      <c r="E181" s="574"/>
      <c r="G181" s="29"/>
      <c r="H181" s="567"/>
      <c r="I181" s="29"/>
      <c r="J181" s="538"/>
      <c r="K181" s="538"/>
      <c r="L181" s="538"/>
      <c r="M181" s="538"/>
      <c r="N181" s="538"/>
      <c r="O181" s="538"/>
      <c r="Q181" s="538"/>
      <c r="R181" s="538"/>
      <c r="S181" s="538"/>
      <c r="T181" s="64"/>
      <c r="U181" s="564"/>
      <c r="V181" s="64"/>
      <c r="W181" s="538"/>
      <c r="X181" s="599"/>
      <c r="Y181" s="599"/>
      <c r="Z181" s="501"/>
      <c r="AA181" s="738"/>
      <c r="AC181" s="738"/>
      <c r="AE181" s="740"/>
    </row>
    <row r="182" spans="1:31">
      <c r="A182" s="6">
        <f>MAX(A$159:A181)+1</f>
        <v>80</v>
      </c>
      <c r="B182" s="58"/>
      <c r="C182" s="12" t="s">
        <v>268</v>
      </c>
      <c r="D182" s="58"/>
      <c r="E182" s="574" t="s">
        <v>262</v>
      </c>
      <c r="F182" s="58"/>
      <c r="G182" s="29">
        <v>4391.5119999999997</v>
      </c>
      <c r="H182" s="539"/>
      <c r="I182" s="547">
        <v>3.8514875783817231</v>
      </c>
      <c r="J182" s="538">
        <f>G182*I182/100</f>
        <v>169.13853918314274</v>
      </c>
      <c r="K182" s="538"/>
      <c r="L182" s="538">
        <v>0</v>
      </c>
      <c r="M182" s="538">
        <v>0</v>
      </c>
      <c r="N182" s="538">
        <v>0</v>
      </c>
      <c r="O182" s="538">
        <f t="shared" ref="O182:O183" si="88">J182-L182-M182-N182</f>
        <v>169.13853918314274</v>
      </c>
      <c r="P182" s="58"/>
      <c r="Q182" s="538">
        <v>0</v>
      </c>
      <c r="R182" s="538">
        <v>0</v>
      </c>
      <c r="S182" s="538">
        <v>0</v>
      </c>
      <c r="T182" s="564"/>
      <c r="U182" s="564">
        <f>SUM(O182:S182)</f>
        <v>169.13853918314274</v>
      </c>
      <c r="V182" s="580">
        <f>U182/G182*100</f>
        <v>3.8514875783817222</v>
      </c>
      <c r="W182" s="538">
        <f>U182-J182</f>
        <v>0</v>
      </c>
      <c r="X182" s="599"/>
      <c r="Y182" s="541"/>
      <c r="Z182" s="501"/>
      <c r="AA182" s="738"/>
      <c r="AC182" s="738"/>
      <c r="AE182" s="740"/>
    </row>
    <row r="183" spans="1:31">
      <c r="A183" s="6">
        <f>MAX(A$159:A182)+1</f>
        <v>81</v>
      </c>
      <c r="B183" s="58"/>
      <c r="C183" s="12" t="s">
        <v>269</v>
      </c>
      <c r="D183" s="58"/>
      <c r="E183" s="574" t="s">
        <v>262</v>
      </c>
      <c r="F183" s="58"/>
      <c r="G183" s="29">
        <v>48254.987000000001</v>
      </c>
      <c r="H183" s="539"/>
      <c r="I183" s="547">
        <v>0.37191182322220417</v>
      </c>
      <c r="J183" s="538">
        <f t="shared" ref="J183" si="89">G183*I183/100</f>
        <v>179.46600194733762</v>
      </c>
      <c r="K183" s="538"/>
      <c r="L183" s="538">
        <v>0</v>
      </c>
      <c r="M183" s="538">
        <v>0</v>
      </c>
      <c r="N183" s="538">
        <v>0</v>
      </c>
      <c r="O183" s="538">
        <f t="shared" si="88"/>
        <v>179.46600194733762</v>
      </c>
      <c r="P183" s="58"/>
      <c r="Q183" s="538">
        <v>0</v>
      </c>
      <c r="R183" s="538">
        <v>0</v>
      </c>
      <c r="S183" s="538">
        <v>0</v>
      </c>
      <c r="T183" s="564"/>
      <c r="U183" s="564">
        <f>SUM(O183:S183)</f>
        <v>179.46600194733762</v>
      </c>
      <c r="V183" s="580">
        <f>U183/G183*100</f>
        <v>0.37191182322220417</v>
      </c>
      <c r="W183" s="538">
        <f>U183-J183</f>
        <v>0</v>
      </c>
      <c r="X183" s="599"/>
      <c r="Y183" s="541"/>
      <c r="Z183" s="501"/>
      <c r="AA183" s="738"/>
      <c r="AC183" s="738"/>
      <c r="AE183" s="740"/>
    </row>
    <row r="184" spans="1:31">
      <c r="A184" s="6">
        <f>MAX(A$159:A183)+1</f>
        <v>82</v>
      </c>
      <c r="B184" s="58"/>
      <c r="C184" s="10" t="s">
        <v>268</v>
      </c>
      <c r="D184" s="58"/>
      <c r="E184" s="574"/>
      <c r="F184" s="58"/>
      <c r="G184" s="411">
        <f>SUM(G182:G183)</f>
        <v>52646.499000000003</v>
      </c>
      <c r="H184" s="539"/>
      <c r="I184" s="566">
        <f>J184/G184*100</f>
        <v>0.66216091810868627</v>
      </c>
      <c r="J184" s="555">
        <f t="shared" ref="J184" si="90">SUM(J182:J183)</f>
        <v>348.60454113048036</v>
      </c>
      <c r="K184" s="538"/>
      <c r="L184" s="555">
        <f>SUM(L182:L183)</f>
        <v>0</v>
      </c>
      <c r="M184" s="555">
        <f t="shared" ref="M184:U184" si="91">SUM(M182:M183)</f>
        <v>0</v>
      </c>
      <c r="N184" s="555">
        <f t="shared" si="91"/>
        <v>0</v>
      </c>
      <c r="O184" s="555">
        <f t="shared" si="91"/>
        <v>348.60454113048036</v>
      </c>
      <c r="P184" s="538"/>
      <c r="Q184" s="555">
        <f t="shared" si="91"/>
        <v>0</v>
      </c>
      <c r="R184" s="555">
        <f t="shared" si="91"/>
        <v>0</v>
      </c>
      <c r="S184" s="555">
        <f t="shared" si="91"/>
        <v>0</v>
      </c>
      <c r="T184" s="538"/>
      <c r="U184" s="555">
        <f t="shared" si="91"/>
        <v>348.60454113048036</v>
      </c>
      <c r="V184" s="579">
        <f>U184/G184*100</f>
        <v>0.66216091810868627</v>
      </c>
      <c r="W184" s="555">
        <f>SUM(W182:W183)</f>
        <v>0</v>
      </c>
      <c r="X184" s="609">
        <f>V184/I184-1</f>
        <v>0</v>
      </c>
      <c r="Y184" s="541"/>
      <c r="Z184" s="501"/>
      <c r="AA184" s="738"/>
      <c r="AC184" s="738"/>
      <c r="AE184" s="740"/>
    </row>
    <row r="185" spans="1:31">
      <c r="A185" s="6"/>
      <c r="B185" s="58"/>
      <c r="C185" s="10"/>
      <c r="D185" s="58"/>
      <c r="E185" s="30"/>
      <c r="F185" s="58"/>
      <c r="G185" s="624"/>
      <c r="H185" s="539"/>
      <c r="I185" s="625"/>
      <c r="J185" s="538"/>
      <c r="K185" s="538"/>
      <c r="L185" s="538"/>
      <c r="M185" s="538"/>
      <c r="N185" s="538"/>
      <c r="O185" s="538"/>
      <c r="P185" s="58"/>
      <c r="Q185" s="538"/>
      <c r="R185" s="538"/>
      <c r="S185" s="538"/>
      <c r="T185" s="564"/>
      <c r="U185" s="564"/>
      <c r="V185" s="580"/>
      <c r="W185" s="538"/>
      <c r="X185" s="599"/>
      <c r="Y185" s="541"/>
      <c r="Z185" s="501"/>
      <c r="AA185" s="738"/>
      <c r="AC185" s="738"/>
      <c r="AE185" s="740"/>
    </row>
    <row r="186" spans="1:31">
      <c r="A186" s="6">
        <f>MAX(A$159:A185)+1</f>
        <v>83</v>
      </c>
      <c r="C186" s="10" t="s">
        <v>270</v>
      </c>
      <c r="E186" s="574" t="s">
        <v>262</v>
      </c>
      <c r="G186" s="29">
        <v>4391.5119999999997</v>
      </c>
      <c r="H186" s="567"/>
      <c r="I186" s="547">
        <v>18.29246136358827</v>
      </c>
      <c r="J186" s="538">
        <f>G186*I186/100</f>
        <v>803.3156358773424</v>
      </c>
      <c r="K186" s="538"/>
      <c r="L186" s="538">
        <v>0</v>
      </c>
      <c r="M186" s="538">
        <v>0</v>
      </c>
      <c r="N186" s="538">
        <v>0</v>
      </c>
      <c r="O186" s="538">
        <f>J186-L186-M186-N186</f>
        <v>803.3156358773424</v>
      </c>
      <c r="Q186" s="538">
        <v>0</v>
      </c>
      <c r="R186" s="538">
        <v>0</v>
      </c>
      <c r="S186" s="538">
        <v>0</v>
      </c>
      <c r="T186" s="64"/>
      <c r="U186" s="564">
        <f>SUM(O186:S186)</f>
        <v>803.3156358773424</v>
      </c>
      <c r="V186" s="580">
        <f>U186/G186*100</f>
        <v>18.29246136358827</v>
      </c>
      <c r="W186" s="538">
        <f>U186-J186</f>
        <v>0</v>
      </c>
      <c r="X186" s="599">
        <f>V186/I186-1</f>
        <v>0</v>
      </c>
      <c r="Y186" s="541"/>
      <c r="Z186" s="501"/>
      <c r="AA186" s="738"/>
      <c r="AC186" s="738"/>
      <c r="AE186" s="740"/>
    </row>
    <row r="187" spans="1:31" ht="12.95">
      <c r="A187" s="6"/>
      <c r="B187" s="58"/>
      <c r="C187" s="10"/>
      <c r="D187" s="58"/>
      <c r="E187" s="128"/>
      <c r="F187" s="58"/>
      <c r="G187" s="626"/>
      <c r="H187" s="539"/>
      <c r="I187" s="625"/>
      <c r="J187" s="538"/>
      <c r="K187" s="538"/>
      <c r="L187" s="538"/>
      <c r="M187" s="538"/>
      <c r="N187" s="538"/>
      <c r="O187" s="538"/>
      <c r="P187" s="58"/>
      <c r="Q187" s="538"/>
      <c r="R187" s="538"/>
      <c r="S187" s="538"/>
      <c r="T187" s="564"/>
      <c r="U187" s="564"/>
      <c r="V187" s="565"/>
      <c r="W187" s="501"/>
      <c r="X187" s="599"/>
      <c r="Y187" s="541"/>
      <c r="Z187" s="501"/>
      <c r="AA187" s="738"/>
      <c r="AE187" s="740"/>
    </row>
    <row r="188" spans="1:31" ht="12.95" thickBot="1">
      <c r="A188" s="6">
        <f>MAX(A$159:A187)+1</f>
        <v>84</v>
      </c>
      <c r="B188" s="58"/>
      <c r="C188" s="10" t="s">
        <v>295</v>
      </c>
      <c r="D188" s="58"/>
      <c r="E188" s="30"/>
      <c r="F188" s="58"/>
      <c r="G188" s="589">
        <f>G166+G173</f>
        <v>52646.499000000003</v>
      </c>
      <c r="H188" s="58"/>
      <c r="I188" s="586">
        <f>J188/G188*100</f>
        <v>1.6138728212406841</v>
      </c>
      <c r="J188" s="628">
        <f>J177+J179+J184+J186</f>
        <v>849.64753869574861</v>
      </c>
      <c r="K188" s="564"/>
      <c r="L188" s="628">
        <f>L177+L179+L184+L186</f>
        <v>5.5685738769876725</v>
      </c>
      <c r="M188" s="628">
        <f t="shared" ref="M188:N188" si="92">M177+M179+M184+M186</f>
        <v>111.84241907945309</v>
      </c>
      <c r="N188" s="628">
        <f t="shared" si="92"/>
        <v>0</v>
      </c>
      <c r="O188" s="628">
        <f>O177+O179+O184+O186</f>
        <v>732.23654573930776</v>
      </c>
      <c r="P188" s="564"/>
      <c r="Q188" s="628">
        <f>Q177+Q179+Q184+Q186</f>
        <v>4.6568760308610049</v>
      </c>
      <c r="R188" s="628">
        <f t="shared" ref="R188:S188" si="93">R177+R179+R184+R186</f>
        <v>122.57043568736097</v>
      </c>
      <c r="S188" s="628">
        <f t="shared" si="93"/>
        <v>0</v>
      </c>
      <c r="T188" s="564"/>
      <c r="U188" s="628">
        <f>U177+U179+U184+U186</f>
        <v>859.4638574575298</v>
      </c>
      <c r="V188" s="590">
        <f>U188/G188*100</f>
        <v>1.6325185411807341</v>
      </c>
      <c r="W188" s="628">
        <f>W177+W179+W184+W186</f>
        <v>9.8163187617812007</v>
      </c>
      <c r="X188" s="602">
        <f>V188/I188-1</f>
        <v>1.1553401045390821E-2</v>
      </c>
      <c r="Y188" s="630"/>
      <c r="Z188" s="501"/>
      <c r="AA188" s="738"/>
      <c r="AC188" s="738"/>
      <c r="AE188" s="740"/>
    </row>
    <row r="189" spans="1:31" ht="12.95" thickTop="1">
      <c r="A189" s="6"/>
      <c r="B189" s="501"/>
      <c r="C189" s="501"/>
      <c r="D189" s="501"/>
      <c r="E189" s="501"/>
      <c r="F189" s="501"/>
      <c r="G189" s="501"/>
      <c r="H189" s="501"/>
      <c r="I189" s="501"/>
      <c r="J189" s="501"/>
      <c r="K189" s="501"/>
      <c r="L189" s="501"/>
      <c r="M189" s="501"/>
      <c r="N189" s="501"/>
      <c r="O189" s="501"/>
      <c r="P189" s="501"/>
      <c r="Q189" s="501"/>
      <c r="R189" s="501"/>
      <c r="S189" s="501"/>
      <c r="T189" s="501"/>
      <c r="U189" s="501"/>
      <c r="V189" s="501"/>
      <c r="W189" s="501"/>
      <c r="X189" s="605"/>
      <c r="Y189" s="501"/>
      <c r="Z189" s="501"/>
      <c r="AA189" s="741"/>
      <c r="AE189" s="740"/>
    </row>
    <row r="190" spans="1:31">
      <c r="A190" s="6"/>
      <c r="B190" s="58"/>
      <c r="C190" s="9" t="s">
        <v>134</v>
      </c>
      <c r="D190" s="58"/>
      <c r="E190" s="30"/>
      <c r="F190" s="58"/>
      <c r="G190" s="132"/>
      <c r="H190" s="58"/>
      <c r="I190" s="58"/>
      <c r="J190" s="501"/>
      <c r="K190" s="501"/>
      <c r="L190" s="501"/>
      <c r="M190" s="501"/>
      <c r="N190" s="501"/>
      <c r="O190" s="501"/>
      <c r="P190" s="58"/>
      <c r="Q190" s="501"/>
      <c r="R190" s="501"/>
      <c r="S190" s="501"/>
      <c r="T190" s="58"/>
      <c r="U190" s="58"/>
      <c r="V190" s="58"/>
      <c r="W190" s="538"/>
      <c r="X190" s="605"/>
      <c r="Y190" s="501"/>
      <c r="Z190" s="501"/>
      <c r="AA190" s="738"/>
    </row>
    <row r="191" spans="1:31">
      <c r="A191" s="6">
        <f>MAX(A$159:A190)+1</f>
        <v>85</v>
      </c>
      <c r="C191" s="10" t="s">
        <v>258</v>
      </c>
      <c r="E191" s="30" t="s">
        <v>259</v>
      </c>
      <c r="G191" s="29">
        <v>192</v>
      </c>
      <c r="I191" s="29">
        <v>0</v>
      </c>
      <c r="J191" s="64">
        <v>0</v>
      </c>
      <c r="K191" s="64"/>
      <c r="L191" s="538">
        <v>0</v>
      </c>
      <c r="M191" s="538">
        <v>0</v>
      </c>
      <c r="N191" s="538">
        <v>0</v>
      </c>
      <c r="O191" s="64">
        <v>0</v>
      </c>
      <c r="P191" s="64"/>
      <c r="Q191" s="538">
        <v>0</v>
      </c>
      <c r="R191" s="538">
        <v>0</v>
      </c>
      <c r="S191" s="538">
        <v>0</v>
      </c>
      <c r="T191" s="64"/>
      <c r="U191" s="64">
        <v>0</v>
      </c>
      <c r="V191" s="64">
        <v>0</v>
      </c>
      <c r="W191" s="538">
        <v>0</v>
      </c>
      <c r="X191" s="599"/>
      <c r="Y191" s="541"/>
      <c r="Z191" s="501"/>
      <c r="AA191" s="738"/>
      <c r="AE191" s="739"/>
    </row>
    <row r="192" spans="1:31">
      <c r="A192" s="6">
        <f>MAX(A$159:A191)+1</f>
        <v>86</v>
      </c>
      <c r="B192" s="58"/>
      <c r="C192" s="521" t="s">
        <v>280</v>
      </c>
      <c r="D192" s="58"/>
      <c r="E192" s="30" t="s">
        <v>281</v>
      </c>
      <c r="F192" s="58"/>
      <c r="G192" s="29">
        <v>6138.48</v>
      </c>
      <c r="H192" s="58"/>
      <c r="I192" s="29">
        <v>0</v>
      </c>
      <c r="J192" s="64">
        <v>0</v>
      </c>
      <c r="K192" s="64"/>
      <c r="L192" s="538">
        <v>0</v>
      </c>
      <c r="M192" s="538">
        <v>0</v>
      </c>
      <c r="N192" s="538">
        <v>0</v>
      </c>
      <c r="O192" s="64">
        <v>0</v>
      </c>
      <c r="P192" s="564"/>
      <c r="Q192" s="538">
        <v>0</v>
      </c>
      <c r="R192" s="538">
        <v>0</v>
      </c>
      <c r="S192" s="538">
        <v>0</v>
      </c>
      <c r="T192" s="564"/>
      <c r="U192" s="64">
        <v>0</v>
      </c>
      <c r="V192" s="564">
        <v>0</v>
      </c>
      <c r="W192" s="538">
        <v>0</v>
      </c>
      <c r="X192" s="599"/>
      <c r="Y192" s="541"/>
      <c r="Z192" s="501"/>
      <c r="AA192" s="738"/>
    </row>
    <row r="193" spans="1:31">
      <c r="A193" s="6"/>
      <c r="B193" s="58"/>
      <c r="C193" s="521" t="s">
        <v>260</v>
      </c>
      <c r="D193" s="58"/>
      <c r="E193" s="30"/>
      <c r="F193" s="58"/>
      <c r="G193" s="29"/>
      <c r="H193" s="58"/>
      <c r="I193" s="58"/>
      <c r="J193" s="64"/>
      <c r="K193" s="64"/>
      <c r="L193" s="538"/>
      <c r="M193" s="538"/>
      <c r="N193" s="538"/>
      <c r="O193" s="64"/>
      <c r="P193" s="564"/>
      <c r="Q193" s="538"/>
      <c r="R193" s="538"/>
      <c r="S193" s="538"/>
      <c r="T193" s="564"/>
      <c r="U193" s="64"/>
      <c r="V193" s="565"/>
      <c r="W193" s="538"/>
      <c r="X193" s="599"/>
      <c r="Y193" s="541"/>
      <c r="Z193" s="501"/>
      <c r="AA193" s="738"/>
    </row>
    <row r="194" spans="1:31">
      <c r="A194" s="6">
        <f>MAX(A$159:A193)+1</f>
        <v>87</v>
      </c>
      <c r="B194" s="58"/>
      <c r="C194" s="521" t="s">
        <v>290</v>
      </c>
      <c r="D194" s="58"/>
      <c r="E194" s="30" t="s">
        <v>262</v>
      </c>
      <c r="F194" s="58"/>
      <c r="G194" s="29">
        <v>2496.9</v>
      </c>
      <c r="H194" s="58"/>
      <c r="I194" s="547">
        <v>0.36459572300886056</v>
      </c>
      <c r="J194" s="64">
        <f>G194*I194/100</f>
        <v>9.1035906078082398</v>
      </c>
      <c r="K194" s="64"/>
      <c r="L194" s="29">
        <v>0.26410440157569681</v>
      </c>
      <c r="M194" s="29">
        <v>5.8685587970682915</v>
      </c>
      <c r="N194" s="29">
        <v>0.71365196917169615</v>
      </c>
      <c r="O194" s="64">
        <f>J194-L194-M194-N194</f>
        <v>2.2572754399925552</v>
      </c>
      <c r="P194" s="564"/>
      <c r="Q194" s="29">
        <v>0.22086471051867745</v>
      </c>
      <c r="R194" s="29">
        <v>6.4314757721983336</v>
      </c>
      <c r="S194" s="29">
        <v>0.63740236112499682</v>
      </c>
      <c r="T194" s="564"/>
      <c r="U194" s="64">
        <f>SUM(O194:S194)</f>
        <v>9.5470182838345625</v>
      </c>
      <c r="V194" s="565">
        <f>U194/G194*100</f>
        <v>0.38235485136908015</v>
      </c>
      <c r="W194" s="538">
        <f>U194-J194</f>
        <v>0.44342767602632271</v>
      </c>
      <c r="X194" s="559"/>
      <c r="Y194" s="559"/>
      <c r="Z194" s="501"/>
      <c r="AA194" s="738"/>
      <c r="AC194" s="738"/>
      <c r="AE194" s="744"/>
    </row>
    <row r="195" spans="1:31">
      <c r="A195" s="6">
        <f>MAX(A$159:A194)+1</f>
        <v>88</v>
      </c>
      <c r="B195" s="58"/>
      <c r="C195" s="521" t="s">
        <v>291</v>
      </c>
      <c r="D195" s="58"/>
      <c r="E195" s="30" t="s">
        <v>262</v>
      </c>
      <c r="F195" s="58"/>
      <c r="G195" s="29">
        <v>4159.7690000000002</v>
      </c>
      <c r="H195" s="58"/>
      <c r="I195" s="547">
        <v>0.36454189712685547</v>
      </c>
      <c r="J195" s="64">
        <f t="shared" ref="J195:J196" si="94">G195*I195/100</f>
        <v>15.164100828694824</v>
      </c>
      <c r="K195" s="64"/>
      <c r="L195" s="29">
        <v>0.43999090970328597</v>
      </c>
      <c r="M195" s="29">
        <v>9.7768628934767001</v>
      </c>
      <c r="N195" s="29">
        <v>1.1889252025108643</v>
      </c>
      <c r="O195" s="64">
        <f t="shared" ref="O195:O196" si="95">J195-L195-M195-N195</f>
        <v>3.758321823003973</v>
      </c>
      <c r="P195" s="564"/>
      <c r="Q195" s="29">
        <v>0.36795473427432746</v>
      </c>
      <c r="R195" s="29">
        <v>10.71466760440614</v>
      </c>
      <c r="S195" s="29">
        <v>1.0618953832090057</v>
      </c>
      <c r="T195" s="564"/>
      <c r="U195" s="64">
        <f t="shared" ref="U195:U196" si="96">SUM(O195:S195)</f>
        <v>15.902839544893446</v>
      </c>
      <c r="V195" s="565">
        <f>U195/G195*100</f>
        <v>0.38230102548707501</v>
      </c>
      <c r="W195" s="538">
        <f t="shared" ref="W195:W196" si="97">U195-J195</f>
        <v>0.73873871619862186</v>
      </c>
      <c r="X195" s="559"/>
      <c r="Y195" s="559"/>
      <c r="Z195" s="501"/>
      <c r="AA195" s="738"/>
      <c r="AC195" s="738"/>
      <c r="AE195" s="744"/>
    </row>
    <row r="196" spans="1:31">
      <c r="A196" s="6">
        <f>MAX(A$159:A195)+1</f>
        <v>89</v>
      </c>
      <c r="B196" s="58"/>
      <c r="C196" s="521" t="s">
        <v>292</v>
      </c>
      <c r="D196" s="58"/>
      <c r="E196" s="30" t="s">
        <v>262</v>
      </c>
      <c r="F196" s="58"/>
      <c r="G196" s="29">
        <v>9056.9930000000004</v>
      </c>
      <c r="H196" s="58"/>
      <c r="I196" s="547">
        <v>0.3645753953289157</v>
      </c>
      <c r="J196" s="64">
        <f t="shared" si="94"/>
        <v>33.019568034662228</v>
      </c>
      <c r="K196" s="64"/>
      <c r="L196" s="29">
        <v>0.95798458742451642</v>
      </c>
      <c r="M196" s="29">
        <v>21.286994250925524</v>
      </c>
      <c r="N196" s="29">
        <v>2.5886262522424874</v>
      </c>
      <c r="O196" s="64">
        <f t="shared" si="95"/>
        <v>8.185962944069697</v>
      </c>
      <c r="P196" s="564"/>
      <c r="Q196" s="29">
        <v>0.80114147026900884</v>
      </c>
      <c r="R196" s="29">
        <v>23.328860206043455</v>
      </c>
      <c r="S196" s="29">
        <v>2.3120464267261673</v>
      </c>
      <c r="T196" s="564"/>
      <c r="U196" s="64">
        <f t="shared" si="96"/>
        <v>34.62801104710833</v>
      </c>
      <c r="V196" s="565">
        <f>U196/G196*100</f>
        <v>0.38233452368913534</v>
      </c>
      <c r="W196" s="538">
        <f t="shared" si="97"/>
        <v>1.6084430124461022</v>
      </c>
      <c r="X196" s="559"/>
      <c r="Y196" s="559"/>
      <c r="Z196" s="501"/>
      <c r="AA196" s="738"/>
      <c r="AC196" s="738"/>
      <c r="AE196" s="744"/>
    </row>
    <row r="197" spans="1:31">
      <c r="A197" s="6">
        <f>MAX(A$159:A196)+1</f>
        <v>90</v>
      </c>
      <c r="B197" s="58"/>
      <c r="C197" s="521" t="s">
        <v>260</v>
      </c>
      <c r="D197" s="58"/>
      <c r="E197" s="574"/>
      <c r="F197" s="58"/>
      <c r="G197" s="131">
        <f>SUM(G194:G196)</f>
        <v>15713.662</v>
      </c>
      <c r="H197" s="58"/>
      <c r="I197" s="556">
        <f>J197/G197*100</f>
        <v>0.36456975764888727</v>
      </c>
      <c r="J197" s="555">
        <f t="shared" ref="J197" si="98">SUM(J194:J196)</f>
        <v>57.287259471165292</v>
      </c>
      <c r="K197" s="538"/>
      <c r="L197" s="555">
        <f>SUM(L194:L196)</f>
        <v>1.662079898703499</v>
      </c>
      <c r="M197" s="555">
        <f t="shared" ref="M197:O197" si="99">SUM(M194:M196)</f>
        <v>36.932415941470516</v>
      </c>
      <c r="N197" s="555">
        <f t="shared" si="99"/>
        <v>4.4912034239250485</v>
      </c>
      <c r="O197" s="555">
        <f t="shared" si="99"/>
        <v>14.201560207066226</v>
      </c>
      <c r="P197" s="564"/>
      <c r="Q197" s="619">
        <f t="shared" ref="Q197:S197" si="100">SUM(Q194:Q196)</f>
        <v>1.3899609150620136</v>
      </c>
      <c r="R197" s="619">
        <f t="shared" si="100"/>
        <v>40.475003582647929</v>
      </c>
      <c r="S197" s="619">
        <f t="shared" si="100"/>
        <v>4.0113441710601698</v>
      </c>
      <c r="T197" s="564"/>
      <c r="U197" s="619">
        <f>SUM(U194:U196)</f>
        <v>60.077868875836337</v>
      </c>
      <c r="V197" s="639">
        <f>U197/G197*100</f>
        <v>0.38232888600910686</v>
      </c>
      <c r="W197" s="555">
        <f>SUM(W194:W196)</f>
        <v>2.7906094046710468</v>
      </c>
      <c r="X197" s="558">
        <f>V197/I197-1</f>
        <v>4.8712565942793384E-2</v>
      </c>
      <c r="Y197" s="559"/>
      <c r="Z197" s="501"/>
      <c r="AA197" s="738"/>
      <c r="AC197" s="738"/>
      <c r="AE197" s="744"/>
    </row>
    <row r="198" spans="1:31">
      <c r="A198" s="6"/>
      <c r="C198" s="10"/>
      <c r="J198" s="538"/>
      <c r="K198" s="538"/>
      <c r="L198" s="538"/>
      <c r="M198" s="538"/>
      <c r="N198" s="538"/>
      <c r="O198" s="538"/>
      <c r="P198" s="64"/>
      <c r="Q198" s="538"/>
      <c r="R198" s="538"/>
      <c r="S198" s="538"/>
      <c r="T198" s="64"/>
      <c r="U198" s="64"/>
      <c r="V198" s="632"/>
      <c r="W198" s="538"/>
      <c r="X198" s="599"/>
      <c r="Y198" s="541"/>
      <c r="Z198" s="501"/>
      <c r="AC198" s="738"/>
      <c r="AE198" s="744"/>
    </row>
    <row r="199" spans="1:31">
      <c r="A199" s="6">
        <f>MAX(A$159:A198)+1</f>
        <v>91</v>
      </c>
      <c r="B199" s="581"/>
      <c r="C199" s="10" t="s">
        <v>296</v>
      </c>
      <c r="D199" s="581"/>
      <c r="E199" s="581"/>
      <c r="F199" s="581"/>
      <c r="G199" s="29">
        <v>172.20451506849315</v>
      </c>
      <c r="H199" s="4"/>
      <c r="I199" s="620">
        <v>-50</v>
      </c>
      <c r="J199" s="538">
        <f>G199*I199/100</f>
        <v>-86.102257534246576</v>
      </c>
      <c r="K199" s="538"/>
      <c r="L199" s="538">
        <v>0</v>
      </c>
      <c r="M199" s="538">
        <v>0</v>
      </c>
      <c r="N199" s="538">
        <v>0</v>
      </c>
      <c r="O199" s="538">
        <f>J199-L199-M199-N199</f>
        <v>-86.102257534246576</v>
      </c>
      <c r="P199" s="582"/>
      <c r="Q199" s="576">
        <v>0</v>
      </c>
      <c r="R199" s="576">
        <v>0</v>
      </c>
      <c r="S199" s="576">
        <v>0</v>
      </c>
      <c r="T199" s="612"/>
      <c r="U199" s="130">
        <f>SUM(O199:S199)</f>
        <v>-86.102257534246576</v>
      </c>
      <c r="V199" s="785">
        <v>-50</v>
      </c>
      <c r="W199" s="576">
        <f>U199-J199</f>
        <v>0</v>
      </c>
      <c r="X199" s="576"/>
      <c r="Y199" s="576"/>
      <c r="Z199" s="501"/>
      <c r="AA199" s="738"/>
      <c r="AC199" s="738"/>
      <c r="AE199" s="744"/>
    </row>
    <row r="200" spans="1:31">
      <c r="A200" s="6">
        <f>MAX(A$159:A199)+1</f>
        <v>92</v>
      </c>
      <c r="B200" s="581"/>
      <c r="C200" s="10" t="s">
        <v>297</v>
      </c>
      <c r="D200" s="581"/>
      <c r="E200" s="581"/>
      <c r="F200" s="581"/>
      <c r="G200" s="538">
        <v>0</v>
      </c>
      <c r="I200" s="538">
        <v>0</v>
      </c>
      <c r="J200" s="538">
        <f>G200*I200/100</f>
        <v>0</v>
      </c>
      <c r="K200" s="538"/>
      <c r="L200" s="538">
        <v>0</v>
      </c>
      <c r="M200" s="538">
        <v>0</v>
      </c>
      <c r="N200" s="538">
        <v>0</v>
      </c>
      <c r="O200" s="538">
        <f>J200-L200-M200-N200</f>
        <v>0</v>
      </c>
      <c r="P200" s="582"/>
      <c r="Q200" s="576">
        <v>0</v>
      </c>
      <c r="R200" s="576">
        <v>0</v>
      </c>
      <c r="S200" s="576">
        <v>0</v>
      </c>
      <c r="T200" s="612"/>
      <c r="U200" s="130"/>
      <c r="V200" s="576">
        <v>0</v>
      </c>
      <c r="W200" s="576">
        <f>U200-J200</f>
        <v>0</v>
      </c>
      <c r="X200" s="576"/>
      <c r="Y200" s="576"/>
      <c r="Z200" s="501"/>
      <c r="AA200" s="738"/>
      <c r="AC200" s="738"/>
      <c r="AE200" s="744"/>
    </row>
    <row r="201" spans="1:31">
      <c r="A201" s="6"/>
      <c r="B201" s="57"/>
      <c r="C201" s="10"/>
      <c r="D201" s="57"/>
      <c r="E201" s="3"/>
      <c r="F201" s="57"/>
      <c r="G201" s="3"/>
      <c r="H201" s="57"/>
      <c r="I201" s="57"/>
      <c r="J201" s="538"/>
      <c r="K201" s="538"/>
      <c r="L201" s="538"/>
      <c r="M201" s="538"/>
      <c r="N201" s="538"/>
      <c r="O201" s="538"/>
      <c r="P201" s="583"/>
      <c r="Q201" s="538"/>
      <c r="R201" s="538"/>
      <c r="S201" s="538"/>
      <c r="T201" s="583"/>
      <c r="U201" s="130">
        <f>SUM(O201:S201)</f>
        <v>0</v>
      </c>
      <c r="V201" s="634"/>
      <c r="W201" s="538"/>
      <c r="X201" s="599"/>
      <c r="Y201" s="541"/>
      <c r="Z201" s="501"/>
      <c r="AA201" s="738"/>
      <c r="AC201" s="738"/>
      <c r="AE201" s="744"/>
    </row>
    <row r="202" spans="1:31">
      <c r="A202" s="6">
        <f>MAX(A$159:A201)+1</f>
        <v>93</v>
      </c>
      <c r="B202" s="3"/>
      <c r="C202" s="10" t="s">
        <v>266</v>
      </c>
      <c r="D202" s="3"/>
      <c r="E202" s="57"/>
      <c r="F202" s="3"/>
      <c r="G202" s="131">
        <f>G197</f>
        <v>15713.662</v>
      </c>
      <c r="H202" s="132"/>
      <c r="I202" s="556">
        <f t="shared" ref="I202:X202" si="101">I197</f>
        <v>0.36456975764888727</v>
      </c>
      <c r="J202" s="131">
        <f t="shared" ref="J202" si="102">J197+J199+J200</f>
        <v>-28.814998063081283</v>
      </c>
      <c r="K202" s="132"/>
      <c r="L202" s="131">
        <f>L197+L199+L200</f>
        <v>1.662079898703499</v>
      </c>
      <c r="M202" s="131">
        <f t="shared" ref="M202:O202" si="103">M197+M199+M200</f>
        <v>36.932415941470516</v>
      </c>
      <c r="N202" s="131">
        <f t="shared" si="103"/>
        <v>4.4912034239250485</v>
      </c>
      <c r="O202" s="131">
        <f t="shared" si="103"/>
        <v>-71.900697327180353</v>
      </c>
      <c r="P202" s="132"/>
      <c r="Q202" s="131">
        <f>Q197+Q199+Q200</f>
        <v>1.3899609150620136</v>
      </c>
      <c r="R202" s="131">
        <f t="shared" ref="R202:S202" si="104">R197+R199+R200</f>
        <v>40.475003582647929</v>
      </c>
      <c r="S202" s="131">
        <f t="shared" si="104"/>
        <v>4.0113441710601698</v>
      </c>
      <c r="T202" s="132"/>
      <c r="U202" s="131">
        <f>U197+U199+U200</f>
        <v>-26.024388658410238</v>
      </c>
      <c r="V202" s="639">
        <f t="shared" si="101"/>
        <v>0.38232888600910686</v>
      </c>
      <c r="W202" s="131">
        <f>W197+W199+W200</f>
        <v>2.7906094046710468</v>
      </c>
      <c r="X202" s="558">
        <f t="shared" si="101"/>
        <v>4.8712565942793384E-2</v>
      </c>
      <c r="Y202" s="559"/>
      <c r="Z202" s="501"/>
      <c r="AA202" s="738"/>
      <c r="AC202" s="738"/>
      <c r="AE202" s="744"/>
    </row>
    <row r="203" spans="1:31">
      <c r="A203" s="6"/>
      <c r="B203" s="5"/>
      <c r="C203" s="5"/>
      <c r="D203" s="5"/>
      <c r="E203" s="6"/>
      <c r="F203" s="5"/>
      <c r="G203" s="17"/>
      <c r="H203" s="5"/>
      <c r="I203" s="5"/>
      <c r="J203" s="538"/>
      <c r="K203" s="538"/>
      <c r="L203" s="538"/>
      <c r="M203" s="538"/>
      <c r="N203" s="538"/>
      <c r="O203" s="538"/>
      <c r="P203" s="585"/>
      <c r="Q203" s="538"/>
      <c r="R203" s="538"/>
      <c r="S203" s="538"/>
      <c r="T203" s="585"/>
      <c r="U203" s="130"/>
      <c r="V203" s="637"/>
      <c r="W203" s="538"/>
      <c r="X203" s="599"/>
      <c r="Y203" s="541"/>
      <c r="Z203" s="501"/>
      <c r="AA203" s="738"/>
      <c r="AC203" s="738"/>
      <c r="AE203" s="744"/>
    </row>
    <row r="204" spans="1:31">
      <c r="A204" s="6">
        <f>MAX(A$159:A203)+1</f>
        <v>94</v>
      </c>
      <c r="B204" s="58"/>
      <c r="C204" s="12" t="s">
        <v>267</v>
      </c>
      <c r="D204" s="58"/>
      <c r="E204" s="574" t="s">
        <v>262</v>
      </c>
      <c r="F204" s="58"/>
      <c r="G204" s="29">
        <v>15713.662</v>
      </c>
      <c r="H204" s="58"/>
      <c r="I204" s="547">
        <v>0.2540579565907487</v>
      </c>
      <c r="J204" s="538">
        <f>G204*I204/100</f>
        <v>39.921808582776976</v>
      </c>
      <c r="K204" s="538"/>
      <c r="L204" s="538">
        <v>0</v>
      </c>
      <c r="M204" s="538">
        <v>0</v>
      </c>
      <c r="N204" s="538">
        <v>0</v>
      </c>
      <c r="O204" s="538">
        <f>J204-L204-M204-N204</f>
        <v>39.921808582776976</v>
      </c>
      <c r="P204" s="564"/>
      <c r="Q204" s="538">
        <v>0</v>
      </c>
      <c r="R204" s="538">
        <v>0</v>
      </c>
      <c r="S204" s="538">
        <v>0</v>
      </c>
      <c r="T204" s="564"/>
      <c r="U204" s="130">
        <f>SUM(O204:S204)</f>
        <v>39.921808582776976</v>
      </c>
      <c r="V204" s="565">
        <f>U204/G204*100</f>
        <v>0.2540579565907487</v>
      </c>
      <c r="W204" s="538">
        <f>U204-J204</f>
        <v>0</v>
      </c>
      <c r="X204" s="559">
        <f>V204/I204-1</f>
        <v>0</v>
      </c>
      <c r="Y204" s="559"/>
      <c r="Z204" s="501"/>
      <c r="AA204" s="738"/>
      <c r="AC204" s="738"/>
      <c r="AE204" s="744"/>
    </row>
    <row r="205" spans="1:31">
      <c r="A205" s="6"/>
      <c r="B205" s="58"/>
      <c r="C205" s="12"/>
      <c r="D205" s="58"/>
      <c r="E205" s="574"/>
      <c r="F205" s="58"/>
      <c r="G205" s="29"/>
      <c r="H205" s="58"/>
      <c r="I205" s="547"/>
      <c r="J205" s="538"/>
      <c r="K205" s="538"/>
      <c r="L205" s="538"/>
      <c r="M205" s="538"/>
      <c r="N205" s="538"/>
      <c r="O205" s="538"/>
      <c r="P205" s="564"/>
      <c r="Q205" s="538"/>
      <c r="R205" s="538"/>
      <c r="S205" s="538"/>
      <c r="T205" s="564"/>
      <c r="U205" s="130"/>
      <c r="V205" s="548"/>
      <c r="W205" s="538"/>
      <c r="X205" s="559"/>
      <c r="Y205" s="559"/>
      <c r="Z205" s="501"/>
      <c r="AA205" s="738"/>
      <c r="AC205" s="738"/>
      <c r="AE205" s="744"/>
    </row>
    <row r="206" spans="1:31">
      <c r="A206" s="6"/>
      <c r="B206" s="58"/>
      <c r="C206" s="10" t="s">
        <v>268</v>
      </c>
      <c r="D206" s="58"/>
      <c r="E206" s="574"/>
      <c r="F206" s="58"/>
      <c r="G206" s="29"/>
      <c r="H206" s="58"/>
      <c r="I206" s="547"/>
      <c r="J206" s="538"/>
      <c r="K206" s="538"/>
      <c r="L206" s="538"/>
      <c r="M206" s="538"/>
      <c r="N206" s="538"/>
      <c r="O206" s="538"/>
      <c r="P206" s="564"/>
      <c r="Q206" s="538"/>
      <c r="R206" s="538"/>
      <c r="S206" s="538"/>
      <c r="T206" s="564"/>
      <c r="U206" s="130"/>
      <c r="V206" s="548"/>
      <c r="W206" s="538"/>
      <c r="X206" s="559"/>
      <c r="Y206" s="559"/>
      <c r="Z206" s="501"/>
      <c r="AA206" s="738"/>
      <c r="AC206" s="738"/>
      <c r="AE206" s="744"/>
    </row>
    <row r="207" spans="1:31">
      <c r="A207" s="6">
        <f>MAX(A$159:A206)+1</f>
        <v>95</v>
      </c>
      <c r="B207" s="58"/>
      <c r="C207" s="12" t="s">
        <v>268</v>
      </c>
      <c r="D207" s="58"/>
      <c r="E207" s="574" t="s">
        <v>262</v>
      </c>
      <c r="F207" s="58"/>
      <c r="G207" s="29">
        <v>573.62400000000002</v>
      </c>
      <c r="H207" s="58"/>
      <c r="I207" s="547">
        <v>3.8514560342645505</v>
      </c>
      <c r="J207" s="538">
        <f>G207*I207/100</f>
        <v>22.092876161989683</v>
      </c>
      <c r="K207" s="538"/>
      <c r="L207" s="538">
        <v>0</v>
      </c>
      <c r="M207" s="538">
        <v>0</v>
      </c>
      <c r="N207" s="538">
        <v>0</v>
      </c>
      <c r="O207" s="538">
        <f t="shared" ref="O207:O208" si="105">J207-L207-M207-N207</f>
        <v>22.092876161989683</v>
      </c>
      <c r="P207" s="564"/>
      <c r="Q207" s="538">
        <v>0</v>
      </c>
      <c r="R207" s="538">
        <v>0</v>
      </c>
      <c r="S207" s="538">
        <v>0</v>
      </c>
      <c r="T207" s="564"/>
      <c r="U207" s="130">
        <f>SUM(O207:S207)</f>
        <v>22.092876161989683</v>
      </c>
      <c r="V207" s="565">
        <f>U207/G207*100</f>
        <v>3.8514560342645501</v>
      </c>
      <c r="W207" s="538">
        <f>U207-J207</f>
        <v>0</v>
      </c>
      <c r="X207" s="599"/>
      <c r="Y207" s="541"/>
      <c r="Z207" s="501"/>
      <c r="AA207" s="738"/>
      <c r="AC207" s="738"/>
      <c r="AE207" s="744"/>
    </row>
    <row r="208" spans="1:31">
      <c r="A208" s="6">
        <f>MAX(A$159:A207)+1</f>
        <v>96</v>
      </c>
      <c r="B208" s="58"/>
      <c r="C208" s="12" t="s">
        <v>269</v>
      </c>
      <c r="D208" s="58"/>
      <c r="E208" s="574" t="s">
        <v>262</v>
      </c>
      <c r="F208" s="58"/>
      <c r="G208" s="29">
        <v>15140.038</v>
      </c>
      <c r="H208" s="58"/>
      <c r="I208" s="547">
        <v>0.37192971390169216</v>
      </c>
      <c r="J208" s="538">
        <f t="shared" ref="J208" si="106">G208*I208/100</f>
        <v>56.310300018007474</v>
      </c>
      <c r="K208" s="538"/>
      <c r="L208" s="538">
        <v>0</v>
      </c>
      <c r="M208" s="538">
        <v>0</v>
      </c>
      <c r="N208" s="538">
        <v>0</v>
      </c>
      <c r="O208" s="538">
        <f t="shared" si="105"/>
        <v>56.310300018007474</v>
      </c>
      <c r="P208" s="564"/>
      <c r="Q208" s="538">
        <v>0</v>
      </c>
      <c r="R208" s="538">
        <v>0</v>
      </c>
      <c r="S208" s="538">
        <v>0</v>
      </c>
      <c r="T208" s="564"/>
      <c r="U208" s="130">
        <f>SUM(O208:S208)</f>
        <v>56.310300018007474</v>
      </c>
      <c r="V208" s="565">
        <f>U208/G208*100</f>
        <v>0.37192971390169216</v>
      </c>
      <c r="W208" s="538">
        <f t="shared" ref="W208" si="107">U208-J208</f>
        <v>0</v>
      </c>
      <c r="X208" s="599"/>
      <c r="Y208" s="541"/>
      <c r="Z208" s="501"/>
      <c r="AA208" s="738"/>
      <c r="AC208" s="738"/>
      <c r="AE208" s="744"/>
    </row>
    <row r="209" spans="1:31">
      <c r="A209" s="6">
        <f>MAX(A$159:A208)+1</f>
        <v>97</v>
      </c>
      <c r="B209" s="58"/>
      <c r="C209" s="10" t="s">
        <v>268</v>
      </c>
      <c r="D209" s="58"/>
      <c r="E209" s="574"/>
      <c r="F209" s="58"/>
      <c r="G209" s="411">
        <f>SUM(G207:G208)</f>
        <v>15713.662</v>
      </c>
      <c r="H209" s="58"/>
      <c r="I209" s="566">
        <f>J209/G209*100</f>
        <v>0.49894910670725362</v>
      </c>
      <c r="J209" s="555">
        <f t="shared" ref="J209" si="108">SUM(J207:J208)</f>
        <v>78.40317617999716</v>
      </c>
      <c r="K209" s="538"/>
      <c r="L209" s="555">
        <f>SUM(L207:L208)</f>
        <v>0</v>
      </c>
      <c r="M209" s="555">
        <f t="shared" ref="M209:U209" si="109">SUM(M207:M208)</f>
        <v>0</v>
      </c>
      <c r="N209" s="555">
        <f t="shared" si="109"/>
        <v>0</v>
      </c>
      <c r="O209" s="555">
        <f t="shared" si="109"/>
        <v>78.40317617999716</v>
      </c>
      <c r="P209" s="538"/>
      <c r="Q209" s="555">
        <f t="shared" si="109"/>
        <v>0</v>
      </c>
      <c r="R209" s="555">
        <f t="shared" si="109"/>
        <v>0</v>
      </c>
      <c r="S209" s="555">
        <f t="shared" si="109"/>
        <v>0</v>
      </c>
      <c r="T209" s="538"/>
      <c r="U209" s="555">
        <f t="shared" si="109"/>
        <v>78.40317617999716</v>
      </c>
      <c r="V209" s="592">
        <f>U209/G209*100</f>
        <v>0.49894910670725362</v>
      </c>
      <c r="W209" s="555">
        <f>SUM(W207:W208)</f>
        <v>0</v>
      </c>
      <c r="X209" s="609">
        <f>V209/I209-1</f>
        <v>0</v>
      </c>
      <c r="Y209" s="541"/>
      <c r="Z209" s="501"/>
      <c r="AA209" s="738"/>
      <c r="AC209" s="738"/>
      <c r="AE209" s="744"/>
    </row>
    <row r="210" spans="1:31" ht="12.95">
      <c r="A210" s="6"/>
      <c r="B210" s="58"/>
      <c r="C210" s="10"/>
      <c r="D210" s="58"/>
      <c r="E210" s="30"/>
      <c r="F210" s="58"/>
      <c r="G210" s="575"/>
      <c r="H210" s="58"/>
      <c r="I210" s="547"/>
      <c r="J210" s="538"/>
      <c r="K210" s="538"/>
      <c r="L210" s="538"/>
      <c r="M210" s="538"/>
      <c r="N210" s="538"/>
      <c r="O210" s="538"/>
      <c r="P210" s="564"/>
      <c r="Q210" s="538"/>
      <c r="R210" s="538"/>
      <c r="S210" s="538"/>
      <c r="T210" s="564"/>
      <c r="U210" s="130"/>
      <c r="V210" s="548"/>
      <c r="W210" s="538"/>
      <c r="X210" s="599"/>
      <c r="Y210" s="541"/>
      <c r="Z210" s="501"/>
      <c r="AA210" s="738"/>
      <c r="AC210" s="738"/>
      <c r="AE210" s="744"/>
    </row>
    <row r="211" spans="1:31">
      <c r="A211" s="6">
        <f>MAX(A$159:A210)+1</f>
        <v>98</v>
      </c>
      <c r="B211" s="58"/>
      <c r="C211" s="10" t="s">
        <v>270</v>
      </c>
      <c r="D211" s="58"/>
      <c r="E211" s="574" t="s">
        <v>262</v>
      </c>
      <c r="F211" s="58"/>
      <c r="G211" s="29">
        <v>573.62400000000002</v>
      </c>
      <c r="H211" s="58"/>
      <c r="I211" s="547">
        <v>18.292478422678869</v>
      </c>
      <c r="J211" s="538">
        <f>G211*I211/100</f>
        <v>104.93004642730745</v>
      </c>
      <c r="K211" s="538"/>
      <c r="L211" s="538">
        <v>0</v>
      </c>
      <c r="M211" s="538">
        <v>0</v>
      </c>
      <c r="N211" s="538">
        <v>0</v>
      </c>
      <c r="O211" s="538">
        <f>J211-L211-M211-N211</f>
        <v>104.93004642730745</v>
      </c>
      <c r="P211" s="564"/>
      <c r="Q211" s="538">
        <v>0</v>
      </c>
      <c r="R211" s="538">
        <v>0</v>
      </c>
      <c r="S211" s="538">
        <v>0</v>
      </c>
      <c r="T211" s="564"/>
      <c r="U211" s="130">
        <f>SUM(O211:S211)</f>
        <v>104.93004642730745</v>
      </c>
      <c r="V211" s="565">
        <f>U211/G211*100</f>
        <v>18.292478422678869</v>
      </c>
      <c r="W211" s="538">
        <f>U211-J211</f>
        <v>0</v>
      </c>
      <c r="X211" s="599">
        <f>V211/I211-1</f>
        <v>0</v>
      </c>
      <c r="Y211" s="541"/>
      <c r="Z211" s="501"/>
      <c r="AA211" s="738"/>
      <c r="AC211" s="738"/>
      <c r="AE211" s="744"/>
    </row>
    <row r="212" spans="1:31">
      <c r="A212" s="6"/>
      <c r="B212" s="58"/>
      <c r="C212" s="10"/>
      <c r="D212" s="58"/>
      <c r="E212" s="30"/>
      <c r="F212" s="58"/>
      <c r="G212" s="29"/>
      <c r="H212" s="58"/>
      <c r="I212" s="548"/>
      <c r="J212" s="538"/>
      <c r="K212" s="538"/>
      <c r="L212" s="538"/>
      <c r="M212" s="538"/>
      <c r="N212" s="538"/>
      <c r="O212" s="538"/>
      <c r="P212" s="564"/>
      <c r="Q212" s="538"/>
      <c r="R212" s="538"/>
      <c r="S212" s="538"/>
      <c r="T212" s="564"/>
      <c r="U212" s="564"/>
      <c r="V212" s="548"/>
      <c r="W212" s="538"/>
      <c r="X212" s="599"/>
      <c r="Y212" s="541"/>
      <c r="Z212" s="501"/>
    </row>
    <row r="213" spans="1:31" ht="12.95" thickBot="1">
      <c r="A213" s="6">
        <f>MAX(A$159:A212)+1</f>
        <v>99</v>
      </c>
      <c r="B213" s="58"/>
      <c r="C213" s="10" t="s">
        <v>298</v>
      </c>
      <c r="D213" s="58"/>
      <c r="E213" s="30"/>
      <c r="F213" s="58"/>
      <c r="G213" s="589">
        <f>G197</f>
        <v>15713.662</v>
      </c>
      <c r="H213" s="58"/>
      <c r="I213" s="572">
        <f>J213/G213*100</f>
        <v>1.2373947786773083</v>
      </c>
      <c r="J213" s="628">
        <f t="shared" ref="J213" si="110">J202+J204+J209+J211</f>
        <v>194.44003312700031</v>
      </c>
      <c r="K213" s="564"/>
      <c r="L213" s="628">
        <f>L202+L204+L209+L211</f>
        <v>1.662079898703499</v>
      </c>
      <c r="M213" s="628">
        <f t="shared" ref="M213:O213" si="111">M202+M204+M209+M211</f>
        <v>36.932415941470516</v>
      </c>
      <c r="N213" s="628">
        <f t="shared" si="111"/>
        <v>4.4912034239250485</v>
      </c>
      <c r="O213" s="628">
        <f t="shared" si="111"/>
        <v>151.35433386290123</v>
      </c>
      <c r="P213" s="564"/>
      <c r="Q213" s="628">
        <f>Q202+Q204+Q209+Q211</f>
        <v>1.3899609150620136</v>
      </c>
      <c r="R213" s="628">
        <f t="shared" ref="R213:S213" si="112">R202+R204+R209+R211</f>
        <v>40.475003582647929</v>
      </c>
      <c r="S213" s="628">
        <f t="shared" si="112"/>
        <v>4.0113441710601698</v>
      </c>
      <c r="T213" s="564"/>
      <c r="U213" s="628">
        <f>U202+U204+U209+U211</f>
        <v>197.23064253167135</v>
      </c>
      <c r="V213" s="590">
        <f>U213/G213*100</f>
        <v>1.2551539070375279</v>
      </c>
      <c r="W213" s="638">
        <f>W202+W204+W209+W211</f>
        <v>2.7906094046710468</v>
      </c>
      <c r="X213" s="602">
        <f>V213/I213-1</f>
        <v>1.4352031111043662E-2</v>
      </c>
      <c r="Y213" s="559"/>
      <c r="Z213" s="501"/>
      <c r="AA213" s="738"/>
      <c r="AC213" s="738"/>
    </row>
    <row r="214" spans="1:31" ht="12.95" thickTop="1">
      <c r="A214" s="6"/>
      <c r="B214" s="58"/>
      <c r="C214" s="10"/>
      <c r="D214" s="58"/>
      <c r="E214" s="30"/>
      <c r="F214" s="58"/>
      <c r="G214" s="29"/>
      <c r="H214" s="58"/>
      <c r="I214" s="58"/>
      <c r="J214" s="501"/>
      <c r="K214" s="501"/>
      <c r="L214" s="501"/>
      <c r="M214" s="501"/>
      <c r="N214" s="501"/>
      <c r="O214" s="501"/>
      <c r="P214" s="58"/>
      <c r="Q214" s="501"/>
      <c r="R214" s="501"/>
      <c r="S214" s="501"/>
      <c r="T214" s="58"/>
      <c r="U214" s="58"/>
      <c r="V214" s="58"/>
      <c r="W214" s="501"/>
      <c r="X214" s="522"/>
      <c r="Y214" s="501"/>
      <c r="Z214" s="501"/>
      <c r="AA214" s="738"/>
      <c r="AC214" s="738"/>
    </row>
    <row r="215" spans="1:31">
      <c r="J215" s="501"/>
      <c r="K215" s="501"/>
      <c r="L215" s="2"/>
      <c r="M215" s="2"/>
      <c r="N215" s="501"/>
      <c r="O215" s="501"/>
      <c r="Q215" s="501"/>
      <c r="R215" s="501"/>
      <c r="S215" s="501"/>
      <c r="W215" s="501"/>
      <c r="X215" s="522"/>
      <c r="Y215" s="501"/>
      <c r="Z215" s="501"/>
      <c r="AA215" s="738"/>
      <c r="AC215" s="738"/>
    </row>
    <row r="216" spans="1:31">
      <c r="J216" s="501"/>
      <c r="K216" s="501"/>
      <c r="L216" s="2"/>
      <c r="M216" s="2"/>
      <c r="N216" s="501"/>
      <c r="O216" s="501"/>
      <c r="Q216" s="501"/>
      <c r="R216" s="501"/>
      <c r="S216" s="501"/>
      <c r="W216" s="538"/>
      <c r="X216" s="522"/>
      <c r="Y216" s="501"/>
      <c r="Z216" s="501"/>
      <c r="AA216" s="738"/>
      <c r="AC216" s="738"/>
    </row>
    <row r="217" spans="1:31">
      <c r="J217" s="501"/>
      <c r="K217" s="501"/>
      <c r="L217" s="2"/>
      <c r="M217" s="2"/>
      <c r="N217" s="501"/>
      <c r="O217" s="501"/>
      <c r="Q217" s="501"/>
      <c r="R217" s="501"/>
      <c r="S217" s="501"/>
      <c r="W217" s="501"/>
      <c r="X217" s="522"/>
      <c r="Y217" s="501"/>
      <c r="Z217" s="501"/>
      <c r="AA217" s="738"/>
      <c r="AC217" s="738"/>
    </row>
    <row r="218" spans="1:31">
      <c r="A218" s="1156" t="s">
        <v>279</v>
      </c>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713"/>
      <c r="Z218" s="713"/>
      <c r="AA218" s="738"/>
      <c r="AC218" s="738"/>
    </row>
    <row r="219" spans="1:31">
      <c r="A219" s="1156" t="s">
        <v>499</v>
      </c>
      <c r="B219" s="1156"/>
      <c r="C219" s="1156"/>
      <c r="D219" s="1156"/>
      <c r="E219" s="1156"/>
      <c r="F219" s="1156"/>
      <c r="G219" s="1156"/>
      <c r="H219" s="1156"/>
      <c r="I219" s="1156"/>
      <c r="J219" s="1156"/>
      <c r="K219" s="1156"/>
      <c r="L219" s="1156"/>
      <c r="M219" s="1156"/>
      <c r="N219" s="1156"/>
      <c r="O219" s="1156"/>
      <c r="P219" s="1156"/>
      <c r="Q219" s="1156"/>
      <c r="R219" s="1156"/>
      <c r="S219" s="1156"/>
      <c r="T219" s="1156"/>
      <c r="U219" s="1156"/>
      <c r="V219" s="1156"/>
      <c r="W219" s="1156"/>
      <c r="X219" s="1156"/>
      <c r="Y219" s="501"/>
      <c r="Z219" s="501"/>
      <c r="AA219" s="738"/>
      <c r="AC219" s="738"/>
    </row>
    <row r="220" spans="1:31">
      <c r="A220" s="57"/>
      <c r="B220" s="57"/>
      <c r="C220" s="57"/>
      <c r="D220" s="57"/>
      <c r="E220" s="3"/>
      <c r="F220" s="57"/>
      <c r="G220" s="3"/>
      <c r="H220" s="57"/>
      <c r="I220" s="57"/>
      <c r="J220" s="501"/>
      <c r="K220" s="501"/>
      <c r="L220" s="4"/>
      <c r="M220" s="4"/>
      <c r="N220" s="501"/>
      <c r="O220" s="501"/>
      <c r="P220" s="57"/>
      <c r="Q220" s="501"/>
      <c r="R220" s="501"/>
      <c r="S220" s="501"/>
      <c r="T220" s="57"/>
      <c r="U220" s="57"/>
      <c r="V220" s="57"/>
      <c r="W220" s="501"/>
      <c r="X220" s="522"/>
      <c r="Y220" s="6"/>
      <c r="Z220" s="501"/>
      <c r="AA220" s="738"/>
      <c r="AC220" s="738"/>
    </row>
    <row r="221" spans="1:31">
      <c r="A221" s="3"/>
      <c r="B221" s="3"/>
      <c r="C221" s="3"/>
      <c r="D221" s="3"/>
      <c r="E221" s="58"/>
      <c r="F221" s="58"/>
      <c r="G221" s="1152" t="s">
        <v>231</v>
      </c>
      <c r="H221" s="1152"/>
      <c r="I221" s="1152"/>
      <c r="J221" s="1152"/>
      <c r="K221" s="58"/>
      <c r="L221" s="1152" t="s">
        <v>94</v>
      </c>
      <c r="M221" s="1152"/>
      <c r="N221" s="1152"/>
      <c r="O221" s="58"/>
      <c r="P221" s="3"/>
      <c r="Q221" s="1152" t="s">
        <v>95</v>
      </c>
      <c r="R221" s="1152"/>
      <c r="S221" s="1152"/>
      <c r="T221" s="3"/>
      <c r="U221" s="1152" t="s">
        <v>232</v>
      </c>
      <c r="V221" s="1152"/>
      <c r="W221" s="1152"/>
      <c r="X221" s="1152"/>
      <c r="Y221" s="5"/>
      <c r="Z221" s="501"/>
      <c r="AA221" s="738"/>
      <c r="AC221" s="738"/>
    </row>
    <row r="222" spans="1:31" ht="37.5">
      <c r="A222" s="5" t="s">
        <v>56</v>
      </c>
      <c r="B222" s="5"/>
      <c r="C222" s="5"/>
      <c r="D222" s="5"/>
      <c r="E222" s="6" t="s">
        <v>233</v>
      </c>
      <c r="F222" s="5"/>
      <c r="G222" s="17" t="s">
        <v>234</v>
      </c>
      <c r="H222" s="5"/>
      <c r="I222" s="17" t="s">
        <v>235</v>
      </c>
      <c r="J222" s="5" t="s">
        <v>101</v>
      </c>
      <c r="K222" s="5"/>
      <c r="L222" s="5" t="s">
        <v>491</v>
      </c>
      <c r="M222" s="5" t="s">
        <v>492</v>
      </c>
      <c r="N222" s="5" t="s">
        <v>493</v>
      </c>
      <c r="O222" s="5" t="s">
        <v>239</v>
      </c>
      <c r="P222" s="5"/>
      <c r="Q222" s="5" t="s">
        <v>491</v>
      </c>
      <c r="R222" s="5" t="s">
        <v>492</v>
      </c>
      <c r="S222" s="5" t="s">
        <v>493</v>
      </c>
      <c r="T222" s="5"/>
      <c r="U222" s="17" t="s">
        <v>113</v>
      </c>
      <c r="V222" s="17" t="s">
        <v>242</v>
      </c>
      <c r="W222" s="17" t="s">
        <v>243</v>
      </c>
      <c r="X222" s="5" t="s">
        <v>244</v>
      </c>
      <c r="Y222" s="6"/>
      <c r="Z222" s="501"/>
      <c r="AA222" s="738"/>
      <c r="AC222" s="738"/>
    </row>
    <row r="223" spans="1:31" ht="14.45">
      <c r="A223" s="237" t="s">
        <v>57</v>
      </c>
      <c r="B223" s="58"/>
      <c r="C223" s="59" t="s">
        <v>194</v>
      </c>
      <c r="D223" s="58"/>
      <c r="E223" s="237" t="s">
        <v>245</v>
      </c>
      <c r="F223" s="58"/>
      <c r="G223" s="237" t="s">
        <v>246</v>
      </c>
      <c r="H223" s="58"/>
      <c r="I223" s="237" t="s">
        <v>247</v>
      </c>
      <c r="J223" s="237" t="s">
        <v>248</v>
      </c>
      <c r="K223" s="6"/>
      <c r="L223" s="237" t="s">
        <v>248</v>
      </c>
      <c r="M223" s="237" t="s">
        <v>248</v>
      </c>
      <c r="N223" s="237" t="s">
        <v>248</v>
      </c>
      <c r="O223" s="237" t="s">
        <v>248</v>
      </c>
      <c r="P223" s="58"/>
      <c r="Q223" s="237" t="s">
        <v>248</v>
      </c>
      <c r="R223" s="237" t="s">
        <v>248</v>
      </c>
      <c r="S223" s="237" t="s">
        <v>248</v>
      </c>
      <c r="T223" s="58"/>
      <c r="U223" s="237" t="s">
        <v>248</v>
      </c>
      <c r="V223" s="237" t="s">
        <v>247</v>
      </c>
      <c r="W223" s="237" t="s">
        <v>248</v>
      </c>
      <c r="X223" s="237" t="s">
        <v>249</v>
      </c>
      <c r="Y223" s="501"/>
      <c r="Z223" s="501"/>
      <c r="AE223" s="530"/>
    </row>
    <row r="224" spans="1:31">
      <c r="A224" s="6"/>
      <c r="B224" s="58"/>
      <c r="C224" s="58"/>
      <c r="D224" s="58"/>
      <c r="E224" s="6"/>
      <c r="F224" s="58"/>
      <c r="G224" s="6" t="s">
        <v>9</v>
      </c>
      <c r="H224" s="6"/>
      <c r="I224" s="6" t="s">
        <v>10</v>
      </c>
      <c r="J224" s="6" t="s">
        <v>58</v>
      </c>
      <c r="K224" s="6"/>
      <c r="L224" s="123" t="s">
        <v>12</v>
      </c>
      <c r="M224" s="123" t="s">
        <v>13</v>
      </c>
      <c r="N224" s="6" t="s">
        <v>115</v>
      </c>
      <c r="O224" s="6" t="s">
        <v>495</v>
      </c>
      <c r="P224" s="6"/>
      <c r="Q224" s="6" t="s">
        <v>210</v>
      </c>
      <c r="R224" s="6" t="s">
        <v>118</v>
      </c>
      <c r="S224" s="6" t="s">
        <v>119</v>
      </c>
      <c r="T224" s="6"/>
      <c r="U224" s="6" t="s">
        <v>496</v>
      </c>
      <c r="V224" s="6" t="s">
        <v>121</v>
      </c>
      <c r="W224" s="6" t="s">
        <v>497</v>
      </c>
      <c r="X224" s="6" t="s">
        <v>498</v>
      </c>
      <c r="Y224" s="501"/>
      <c r="Z224" s="501"/>
      <c r="AE224" s="530"/>
    </row>
    <row r="225" spans="1:31">
      <c r="A225" s="6"/>
      <c r="B225" s="58"/>
      <c r="C225" s="9" t="s">
        <v>135</v>
      </c>
      <c r="D225" s="58"/>
      <c r="E225" s="30"/>
      <c r="F225" s="58"/>
      <c r="G225" s="29"/>
      <c r="H225" s="58"/>
      <c r="I225" s="58"/>
      <c r="J225" s="501"/>
      <c r="K225" s="501"/>
      <c r="L225" s="501"/>
      <c r="M225" s="501"/>
      <c r="N225" s="501"/>
      <c r="O225" s="501"/>
      <c r="P225" s="58"/>
      <c r="Q225" s="501"/>
      <c r="R225" s="501"/>
      <c r="S225" s="501"/>
      <c r="T225" s="58"/>
      <c r="U225" s="58"/>
      <c r="V225" s="58"/>
      <c r="W225" s="501"/>
      <c r="X225" s="522"/>
      <c r="Y225" s="501"/>
      <c r="Z225" s="501"/>
    </row>
    <row r="226" spans="1:31">
      <c r="A226" s="6">
        <v>100</v>
      </c>
      <c r="B226" s="58"/>
      <c r="C226" s="10" t="s">
        <v>258</v>
      </c>
      <c r="D226" s="58"/>
      <c r="E226" s="30" t="s">
        <v>259</v>
      </c>
      <c r="F226" s="58"/>
      <c r="G226" s="29">
        <v>264</v>
      </c>
      <c r="I226" s="29">
        <v>0</v>
      </c>
      <c r="J226" s="64">
        <v>0</v>
      </c>
      <c r="K226" s="64"/>
      <c r="L226" s="538">
        <v>0</v>
      </c>
      <c r="M226" s="538">
        <v>0</v>
      </c>
      <c r="N226" s="538">
        <v>0</v>
      </c>
      <c r="O226" s="64">
        <v>0</v>
      </c>
      <c r="P226" s="64"/>
      <c r="Q226" s="538">
        <v>0</v>
      </c>
      <c r="R226" s="538">
        <v>0</v>
      </c>
      <c r="S226" s="538">
        <v>0</v>
      </c>
      <c r="T226" s="64"/>
      <c r="U226" s="64">
        <v>0</v>
      </c>
      <c r="V226" s="64">
        <v>0</v>
      </c>
      <c r="W226" s="538">
        <v>0</v>
      </c>
      <c r="X226" s="782"/>
      <c r="Y226" s="541"/>
      <c r="Z226" s="501"/>
      <c r="AA226" s="738"/>
      <c r="AE226" s="739"/>
    </row>
    <row r="227" spans="1:31">
      <c r="A227" s="6">
        <f>MAX(A$225:A226)+1</f>
        <v>101</v>
      </c>
      <c r="B227" s="58"/>
      <c r="C227" s="521" t="s">
        <v>280</v>
      </c>
      <c r="D227" s="58"/>
      <c r="E227" s="30" t="s">
        <v>281</v>
      </c>
      <c r="F227" s="58"/>
      <c r="G227" s="29">
        <v>30927.768</v>
      </c>
      <c r="H227" s="58"/>
      <c r="I227" s="29">
        <v>0</v>
      </c>
      <c r="J227" s="64">
        <v>0</v>
      </c>
      <c r="K227" s="64"/>
      <c r="L227" s="538">
        <v>0</v>
      </c>
      <c r="M227" s="538">
        <v>0</v>
      </c>
      <c r="N227" s="538">
        <v>0</v>
      </c>
      <c r="O227" s="64">
        <v>0</v>
      </c>
      <c r="P227" s="564"/>
      <c r="Q227" s="538">
        <v>0</v>
      </c>
      <c r="R227" s="538">
        <v>0</v>
      </c>
      <c r="S227" s="538">
        <v>0</v>
      </c>
      <c r="T227" s="564"/>
      <c r="U227" s="64"/>
      <c r="V227" s="564">
        <v>0</v>
      </c>
      <c r="W227" s="538">
        <v>0</v>
      </c>
      <c r="X227" s="782"/>
      <c r="Y227" s="541"/>
      <c r="Z227" s="501"/>
      <c r="AA227" s="738"/>
    </row>
    <row r="228" spans="1:31">
      <c r="A228" s="6"/>
      <c r="B228" s="58"/>
      <c r="C228" s="521" t="s">
        <v>260</v>
      </c>
      <c r="D228" s="58"/>
      <c r="E228" s="30"/>
      <c r="F228" s="58"/>
      <c r="G228" s="29"/>
      <c r="H228" s="58"/>
      <c r="I228" s="58"/>
      <c r="J228" s="64"/>
      <c r="K228" s="64"/>
      <c r="L228" s="501"/>
      <c r="M228" s="501"/>
      <c r="N228" s="501"/>
      <c r="O228" s="64"/>
      <c r="P228" s="58"/>
      <c r="Q228" s="501"/>
      <c r="R228" s="501"/>
      <c r="S228" s="501"/>
      <c r="T228" s="58"/>
      <c r="U228" s="64">
        <v>0</v>
      </c>
      <c r="V228" s="565"/>
      <c r="W228" s="538"/>
      <c r="X228" s="782"/>
      <c r="Y228" s="541"/>
      <c r="Z228" s="501"/>
      <c r="AA228" s="738"/>
    </row>
    <row r="229" spans="1:31">
      <c r="A229" s="6">
        <f>MAX(A$225:A228)+1</f>
        <v>102</v>
      </c>
      <c r="B229" s="58"/>
      <c r="C229" s="12" t="s">
        <v>502</v>
      </c>
      <c r="D229" s="58"/>
      <c r="E229" s="30" t="s">
        <v>262</v>
      </c>
      <c r="F229" s="58"/>
      <c r="G229" s="29">
        <v>183923.41800000001</v>
      </c>
      <c r="H229" s="58"/>
      <c r="I229" s="547">
        <v>0.30993269545225122</v>
      </c>
      <c r="J229" s="64">
        <f>G229*I229/100</f>
        <v>570.03880697531099</v>
      </c>
      <c r="K229" s="64"/>
      <c r="L229" s="29">
        <v>19.45411680349503</v>
      </c>
      <c r="M229" s="29">
        <v>409.35571905921825</v>
      </c>
      <c r="N229" s="29">
        <v>23.565270754459615</v>
      </c>
      <c r="O229" s="64">
        <f>J229-L229-M229-N229</f>
        <v>117.6637003581381</v>
      </c>
      <c r="P229" s="564"/>
      <c r="Q229" s="29">
        <v>16.269050612429695</v>
      </c>
      <c r="R229" s="29">
        <v>448.62145551909913</v>
      </c>
      <c r="S229" s="29">
        <v>21.047457119576208</v>
      </c>
      <c r="T229" s="564"/>
      <c r="U229" s="64">
        <f>SUM(O229:S229)</f>
        <v>603.60166360924313</v>
      </c>
      <c r="V229" s="565">
        <f>U229/G229*100</f>
        <v>0.32818097345779162</v>
      </c>
      <c r="W229" s="538">
        <f>U229-J229</f>
        <v>33.562856633932142</v>
      </c>
      <c r="X229" s="559"/>
      <c r="Y229" s="559"/>
      <c r="Z229" s="501"/>
      <c r="AA229" s="738"/>
      <c r="AC229" s="738"/>
      <c r="AE229" s="744"/>
    </row>
    <row r="230" spans="1:31">
      <c r="A230" s="6">
        <f>MAX(A$225:A229)+1</f>
        <v>103</v>
      </c>
      <c r="B230" s="58"/>
      <c r="C230" s="12" t="s">
        <v>503</v>
      </c>
      <c r="D230" s="58"/>
      <c r="E230" s="30" t="s">
        <v>262</v>
      </c>
      <c r="F230" s="58"/>
      <c r="G230" s="29">
        <v>139330.31</v>
      </c>
      <c r="H230" s="58"/>
      <c r="I230" s="547">
        <v>0.30993307500504286</v>
      </c>
      <c r="J230" s="64">
        <f>G230*I230/100</f>
        <v>431.83071419705868</v>
      </c>
      <c r="K230" s="64"/>
      <c r="L230" s="29">
        <v>14.737373600827556</v>
      </c>
      <c r="M230" s="29">
        <v>310.10547681749682</v>
      </c>
      <c r="N230" s="29">
        <v>17.851758711078279</v>
      </c>
      <c r="O230" s="64">
        <f>J230-L230-M230-N230</f>
        <v>89.136105067656047</v>
      </c>
      <c r="P230" s="564"/>
      <c r="Q230" s="29">
        <v>12.324541865764585</v>
      </c>
      <c r="R230" s="29">
        <v>339.85104860397541</v>
      </c>
      <c r="S230" s="29">
        <v>15.944400974443937</v>
      </c>
      <c r="T230" s="564"/>
      <c r="U230" s="64">
        <f>SUM(O230:S230)</f>
        <v>457.25609651184004</v>
      </c>
      <c r="V230" s="565">
        <f>U230/G230*100</f>
        <v>0.32818135301058332</v>
      </c>
      <c r="W230" s="538">
        <f>U230-J230</f>
        <v>25.425382314781359</v>
      </c>
      <c r="X230" s="559"/>
      <c r="Y230" s="559"/>
      <c r="Z230" s="501"/>
      <c r="AA230" s="738"/>
      <c r="AC230" s="738"/>
      <c r="AE230" s="744"/>
    </row>
    <row r="231" spans="1:31">
      <c r="A231" s="6">
        <f>MAX(A$225:A230)+1</f>
        <v>104</v>
      </c>
      <c r="B231" s="58"/>
      <c r="C231" s="10" t="s">
        <v>501</v>
      </c>
      <c r="D231" s="58"/>
      <c r="E231" s="30" t="s">
        <v>262</v>
      </c>
      <c r="F231" s="58"/>
      <c r="G231" s="131">
        <f>SUM(G229:G230)</f>
        <v>323253.728</v>
      </c>
      <c r="H231" s="58"/>
      <c r="I231" s="556">
        <f>J231/G231*100</f>
        <v>0.30993285904884277</v>
      </c>
      <c r="J231" s="555">
        <f>SUM(J229:J230)</f>
        <v>1001.8695211723697</v>
      </c>
      <c r="K231" s="538"/>
      <c r="L231" s="555">
        <f>SUM(L229:L230)</f>
        <v>34.191490404322586</v>
      </c>
      <c r="M231" s="555">
        <f t="shared" ref="M231:N231" si="113">SUM(M229:M230)</f>
        <v>719.46119587671501</v>
      </c>
      <c r="N231" s="555">
        <f t="shared" si="113"/>
        <v>41.417029465537894</v>
      </c>
      <c r="O231" s="555">
        <f>SUM(O229:O230)</f>
        <v>206.79980542579415</v>
      </c>
      <c r="P231" s="538"/>
      <c r="Q231" s="555">
        <f>SUM(Q229:Q230)</f>
        <v>28.593592478194282</v>
      </c>
      <c r="R231" s="555">
        <f t="shared" ref="R231:S231" si="114">SUM(R229:R230)</f>
        <v>788.47250412307449</v>
      </c>
      <c r="S231" s="555">
        <f t="shared" si="114"/>
        <v>36.991858094020145</v>
      </c>
      <c r="T231" s="564"/>
      <c r="U231" s="619">
        <f>SUM(U229:U230)</f>
        <v>1060.8577601210832</v>
      </c>
      <c r="V231" s="639">
        <f>U231/G231*100</f>
        <v>0.32818113705438323</v>
      </c>
      <c r="W231" s="555">
        <f>SUM(W229:W230)</f>
        <v>58.988238948713501</v>
      </c>
      <c r="X231" s="558">
        <f>V231/I231-1</f>
        <v>5.8878164972706815E-2</v>
      </c>
      <c r="Y231" s="559"/>
      <c r="Z231" s="501"/>
      <c r="AA231" s="738"/>
      <c r="AC231" s="738"/>
      <c r="AE231" s="744"/>
    </row>
    <row r="232" spans="1:31">
      <c r="A232" s="6"/>
      <c r="B232" s="58"/>
      <c r="C232" s="10"/>
      <c r="D232" s="58"/>
      <c r="E232" s="30"/>
      <c r="F232" s="58"/>
      <c r="G232" s="29"/>
      <c r="H232" s="58"/>
      <c r="I232" s="58"/>
      <c r="J232" s="501"/>
      <c r="K232" s="501"/>
      <c r="L232" s="501"/>
      <c r="M232" s="501"/>
      <c r="N232" s="501"/>
      <c r="O232" s="501"/>
      <c r="P232" s="58"/>
      <c r="Q232" s="501"/>
      <c r="R232" s="501"/>
      <c r="S232" s="501"/>
      <c r="T232" s="58"/>
      <c r="U232" s="58"/>
      <c r="V232" s="58"/>
      <c r="W232" s="501"/>
      <c r="X232" s="605"/>
      <c r="Y232" s="501"/>
      <c r="Z232" s="501"/>
      <c r="AA232" s="738"/>
      <c r="AC232" s="738"/>
      <c r="AE232" s="744"/>
    </row>
    <row r="233" spans="1:31">
      <c r="A233" s="6">
        <f>MAX(A$225:A232)+1</f>
        <v>105</v>
      </c>
      <c r="B233" s="58"/>
      <c r="C233" s="10" t="s">
        <v>294</v>
      </c>
      <c r="D233" s="58"/>
      <c r="E233" s="30"/>
      <c r="F233" s="58"/>
      <c r="G233" s="29">
        <v>3542.5066082191779</v>
      </c>
      <c r="H233" s="58"/>
      <c r="I233" s="620">
        <v>-110</v>
      </c>
      <c r="J233" s="538">
        <f>G233*I233/100</f>
        <v>-3896.7572690410957</v>
      </c>
      <c r="K233" s="538"/>
      <c r="L233" s="538">
        <v>0</v>
      </c>
      <c r="M233" s="538">
        <v>0</v>
      </c>
      <c r="N233" s="538">
        <v>0</v>
      </c>
      <c r="O233" s="538">
        <f>J233-L233-M233-N233</f>
        <v>-3896.7572690410957</v>
      </c>
      <c r="P233" s="564"/>
      <c r="Q233" s="576">
        <v>0</v>
      </c>
      <c r="R233" s="576">
        <v>0</v>
      </c>
      <c r="S233" s="576">
        <v>0</v>
      </c>
      <c r="T233" s="564"/>
      <c r="U233" s="564">
        <f>SUM(O233:S233)</f>
        <v>-3896.7572690410957</v>
      </c>
      <c r="V233" s="565">
        <f>U233/G233*100</f>
        <v>-110.00000000000001</v>
      </c>
      <c r="W233" s="538">
        <v>0</v>
      </c>
      <c r="X233" s="576"/>
      <c r="Y233" s="538"/>
      <c r="Z233" s="501"/>
      <c r="AA233" s="738"/>
      <c r="AC233" s="738"/>
      <c r="AE233" s="744"/>
    </row>
    <row r="234" spans="1:31">
      <c r="A234" s="6"/>
      <c r="B234" s="58"/>
      <c r="C234" s="10"/>
      <c r="D234" s="58"/>
      <c r="E234" s="30"/>
      <c r="F234" s="58"/>
      <c r="G234" s="132"/>
      <c r="H234" s="58"/>
      <c r="I234" s="58"/>
      <c r="J234" s="538"/>
      <c r="K234" s="538"/>
      <c r="L234" s="622"/>
      <c r="M234" s="622"/>
      <c r="N234" s="622"/>
      <c r="O234" s="538"/>
      <c r="P234" s="58"/>
      <c r="Q234" s="622"/>
      <c r="R234" s="622"/>
      <c r="S234" s="622"/>
      <c r="T234" s="58"/>
      <c r="U234" s="564"/>
      <c r="V234" s="58"/>
      <c r="W234" s="501"/>
      <c r="X234" s="605"/>
      <c r="Y234" s="501"/>
      <c r="Z234" s="501"/>
      <c r="AA234" s="738"/>
      <c r="AC234" s="738"/>
      <c r="AE234" s="744"/>
    </row>
    <row r="235" spans="1:31">
      <c r="A235" s="6">
        <f>MAX(A$225:A234)+1</f>
        <v>106</v>
      </c>
      <c r="B235" s="58"/>
      <c r="C235" s="10" t="s">
        <v>266</v>
      </c>
      <c r="D235" s="58"/>
      <c r="E235" s="30"/>
      <c r="F235" s="58"/>
      <c r="G235" s="131">
        <f>G231</f>
        <v>323253.728</v>
      </c>
      <c r="H235" s="3"/>
      <c r="I235" s="641">
        <f>J235/G235*100</f>
        <v>-0.89554659300595163</v>
      </c>
      <c r="J235" s="636">
        <f t="shared" ref="J235" si="115">J231+J233</f>
        <v>-2894.8877478687259</v>
      </c>
      <c r="K235" s="642"/>
      <c r="L235" s="636">
        <f>L231+L233</f>
        <v>34.191490404322586</v>
      </c>
      <c r="M235" s="636">
        <f t="shared" ref="M235:U235" si="116">M231+M233</f>
        <v>719.46119587671501</v>
      </c>
      <c r="N235" s="636">
        <f t="shared" si="116"/>
        <v>41.417029465537894</v>
      </c>
      <c r="O235" s="636">
        <f t="shared" si="116"/>
        <v>-3689.9574636153015</v>
      </c>
      <c r="P235" s="642"/>
      <c r="Q235" s="636">
        <f t="shared" si="116"/>
        <v>28.593592478194282</v>
      </c>
      <c r="R235" s="636">
        <f t="shared" si="116"/>
        <v>788.47250412307449</v>
      </c>
      <c r="S235" s="636">
        <f t="shared" si="116"/>
        <v>36.991858094020145</v>
      </c>
      <c r="T235" s="636"/>
      <c r="U235" s="636">
        <f t="shared" si="116"/>
        <v>-2835.8995089200125</v>
      </c>
      <c r="V235" s="641">
        <f>U235/G235*100</f>
        <v>-0.87729831500041111</v>
      </c>
      <c r="W235" s="636">
        <f>W231+W233</f>
        <v>58.988238948713501</v>
      </c>
      <c r="X235" s="558">
        <f>V235/I235-1</f>
        <v>-2.0376693014139136E-2</v>
      </c>
      <c r="Y235" s="559"/>
      <c r="Z235" s="501"/>
      <c r="AA235" s="738"/>
      <c r="AC235" s="738"/>
      <c r="AE235" s="744"/>
    </row>
    <row r="236" spans="1:31">
      <c r="A236" s="6"/>
      <c r="B236" s="58"/>
      <c r="C236" s="10"/>
      <c r="D236" s="58"/>
      <c r="E236" s="30"/>
      <c r="F236" s="58"/>
      <c r="G236" s="29"/>
      <c r="H236" s="58"/>
      <c r="I236" s="58"/>
      <c r="J236" s="538"/>
      <c r="K236" s="538"/>
      <c r="L236" s="501"/>
      <c r="M236" s="501"/>
      <c r="N236" s="501"/>
      <c r="O236" s="538"/>
      <c r="P236" s="58"/>
      <c r="Q236" s="622"/>
      <c r="R236" s="622"/>
      <c r="S236" s="622"/>
      <c r="T236" s="58"/>
      <c r="U236" s="564"/>
      <c r="V236" s="58"/>
      <c r="W236" s="501"/>
      <c r="X236" s="605"/>
      <c r="Y236" s="501"/>
      <c r="Z236" s="501"/>
      <c r="AA236" s="738"/>
      <c r="AC236" s="738"/>
      <c r="AE236" s="744"/>
    </row>
    <row r="237" spans="1:31">
      <c r="A237" s="6">
        <f>MAX(A$225:A236)+1</f>
        <v>107</v>
      </c>
      <c r="B237" s="58"/>
      <c r="C237" s="12" t="s">
        <v>267</v>
      </c>
      <c r="D237" s="58"/>
      <c r="E237" s="574" t="s">
        <v>262</v>
      </c>
      <c r="F237" s="58"/>
      <c r="G237" s="29">
        <v>323253.728</v>
      </c>
      <c r="H237" s="58"/>
      <c r="I237" s="547">
        <v>0.10803061275703731</v>
      </c>
      <c r="J237" s="538">
        <f>G237*I237/100</f>
        <v>349.21298311836671</v>
      </c>
      <c r="K237" s="538"/>
      <c r="L237" s="538">
        <v>0</v>
      </c>
      <c r="M237" s="538">
        <v>0</v>
      </c>
      <c r="N237" s="538">
        <v>0</v>
      </c>
      <c r="O237" s="538">
        <f>J237-L237-M237-N237</f>
        <v>349.21298311836671</v>
      </c>
      <c r="P237" s="640"/>
      <c r="Q237" s="576">
        <v>0</v>
      </c>
      <c r="R237" s="576">
        <v>0</v>
      </c>
      <c r="S237" s="576">
        <v>0</v>
      </c>
      <c r="T237" s="58"/>
      <c r="U237" s="564">
        <f>SUM(O237:S237)</f>
        <v>349.21298311836671</v>
      </c>
      <c r="V237" s="565">
        <f>U237/G237*100</f>
        <v>0.10803061275703732</v>
      </c>
      <c r="W237" s="576">
        <f>U237-J237</f>
        <v>0</v>
      </c>
      <c r="X237" s="559">
        <f>V237/I237-1</f>
        <v>0</v>
      </c>
      <c r="Y237" s="559"/>
      <c r="Z237" s="501"/>
      <c r="AA237" s="738"/>
      <c r="AC237" s="738"/>
      <c r="AE237" s="744"/>
    </row>
    <row r="238" spans="1:31">
      <c r="A238" s="6"/>
      <c r="B238" s="58"/>
      <c r="C238" s="12"/>
      <c r="D238" s="58"/>
      <c r="E238" s="574"/>
      <c r="F238" s="58"/>
      <c r="G238" s="29"/>
      <c r="H238" s="58"/>
      <c r="I238" s="547"/>
      <c r="J238" s="538"/>
      <c r="K238" s="538"/>
      <c r="L238" s="538"/>
      <c r="M238" s="538"/>
      <c r="N238" s="538"/>
      <c r="O238" s="538"/>
      <c r="P238" s="640"/>
      <c r="Q238" s="576"/>
      <c r="R238" s="576"/>
      <c r="S238" s="576"/>
      <c r="T238" s="58"/>
      <c r="U238" s="564"/>
      <c r="V238" s="548"/>
      <c r="W238" s="576"/>
      <c r="X238" s="559"/>
      <c r="Y238" s="559"/>
      <c r="Z238" s="501"/>
      <c r="AA238" s="738"/>
      <c r="AC238" s="738"/>
      <c r="AE238" s="744"/>
    </row>
    <row r="239" spans="1:31">
      <c r="A239" s="6"/>
      <c r="B239" s="58"/>
      <c r="C239" s="10" t="s">
        <v>268</v>
      </c>
      <c r="D239" s="58"/>
      <c r="E239" s="574"/>
      <c r="F239" s="58"/>
      <c r="G239" s="29"/>
      <c r="H239" s="58"/>
      <c r="I239" s="547"/>
      <c r="J239" s="538"/>
      <c r="K239" s="538"/>
      <c r="L239" s="538"/>
      <c r="M239" s="538"/>
      <c r="N239" s="538"/>
      <c r="O239" s="538"/>
      <c r="P239" s="640"/>
      <c r="Q239" s="576"/>
      <c r="R239" s="576"/>
      <c r="S239" s="576"/>
      <c r="T239" s="58"/>
      <c r="U239" s="564"/>
      <c r="V239" s="548"/>
      <c r="W239" s="576"/>
      <c r="X239" s="559"/>
      <c r="Y239" s="559"/>
      <c r="Z239" s="501"/>
      <c r="AA239" s="738"/>
      <c r="AC239" s="738"/>
      <c r="AE239" s="744"/>
    </row>
    <row r="240" spans="1:31">
      <c r="A240" s="6">
        <f>MAX(A$225:A239)+1</f>
        <v>108</v>
      </c>
      <c r="B240" s="58"/>
      <c r="C240" s="12" t="s">
        <v>268</v>
      </c>
      <c r="D240" s="58"/>
      <c r="E240" s="574" t="s">
        <v>262</v>
      </c>
      <c r="F240" s="58"/>
      <c r="G240" s="29">
        <v>5360.2020000000002</v>
      </c>
      <c r="H240" s="58"/>
      <c r="I240" s="547">
        <v>3.8514906723406952</v>
      </c>
      <c r="J240" s="538">
        <f t="shared" ref="J240:J241" si="117">G240*I240/100</f>
        <v>206.44768004861942</v>
      </c>
      <c r="K240" s="538"/>
      <c r="L240" s="538">
        <v>0</v>
      </c>
      <c r="M240" s="538">
        <v>0</v>
      </c>
      <c r="N240" s="538">
        <v>0</v>
      </c>
      <c r="O240" s="538">
        <f t="shared" ref="O240:O241" si="118">J240-L240-M240-N240</f>
        <v>206.44768004861942</v>
      </c>
      <c r="P240" s="640"/>
      <c r="Q240" s="576">
        <v>0</v>
      </c>
      <c r="R240" s="576">
        <v>0</v>
      </c>
      <c r="S240" s="576">
        <v>0</v>
      </c>
      <c r="T240" s="58"/>
      <c r="U240" s="564">
        <f>SUM(O240:S240)</f>
        <v>206.44768004861942</v>
      </c>
      <c r="V240" s="565">
        <f>U240/G240*100</f>
        <v>3.8514906723406952</v>
      </c>
      <c r="W240" s="576">
        <f t="shared" ref="W240:W241" si="119">U240-J240</f>
        <v>0</v>
      </c>
      <c r="X240" s="599"/>
      <c r="Y240" s="541"/>
      <c r="Z240" s="501"/>
      <c r="AA240" s="738"/>
      <c r="AC240" s="738"/>
      <c r="AE240" s="744"/>
    </row>
    <row r="241" spans="1:31">
      <c r="A241" s="6">
        <f>MAX(A$225:A240)+1</f>
        <v>109</v>
      </c>
      <c r="C241" s="12" t="s">
        <v>269</v>
      </c>
      <c r="E241" s="574" t="s">
        <v>262</v>
      </c>
      <c r="G241" s="29">
        <v>108433.382</v>
      </c>
      <c r="I241" s="547">
        <v>0.3719235668637334</v>
      </c>
      <c r="J241" s="538">
        <f t="shared" si="117"/>
        <v>403.28930200537746</v>
      </c>
      <c r="K241" s="538"/>
      <c r="L241" s="538">
        <v>0</v>
      </c>
      <c r="M241" s="538">
        <v>0</v>
      </c>
      <c r="N241" s="538">
        <v>0</v>
      </c>
      <c r="O241" s="538">
        <f t="shared" si="118"/>
        <v>403.28930200537746</v>
      </c>
      <c r="P241" s="644"/>
      <c r="Q241" s="576">
        <v>0</v>
      </c>
      <c r="R241" s="576">
        <v>0</v>
      </c>
      <c r="S241" s="576">
        <v>0</v>
      </c>
      <c r="U241" s="564">
        <f>SUM(O241:S241)</f>
        <v>403.28930200537746</v>
      </c>
      <c r="V241" s="565">
        <f>U241/G241*100</f>
        <v>0.3719235668637334</v>
      </c>
      <c r="W241" s="576">
        <f t="shared" si="119"/>
        <v>0</v>
      </c>
      <c r="X241" s="599"/>
      <c r="Y241" s="541"/>
      <c r="Z241" s="501"/>
      <c r="AA241" s="738"/>
      <c r="AC241" s="738"/>
      <c r="AE241" s="744"/>
    </row>
    <row r="242" spans="1:31">
      <c r="A242" s="6">
        <f>MAX(A$225:A241)+1</f>
        <v>110</v>
      </c>
      <c r="C242" s="10" t="s">
        <v>268</v>
      </c>
      <c r="E242" s="574"/>
      <c r="G242" s="411">
        <f>SUM(G240:G241)</f>
        <v>113793.584</v>
      </c>
      <c r="I242" s="566">
        <f>J242/G242*100</f>
        <v>0.53582720626322555</v>
      </c>
      <c r="J242" s="555">
        <f t="shared" ref="J242" si="120">SUM(J240:J241)</f>
        <v>609.73698205399683</v>
      </c>
      <c r="K242" s="538"/>
      <c r="L242" s="555">
        <f>SUM(L240:L241)</f>
        <v>0</v>
      </c>
      <c r="M242" s="555">
        <f t="shared" ref="M242:U242" si="121">SUM(M240:M241)</f>
        <v>0</v>
      </c>
      <c r="N242" s="555">
        <f t="shared" si="121"/>
        <v>0</v>
      </c>
      <c r="O242" s="555">
        <f t="shared" si="121"/>
        <v>609.73698205399683</v>
      </c>
      <c r="P242" s="538"/>
      <c r="Q242" s="555">
        <f t="shared" si="121"/>
        <v>0</v>
      </c>
      <c r="R242" s="555">
        <f t="shared" si="121"/>
        <v>0</v>
      </c>
      <c r="S242" s="555">
        <f t="shared" si="121"/>
        <v>0</v>
      </c>
      <c r="T242" s="538"/>
      <c r="U242" s="555">
        <f t="shared" si="121"/>
        <v>609.73698205399683</v>
      </c>
      <c r="V242" s="592">
        <f>U242/G242*100</f>
        <v>0.53582720626322555</v>
      </c>
      <c r="W242" s="598">
        <f>SUM(W240:W241)</f>
        <v>0</v>
      </c>
      <c r="X242" s="609">
        <f>V242/I242-1</f>
        <v>0</v>
      </c>
      <c r="Y242" s="541"/>
      <c r="Z242" s="501"/>
      <c r="AA242" s="738"/>
      <c r="AC242" s="738"/>
      <c r="AE242" s="744"/>
    </row>
    <row r="243" spans="1:31">
      <c r="A243" s="6"/>
      <c r="B243" s="58"/>
      <c r="C243" s="10"/>
      <c r="D243" s="58"/>
      <c r="E243" s="30"/>
      <c r="F243" s="58"/>
      <c r="G243" s="29"/>
      <c r="H243" s="58"/>
      <c r="I243" s="547"/>
      <c r="J243" s="538"/>
      <c r="K243" s="538"/>
      <c r="L243" s="538"/>
      <c r="M243" s="538"/>
      <c r="N243" s="538"/>
      <c r="O243" s="538"/>
      <c r="P243" s="640"/>
      <c r="Q243" s="576"/>
      <c r="R243" s="576"/>
      <c r="S243" s="576"/>
      <c r="T243" s="58"/>
      <c r="U243" s="564"/>
      <c r="V243" s="548"/>
      <c r="W243" s="576"/>
      <c r="X243" s="599"/>
      <c r="Y243" s="541"/>
      <c r="Z243" s="501"/>
      <c r="AA243" s="738"/>
      <c r="AC243" s="738"/>
      <c r="AE243" s="744"/>
    </row>
    <row r="244" spans="1:31">
      <c r="A244" s="6">
        <f>MAX(A$225:A243)+1</f>
        <v>111</v>
      </c>
      <c r="B244" s="58"/>
      <c r="C244" s="10" t="s">
        <v>270</v>
      </c>
      <c r="D244" s="58"/>
      <c r="E244" s="574" t="s">
        <v>262</v>
      </c>
      <c r="F244" s="58"/>
      <c r="G244" s="29">
        <v>5360.2020000000002</v>
      </c>
      <c r="H244" s="58"/>
      <c r="I244" s="547">
        <v>18.292509821466741</v>
      </c>
      <c r="J244" s="538">
        <f>G244*I244/100</f>
        <v>980.51547730045672</v>
      </c>
      <c r="K244" s="538"/>
      <c r="L244" s="538">
        <v>0</v>
      </c>
      <c r="M244" s="538">
        <v>0</v>
      </c>
      <c r="N244" s="538">
        <v>0</v>
      </c>
      <c r="O244" s="538">
        <f>J244-L244-M244-N244</f>
        <v>980.51547730045672</v>
      </c>
      <c r="P244" s="640"/>
      <c r="Q244" s="576">
        <v>0</v>
      </c>
      <c r="R244" s="576">
        <v>0</v>
      </c>
      <c r="S244" s="576">
        <v>0</v>
      </c>
      <c r="T244" s="58"/>
      <c r="U244" s="564">
        <f>SUM(O244:S244)</f>
        <v>980.51547730045672</v>
      </c>
      <c r="V244" s="565">
        <f>U244/G244*100</f>
        <v>18.292509821466741</v>
      </c>
      <c r="W244" s="576">
        <f>U244-J244</f>
        <v>0</v>
      </c>
      <c r="X244" s="599">
        <f>V244/I244-1</f>
        <v>0</v>
      </c>
      <c r="Y244" s="541"/>
      <c r="Z244" s="501"/>
      <c r="AA244" s="738"/>
      <c r="AC244" s="738"/>
      <c r="AE244" s="744"/>
    </row>
    <row r="245" spans="1:31">
      <c r="A245" s="6"/>
      <c r="B245" s="58"/>
      <c r="C245" s="10"/>
      <c r="D245" s="58"/>
      <c r="E245" s="574"/>
      <c r="F245" s="58"/>
      <c r="G245" s="29"/>
      <c r="H245" s="58"/>
      <c r="I245" s="58"/>
      <c r="J245" s="622"/>
      <c r="K245" s="622"/>
      <c r="L245" s="622"/>
      <c r="M245" s="622"/>
      <c r="N245" s="622"/>
      <c r="O245" s="622"/>
      <c r="P245" s="640"/>
      <c r="Q245" s="622"/>
      <c r="R245" s="622"/>
      <c r="S245" s="622"/>
      <c r="T245" s="58"/>
      <c r="U245" s="564">
        <f>SUM(Q245:S245)</f>
        <v>0</v>
      </c>
      <c r="V245" s="548"/>
      <c r="W245" s="605"/>
      <c r="X245" s="599"/>
      <c r="Y245" s="541"/>
      <c r="Z245" s="501"/>
      <c r="AA245" s="738"/>
      <c r="AC245" s="738"/>
    </row>
    <row r="246" spans="1:31" ht="12.95" thickBot="1">
      <c r="A246" s="6">
        <f>MAX(A$225:A245)+1</f>
        <v>112</v>
      </c>
      <c r="B246" s="58"/>
      <c r="C246" s="10" t="s">
        <v>299</v>
      </c>
      <c r="D246" s="58"/>
      <c r="E246" s="574"/>
      <c r="F246" s="58"/>
      <c r="G246" s="589">
        <f>G231</f>
        <v>323253.728</v>
      </c>
      <c r="H246" s="58"/>
      <c r="I246" s="590">
        <f>J246/G246*100</f>
        <v>-0.29556420317475995</v>
      </c>
      <c r="J246" s="786">
        <f>J235+J237+J242+J244</f>
        <v>-955.42230539590582</v>
      </c>
      <c r="K246" s="642"/>
      <c r="L246" s="786">
        <f>L235+L237+L242+L244</f>
        <v>34.191490404322586</v>
      </c>
      <c r="M246" s="786">
        <f>M235+M237+M242+M244</f>
        <v>719.46119587671501</v>
      </c>
      <c r="N246" s="786">
        <f>N235+N237+N242+N244</f>
        <v>41.417029465537894</v>
      </c>
      <c r="O246" s="786">
        <f>O235+O237+O242+O244</f>
        <v>-1750.4920211424817</v>
      </c>
      <c r="P246" s="539"/>
      <c r="Q246" s="786">
        <f>Q235+Q237+Q242+Q244</f>
        <v>28.593592478194282</v>
      </c>
      <c r="R246" s="786">
        <f>R235+R237+R242+R244</f>
        <v>788.47250412307449</v>
      </c>
      <c r="S246" s="786">
        <f>S235+S237+S242+S244</f>
        <v>36.991858094020145</v>
      </c>
      <c r="T246" s="539"/>
      <c r="U246" s="786">
        <f>U235+U237+U242+U244</f>
        <v>-896.43406644719244</v>
      </c>
      <c r="V246" s="590">
        <f>U246/G246*100</f>
        <v>-0.27731592516921949</v>
      </c>
      <c r="W246" s="786">
        <f>W235+W237+W242+W244</f>
        <v>58.988238948713501</v>
      </c>
      <c r="X246" s="602">
        <f>V246/I246-1</f>
        <v>-6.1740487547305212E-2</v>
      </c>
      <c r="Y246" s="559"/>
      <c r="Z246" s="501"/>
      <c r="AA246" s="747"/>
      <c r="AC246" s="747"/>
      <c r="AE246" s="744"/>
    </row>
    <row r="247" spans="1:31" ht="12.95" thickTop="1">
      <c r="A247" s="6"/>
      <c r="B247" s="58"/>
      <c r="C247" s="12"/>
      <c r="D247" s="58"/>
      <c r="E247" s="574"/>
      <c r="F247" s="58"/>
      <c r="G247" s="29"/>
      <c r="H247" s="58"/>
      <c r="I247" s="58"/>
      <c r="J247" s="501"/>
      <c r="K247" s="501"/>
      <c r="L247" s="501"/>
      <c r="M247" s="64"/>
      <c r="N247" s="501"/>
      <c r="O247" s="501"/>
      <c r="P247" s="58"/>
      <c r="Q247" s="501"/>
      <c r="R247" s="501"/>
      <c r="S247" s="501"/>
      <c r="T247" s="58"/>
      <c r="U247" s="58"/>
      <c r="V247" s="58"/>
      <c r="W247" s="501"/>
      <c r="X247" s="605"/>
      <c r="Y247" s="501"/>
      <c r="Z247" s="501"/>
    </row>
    <row r="248" spans="1:31">
      <c r="A248" s="6"/>
      <c r="B248" s="58"/>
      <c r="C248" s="9" t="s">
        <v>136</v>
      </c>
      <c r="D248" s="58"/>
      <c r="E248" s="30"/>
      <c r="F248" s="58"/>
      <c r="G248" s="132"/>
      <c r="H248" s="58"/>
      <c r="I248" s="58"/>
      <c r="J248" s="501"/>
      <c r="K248" s="501"/>
      <c r="L248" s="501"/>
      <c r="M248" s="501"/>
      <c r="N248" s="501"/>
      <c r="O248" s="501"/>
      <c r="P248" s="58"/>
      <c r="Q248" s="501"/>
      <c r="R248" s="501"/>
      <c r="S248" s="501"/>
      <c r="T248" s="58"/>
      <c r="U248" s="58"/>
      <c r="V248" s="58"/>
      <c r="W248" s="538"/>
      <c r="X248" s="605"/>
      <c r="Y248" s="501"/>
      <c r="Z248" s="501"/>
    </row>
    <row r="249" spans="1:31">
      <c r="A249" s="6">
        <f>MAX(A$225:A248)+1</f>
        <v>113</v>
      </c>
      <c r="C249" s="10" t="s">
        <v>258</v>
      </c>
      <c r="E249" s="30" t="s">
        <v>259</v>
      </c>
      <c r="G249" s="29">
        <v>12</v>
      </c>
      <c r="I249" s="29">
        <v>0</v>
      </c>
      <c r="J249" s="130">
        <v>0</v>
      </c>
      <c r="K249" s="130"/>
      <c r="L249" s="576">
        <v>0</v>
      </c>
      <c r="M249" s="576">
        <v>0</v>
      </c>
      <c r="N249" s="576">
        <v>0</v>
      </c>
      <c r="O249" s="130">
        <v>0</v>
      </c>
      <c r="P249" s="64"/>
      <c r="Q249" s="538">
        <v>0</v>
      </c>
      <c r="R249" s="538">
        <v>0</v>
      </c>
      <c r="S249" s="538">
        <v>0</v>
      </c>
      <c r="T249" s="64"/>
      <c r="U249" s="64">
        <v>0</v>
      </c>
      <c r="V249" s="64">
        <v>0</v>
      </c>
      <c r="W249" s="538">
        <v>0</v>
      </c>
      <c r="X249" s="599"/>
      <c r="Y249" s="599"/>
      <c r="Z249" s="501"/>
      <c r="AA249" s="746"/>
      <c r="AE249" s="746"/>
    </row>
    <row r="250" spans="1:31">
      <c r="A250" s="6">
        <f>MAX(A$225:A249)+1</f>
        <v>114</v>
      </c>
      <c r="B250" s="58"/>
      <c r="C250" s="521" t="s">
        <v>280</v>
      </c>
      <c r="D250" s="58"/>
      <c r="E250" s="30" t="s">
        <v>281</v>
      </c>
      <c r="F250" s="58"/>
      <c r="G250" s="29">
        <v>15025.2</v>
      </c>
      <c r="H250" s="58"/>
      <c r="I250" s="29">
        <v>0</v>
      </c>
      <c r="J250" s="130">
        <v>0</v>
      </c>
      <c r="K250" s="130"/>
      <c r="L250" s="576">
        <v>0</v>
      </c>
      <c r="M250" s="576">
        <v>0</v>
      </c>
      <c r="N250" s="576">
        <v>0</v>
      </c>
      <c r="O250" s="130">
        <v>0</v>
      </c>
      <c r="P250" s="564"/>
      <c r="Q250" s="538">
        <v>0</v>
      </c>
      <c r="R250" s="538">
        <v>0</v>
      </c>
      <c r="S250" s="538">
        <v>0</v>
      </c>
      <c r="T250" s="564"/>
      <c r="U250" s="64">
        <v>0</v>
      </c>
      <c r="V250" s="748">
        <v>0</v>
      </c>
      <c r="W250" s="538">
        <v>0</v>
      </c>
      <c r="X250" s="599"/>
      <c r="Y250" s="541"/>
      <c r="Z250" s="501"/>
      <c r="AA250" s="738"/>
    </row>
    <row r="251" spans="1:31">
      <c r="A251" s="6">
        <f>MAX(A$225:A250)+1</f>
        <v>115</v>
      </c>
      <c r="B251" s="58"/>
      <c r="C251" s="521" t="s">
        <v>260</v>
      </c>
      <c r="D251" s="58"/>
      <c r="E251" s="30" t="s">
        <v>262</v>
      </c>
      <c r="F251" s="58"/>
      <c r="G251" s="29">
        <v>188852.1</v>
      </c>
      <c r="H251" s="58"/>
      <c r="I251" s="547">
        <v>0.7718747868227771</v>
      </c>
      <c r="J251" s="130">
        <f>G251*I251/100</f>
        <v>1457.701744285338</v>
      </c>
      <c r="K251" s="130"/>
      <c r="L251" s="29">
        <v>19.975437885703734</v>
      </c>
      <c r="M251" s="29">
        <v>484.16838165175238</v>
      </c>
      <c r="N251" s="29">
        <v>150.91966472771608</v>
      </c>
      <c r="O251" s="130">
        <f>J251-L251-M251-N251</f>
        <v>802.63826002016583</v>
      </c>
      <c r="P251" s="564"/>
      <c r="Q251" s="29">
        <v>16.705019983717541</v>
      </c>
      <c r="R251" s="29">
        <v>530.61021009337355</v>
      </c>
      <c r="S251" s="29">
        <v>134.79476662733822</v>
      </c>
      <c r="T251" s="564"/>
      <c r="U251" s="64">
        <f>SUM(O251:S251)</f>
        <v>1484.7482567245952</v>
      </c>
      <c r="V251" s="648">
        <f>U251/G251*100</f>
        <v>0.78619631803119749</v>
      </c>
      <c r="W251" s="538">
        <f>U251-J251</f>
        <v>27.046512439257185</v>
      </c>
      <c r="X251" s="559">
        <f>V251/I251-1</f>
        <v>1.8554215596769508E-2</v>
      </c>
      <c r="Y251" s="559"/>
      <c r="Z251" s="501"/>
      <c r="AA251" s="738"/>
      <c r="AC251" s="747"/>
      <c r="AE251" s="744"/>
    </row>
    <row r="252" spans="1:31">
      <c r="A252" s="6"/>
      <c r="B252" s="58"/>
      <c r="C252" s="10"/>
      <c r="D252" s="58"/>
      <c r="E252" s="30"/>
      <c r="F252" s="58"/>
      <c r="G252" s="29"/>
      <c r="H252" s="58"/>
      <c r="I252" s="547"/>
      <c r="J252" s="130"/>
      <c r="K252" s="130"/>
      <c r="L252" s="29"/>
      <c r="M252" s="29"/>
      <c r="N252" s="29"/>
      <c r="O252" s="130"/>
      <c r="P252" s="564"/>
      <c r="Q252" s="29"/>
      <c r="R252" s="29"/>
      <c r="S252" s="29"/>
      <c r="T252" s="564"/>
      <c r="U252" s="64"/>
      <c r="V252" s="648"/>
      <c r="W252" s="538"/>
      <c r="X252" s="559"/>
      <c r="Y252" s="559"/>
      <c r="Z252" s="501"/>
      <c r="AA252" s="738"/>
      <c r="AC252" s="747"/>
      <c r="AE252" s="744"/>
    </row>
    <row r="253" spans="1:31">
      <c r="A253" s="6">
        <f>MAX(A$225:A252)+1</f>
        <v>116</v>
      </c>
      <c r="B253" s="58"/>
      <c r="C253" s="10" t="s">
        <v>294</v>
      </c>
      <c r="D253" s="58"/>
      <c r="E253" s="30"/>
      <c r="F253" s="58"/>
      <c r="G253" s="29">
        <v>236.82964000000001</v>
      </c>
      <c r="H253" s="58"/>
      <c r="I253" s="620">
        <v>-110</v>
      </c>
      <c r="J253" s="130">
        <f t="shared" ref="J253" si="122">G253*I253/100</f>
        <v>-260.51260400000001</v>
      </c>
      <c r="K253" s="130"/>
      <c r="L253" s="576">
        <v>0</v>
      </c>
      <c r="M253" s="576">
        <v>0</v>
      </c>
      <c r="N253" s="576">
        <v>0</v>
      </c>
      <c r="O253" s="130">
        <f t="shared" ref="O253" si="123">J253-L253-M253-N253</f>
        <v>-260.51260400000001</v>
      </c>
      <c r="P253" s="58"/>
      <c r="Q253" s="576">
        <v>0</v>
      </c>
      <c r="R253" s="576">
        <v>0</v>
      </c>
      <c r="S253" s="576">
        <v>0</v>
      </c>
      <c r="T253" s="58"/>
      <c r="U253" s="64">
        <f>SUM(O253:S253)</f>
        <v>-260.51260400000001</v>
      </c>
      <c r="V253" s="620">
        <f>U253/G253*100</f>
        <v>-110.00000000000001</v>
      </c>
      <c r="W253" s="538">
        <f>U253-J253</f>
        <v>0</v>
      </c>
      <c r="X253" s="559"/>
      <c r="Y253" s="559"/>
      <c r="Z253" s="501"/>
      <c r="AA253" s="738"/>
      <c r="AC253" s="747"/>
      <c r="AE253" s="744"/>
    </row>
    <row r="254" spans="1:31">
      <c r="A254" s="6"/>
      <c r="C254" s="10"/>
      <c r="G254" s="129"/>
      <c r="J254" s="130"/>
      <c r="K254" s="130"/>
      <c r="L254" s="605"/>
      <c r="M254" s="605"/>
      <c r="N254" s="605"/>
      <c r="O254" s="130"/>
      <c r="Q254" s="501"/>
      <c r="R254" s="501"/>
      <c r="S254" s="501"/>
      <c r="U254" s="64"/>
      <c r="V254" s="632"/>
      <c r="W254" s="538"/>
      <c r="X254" s="605"/>
      <c r="Y254" s="501"/>
      <c r="Z254" s="501"/>
      <c r="AA254" s="738"/>
      <c r="AC254" s="747"/>
      <c r="AE254" s="744"/>
    </row>
    <row r="255" spans="1:31" ht="12.95">
      <c r="A255" s="6">
        <f>MAX(A$225:A254)+1</f>
        <v>117</v>
      </c>
      <c r="B255" s="58"/>
      <c r="C255" s="10" t="s">
        <v>266</v>
      </c>
      <c r="D255" s="58"/>
      <c r="E255" s="128"/>
      <c r="F255" s="58"/>
      <c r="G255" s="131">
        <f>G251</f>
        <v>188852.1</v>
      </c>
      <c r="H255" s="132"/>
      <c r="I255" s="787">
        <f t="shared" ref="I255:X255" si="124">I251</f>
        <v>0.7718747868227771</v>
      </c>
      <c r="J255" s="131">
        <f t="shared" ref="J255" si="125">SUM(J251:J253)</f>
        <v>1197.189140285338</v>
      </c>
      <c r="K255" s="132"/>
      <c r="L255" s="131">
        <f>SUM(L251:L253)</f>
        <v>19.975437885703734</v>
      </c>
      <c r="M255" s="131">
        <f t="shared" ref="M255:O255" si="126">SUM(M251:M253)</f>
        <v>484.16838165175238</v>
      </c>
      <c r="N255" s="131">
        <f t="shared" si="126"/>
        <v>150.91966472771608</v>
      </c>
      <c r="O255" s="131">
        <f t="shared" si="126"/>
        <v>542.12565602016582</v>
      </c>
      <c r="P255" s="132"/>
      <c r="Q255" s="131">
        <f>SUM(Q251:Q253)</f>
        <v>16.705019983717541</v>
      </c>
      <c r="R255" s="131">
        <f t="shared" ref="R255:S255" si="127">SUM(R251:R253)</f>
        <v>530.61021009337355</v>
      </c>
      <c r="S255" s="131">
        <f t="shared" si="127"/>
        <v>134.79476662733822</v>
      </c>
      <c r="T255" s="132"/>
      <c r="U255" s="131">
        <f>SUM(U251:U254)</f>
        <v>1224.2356527245952</v>
      </c>
      <c r="V255" s="787">
        <f t="shared" si="124"/>
        <v>0.78619631803119749</v>
      </c>
      <c r="W255" s="131">
        <f>SUM(W251:W253)</f>
        <v>27.046512439257185</v>
      </c>
      <c r="X255" s="558">
        <f t="shared" si="124"/>
        <v>1.8554215596769508E-2</v>
      </c>
      <c r="Y255" s="559"/>
      <c r="Z255" s="501"/>
      <c r="AA255" s="738"/>
      <c r="AC255" s="747"/>
      <c r="AE255" s="744"/>
    </row>
    <row r="256" spans="1:31" ht="12.95">
      <c r="A256" s="6"/>
      <c r="B256" s="58"/>
      <c r="C256" s="10"/>
      <c r="D256" s="58"/>
      <c r="E256" s="128"/>
      <c r="F256" s="58"/>
      <c r="G256" s="29"/>
      <c r="H256" s="58"/>
      <c r="I256" s="58"/>
      <c r="J256" s="130"/>
      <c r="K256" s="130"/>
      <c r="L256" s="501"/>
      <c r="M256" s="501"/>
      <c r="N256" s="501"/>
      <c r="O256" s="130"/>
      <c r="P256" s="58"/>
      <c r="Q256" s="622"/>
      <c r="R256" s="622"/>
      <c r="S256" s="622"/>
      <c r="T256" s="58"/>
      <c r="U256" s="64"/>
      <c r="V256" s="58"/>
      <c r="W256" s="538"/>
      <c r="X256" s="605"/>
      <c r="Y256" s="501"/>
      <c r="Z256" s="501"/>
      <c r="AA256" s="738"/>
      <c r="AC256" s="747"/>
      <c r="AE256" s="744"/>
    </row>
    <row r="257" spans="1:31">
      <c r="A257" s="6">
        <f>MAX(A$225:A256)+1</f>
        <v>118</v>
      </c>
      <c r="B257" s="58"/>
      <c r="C257" s="12" t="s">
        <v>267</v>
      </c>
      <c r="D257" s="58"/>
      <c r="E257" s="574" t="s">
        <v>262</v>
      </c>
      <c r="F257" s="58"/>
      <c r="G257" s="29">
        <v>188852.1</v>
      </c>
      <c r="H257" s="58"/>
      <c r="I257" s="547">
        <v>0.51581043948293392</v>
      </c>
      <c r="J257" s="130">
        <f>G257*I257/100</f>
        <v>974.1188469827498</v>
      </c>
      <c r="K257" s="130"/>
      <c r="L257" s="538">
        <v>0</v>
      </c>
      <c r="M257" s="538">
        <v>0</v>
      </c>
      <c r="N257" s="538">
        <v>0</v>
      </c>
      <c r="O257" s="130">
        <f>J257-L257-M257-N257</f>
        <v>974.1188469827498</v>
      </c>
      <c r="P257" s="640"/>
      <c r="Q257" s="576">
        <v>0</v>
      </c>
      <c r="R257" s="576">
        <v>0</v>
      </c>
      <c r="S257" s="576">
        <v>0</v>
      </c>
      <c r="T257" s="58"/>
      <c r="U257" s="64">
        <f>SUM(O257:S257)</f>
        <v>974.1188469827498</v>
      </c>
      <c r="V257" s="548">
        <f>U257/G257*100</f>
        <v>0.51581043948293381</v>
      </c>
      <c r="W257" s="538">
        <f>U257-J257</f>
        <v>0</v>
      </c>
      <c r="X257" s="559">
        <f>V257/I257-1</f>
        <v>0</v>
      </c>
      <c r="Y257" s="559"/>
      <c r="Z257" s="501"/>
      <c r="AA257" s="738"/>
      <c r="AC257" s="747"/>
      <c r="AE257" s="744"/>
    </row>
    <row r="258" spans="1:31">
      <c r="A258" s="6"/>
      <c r="B258" s="58"/>
      <c r="C258" s="12"/>
      <c r="D258" s="58"/>
      <c r="E258" s="574"/>
      <c r="F258" s="58"/>
      <c r="G258" s="29"/>
      <c r="H258" s="58"/>
      <c r="I258" s="547"/>
      <c r="J258" s="130"/>
      <c r="K258" s="130"/>
      <c r="L258" s="538"/>
      <c r="M258" s="538"/>
      <c r="N258" s="538"/>
      <c r="O258" s="130"/>
      <c r="P258" s="640"/>
      <c r="Q258" s="576"/>
      <c r="R258" s="576"/>
      <c r="S258" s="576"/>
      <c r="T258" s="58"/>
      <c r="U258" s="64"/>
      <c r="V258" s="548"/>
      <c r="W258" s="538"/>
      <c r="X258" s="559"/>
      <c r="Y258" s="559"/>
      <c r="Z258" s="501"/>
      <c r="AA258" s="738"/>
      <c r="AC258" s="747"/>
      <c r="AE258" s="744"/>
    </row>
    <row r="259" spans="1:31">
      <c r="A259" s="6"/>
      <c r="B259" s="58"/>
      <c r="C259" s="10" t="s">
        <v>268</v>
      </c>
      <c r="D259" s="58"/>
      <c r="E259" s="574"/>
      <c r="F259" s="58"/>
      <c r="G259" s="29"/>
      <c r="H259" s="58"/>
      <c r="I259" s="547"/>
      <c r="J259" s="130"/>
      <c r="K259" s="130"/>
      <c r="L259" s="538"/>
      <c r="M259" s="538"/>
      <c r="N259" s="538"/>
      <c r="O259" s="130"/>
      <c r="P259" s="640"/>
      <c r="Q259" s="576"/>
      <c r="R259" s="576"/>
      <c r="S259" s="576"/>
      <c r="T259" s="58"/>
      <c r="U259" s="64"/>
      <c r="V259" s="548"/>
      <c r="W259" s="538"/>
      <c r="X259" s="559"/>
      <c r="Y259" s="559"/>
      <c r="Z259" s="501"/>
      <c r="AA259" s="738"/>
      <c r="AC259" s="747"/>
      <c r="AE259" s="744"/>
    </row>
    <row r="260" spans="1:31">
      <c r="A260" s="6">
        <f>MAX(A$225:A259)+1</f>
        <v>119</v>
      </c>
      <c r="B260" s="58"/>
      <c r="C260" s="12" t="s">
        <v>268</v>
      </c>
      <c r="D260" s="58"/>
      <c r="E260" s="574" t="s">
        <v>262</v>
      </c>
      <c r="F260" s="58"/>
      <c r="G260" s="29">
        <v>140307.6</v>
      </c>
      <c r="H260" s="58"/>
      <c r="I260" s="547">
        <v>3.8514965222792932</v>
      </c>
      <c r="J260" s="130">
        <f t="shared" ref="J260:J261" si="128">G260*I260/100</f>
        <v>5403.9423344935421</v>
      </c>
      <c r="K260" s="130"/>
      <c r="L260" s="538">
        <v>0</v>
      </c>
      <c r="M260" s="538">
        <v>0</v>
      </c>
      <c r="N260" s="538">
        <v>0</v>
      </c>
      <c r="O260" s="130">
        <f t="shared" ref="O260:O261" si="129">J260-L260-M260-N260</f>
        <v>5403.9423344935421</v>
      </c>
      <c r="P260" s="640"/>
      <c r="Q260" s="576">
        <v>0</v>
      </c>
      <c r="R260" s="576">
        <v>0</v>
      </c>
      <c r="S260" s="576">
        <v>0</v>
      </c>
      <c r="T260" s="58"/>
      <c r="U260" s="64">
        <f>SUM(O260:S260)</f>
        <v>5403.9423344935421</v>
      </c>
      <c r="V260" s="548">
        <f>U260/G260*100</f>
        <v>3.8514965222792936</v>
      </c>
      <c r="W260" s="538">
        <f>U260-J260</f>
        <v>0</v>
      </c>
      <c r="X260" s="559"/>
      <c r="Y260" s="559"/>
      <c r="Z260" s="501"/>
      <c r="AA260" s="738"/>
      <c r="AC260" s="747"/>
      <c r="AE260" s="744"/>
    </row>
    <row r="261" spans="1:31">
      <c r="A261" s="6">
        <f>MAX(A$225:A260)+1</f>
        <v>120</v>
      </c>
      <c r="B261" s="58"/>
      <c r="C261" s="12" t="s">
        <v>269</v>
      </c>
      <c r="D261" s="58"/>
      <c r="E261" s="574" t="s">
        <v>262</v>
      </c>
      <c r="F261" s="58"/>
      <c r="G261" s="29">
        <v>48544.5</v>
      </c>
      <c r="I261" s="547">
        <v>0.37192376924704373</v>
      </c>
      <c r="J261" s="130">
        <f t="shared" si="128"/>
        <v>180.54853416213115</v>
      </c>
      <c r="K261" s="130"/>
      <c r="L261" s="538">
        <v>0</v>
      </c>
      <c r="M261" s="538">
        <v>0</v>
      </c>
      <c r="N261" s="538">
        <v>0</v>
      </c>
      <c r="O261" s="130">
        <f t="shared" si="129"/>
        <v>180.54853416213115</v>
      </c>
      <c r="P261" s="644"/>
      <c r="Q261" s="576">
        <v>0</v>
      </c>
      <c r="R261" s="576">
        <v>0</v>
      </c>
      <c r="S261" s="576">
        <v>0</v>
      </c>
      <c r="U261" s="64">
        <f>SUM(O261:S261)</f>
        <v>180.54853416213115</v>
      </c>
      <c r="V261" s="548">
        <f>U261/G261*100</f>
        <v>0.37192376924704373</v>
      </c>
      <c r="W261" s="538">
        <f>U261-O261</f>
        <v>0</v>
      </c>
      <c r="X261" s="559"/>
      <c r="Y261" s="559"/>
      <c r="Z261" s="501"/>
      <c r="AA261" s="738"/>
      <c r="AC261" s="747"/>
      <c r="AE261" s="744"/>
    </row>
    <row r="262" spans="1:31">
      <c r="A262" s="6">
        <f>MAX(A$225:A261)+1</f>
        <v>121</v>
      </c>
      <c r="B262" s="58"/>
      <c r="C262" s="10" t="s">
        <v>268</v>
      </c>
      <c r="D262" s="58"/>
      <c r="E262" s="574"/>
      <c r="F262" s="58"/>
      <c r="G262" s="411">
        <f>SUM(G260:G261)</f>
        <v>188852.1</v>
      </c>
      <c r="I262" s="566">
        <f>J262/G262*100</f>
        <v>2.957071098841725</v>
      </c>
      <c r="J262" s="555">
        <f t="shared" ref="J262" si="130">SUM(J260:J261)</f>
        <v>5584.4908686556737</v>
      </c>
      <c r="K262" s="538"/>
      <c r="L262" s="555">
        <f>SUM(L260:L261)</f>
        <v>0</v>
      </c>
      <c r="M262" s="555">
        <f t="shared" ref="M262:S262" si="131">SUM(M260:M261)</f>
        <v>0</v>
      </c>
      <c r="N262" s="555">
        <f t="shared" si="131"/>
        <v>0</v>
      </c>
      <c r="O262" s="555">
        <f t="shared" si="131"/>
        <v>5584.4908686556737</v>
      </c>
      <c r="P262" s="538"/>
      <c r="Q262" s="555">
        <f t="shared" si="131"/>
        <v>0</v>
      </c>
      <c r="R262" s="555">
        <f t="shared" si="131"/>
        <v>0</v>
      </c>
      <c r="S262" s="555">
        <f t="shared" si="131"/>
        <v>0</v>
      </c>
      <c r="U262" s="407">
        <f>SUM(U260:U261)</f>
        <v>5584.4908686556737</v>
      </c>
      <c r="V262" s="556">
        <f>U262/G262*100</f>
        <v>2.957071098841725</v>
      </c>
      <c r="W262" s="555">
        <f>U262-O262</f>
        <v>0</v>
      </c>
      <c r="X262" s="558">
        <f>V262/I262-1</f>
        <v>0</v>
      </c>
      <c r="Y262" s="559"/>
      <c r="Z262" s="501"/>
      <c r="AA262" s="738"/>
      <c r="AC262" s="747"/>
      <c r="AE262" s="744"/>
    </row>
    <row r="263" spans="1:31">
      <c r="A263" s="6"/>
      <c r="B263" s="58"/>
      <c r="D263" s="58"/>
      <c r="E263" s="30"/>
      <c r="F263" s="58"/>
      <c r="G263" s="29"/>
      <c r="H263" s="58"/>
      <c r="I263" s="547"/>
      <c r="J263" s="130"/>
      <c r="K263" s="130"/>
      <c r="L263" s="538"/>
      <c r="M263" s="538"/>
      <c r="N263" s="538"/>
      <c r="O263" s="130"/>
      <c r="P263" s="640"/>
      <c r="Q263" s="538"/>
      <c r="R263" s="538"/>
      <c r="S263" s="538"/>
      <c r="T263" s="58"/>
      <c r="U263" s="64"/>
      <c r="V263" s="548"/>
      <c r="W263" s="538"/>
      <c r="X263" s="559"/>
      <c r="Y263" s="559"/>
      <c r="Z263" s="501"/>
      <c r="AA263" s="738"/>
      <c r="AC263" s="747"/>
      <c r="AE263" s="744"/>
    </row>
    <row r="264" spans="1:31">
      <c r="A264" s="6">
        <f>MAX(A$225:A263)+1</f>
        <v>122</v>
      </c>
      <c r="B264" s="58"/>
      <c r="C264" s="10" t="s">
        <v>504</v>
      </c>
      <c r="D264" s="58"/>
      <c r="E264" s="574" t="s">
        <v>262</v>
      </c>
      <c r="F264" s="58"/>
      <c r="G264" s="29">
        <v>140305.60000000001</v>
      </c>
      <c r="H264" s="58"/>
      <c r="I264" s="547">
        <v>18.292414635331095</v>
      </c>
      <c r="J264" s="130">
        <f>G264*I264/100</f>
        <v>25665.282108589108</v>
      </c>
      <c r="K264" s="130"/>
      <c r="L264" s="538">
        <v>0</v>
      </c>
      <c r="M264" s="538">
        <v>0</v>
      </c>
      <c r="N264" s="538">
        <v>0</v>
      </c>
      <c r="O264" s="130">
        <f>J264-L264-M264-N264</f>
        <v>25665.282108589108</v>
      </c>
      <c r="P264" s="640"/>
      <c r="Q264" s="576">
        <v>0</v>
      </c>
      <c r="R264" s="576">
        <v>0</v>
      </c>
      <c r="S264" s="576">
        <v>0</v>
      </c>
      <c r="T264" s="58"/>
      <c r="U264" s="64">
        <f>SUM(O264:S264)</f>
        <v>25665.282108589108</v>
      </c>
      <c r="V264" s="548">
        <f>U264/G264*100</f>
        <v>18.292414635331099</v>
      </c>
      <c r="W264" s="538">
        <f>U264-J264</f>
        <v>0</v>
      </c>
      <c r="X264" s="559">
        <f>V264/I264-1</f>
        <v>0</v>
      </c>
      <c r="Y264" s="559"/>
      <c r="Z264" s="501"/>
      <c r="AA264" s="738"/>
      <c r="AC264" s="747"/>
      <c r="AE264" s="744"/>
    </row>
    <row r="265" spans="1:31">
      <c r="A265" s="6"/>
      <c r="B265" s="58"/>
      <c r="C265" s="10"/>
      <c r="D265" s="58"/>
      <c r="E265" s="30"/>
      <c r="F265" s="58"/>
      <c r="G265" s="29"/>
      <c r="H265" s="58"/>
      <c r="I265" s="58"/>
      <c r="J265" s="622"/>
      <c r="K265" s="622"/>
      <c r="L265" s="622"/>
      <c r="M265" s="622"/>
      <c r="N265" s="622"/>
      <c r="O265" s="622"/>
      <c r="P265" s="640"/>
      <c r="Q265" s="622"/>
      <c r="R265" s="622"/>
      <c r="S265" s="622"/>
      <c r="T265" s="58"/>
      <c r="U265" s="58"/>
      <c r="V265" s="548"/>
      <c r="W265" s="501"/>
      <c r="X265" s="599"/>
      <c r="Y265" s="541"/>
      <c r="Z265" s="501"/>
      <c r="AA265" s="738"/>
      <c r="AE265" s="744"/>
    </row>
    <row r="266" spans="1:31" ht="12.95" thickBot="1">
      <c r="A266" s="6">
        <f>MAX(A$225:A265)+1</f>
        <v>123</v>
      </c>
      <c r="B266" s="58"/>
      <c r="C266" s="10" t="s">
        <v>300</v>
      </c>
      <c r="D266" s="58"/>
      <c r="E266" s="30"/>
      <c r="F266" s="58"/>
      <c r="G266" s="589">
        <f>G251</f>
        <v>188852.1</v>
      </c>
      <c r="H266" s="58"/>
      <c r="I266" s="572">
        <f>J266/G266*100</f>
        <v>17.69696019504833</v>
      </c>
      <c r="J266" s="627">
        <f t="shared" ref="J266" si="132">J255+J257+J262+J264</f>
        <v>33421.080964512868</v>
      </c>
      <c r="K266" s="539"/>
      <c r="L266" s="638">
        <f>L255+L257+L262+L264</f>
        <v>19.975437885703734</v>
      </c>
      <c r="M266" s="638">
        <f>M255+M257+M262+M264</f>
        <v>484.16838165175238</v>
      </c>
      <c r="N266" s="638">
        <f>N255+N257+N262+N264</f>
        <v>150.91966472771608</v>
      </c>
      <c r="O266" s="638">
        <f>O255+O257+O262+O264</f>
        <v>32766.017480247698</v>
      </c>
      <c r="P266" s="539"/>
      <c r="Q266" s="638">
        <f>Q255+Q257+Q262+Q264</f>
        <v>16.705019983717541</v>
      </c>
      <c r="R266" s="638">
        <f>R255+R257+R262+R264</f>
        <v>530.61021009337355</v>
      </c>
      <c r="S266" s="638">
        <f>S255+S257+S262+S264</f>
        <v>134.79476662733822</v>
      </c>
      <c r="T266" s="539"/>
      <c r="U266" s="638">
        <f>U255+U257+U262+U264</f>
        <v>33448.127476952126</v>
      </c>
      <c r="V266" s="651">
        <f>U266/G266*100</f>
        <v>17.71128172625675</v>
      </c>
      <c r="W266" s="638">
        <f>W255+W257+W262+W264</f>
        <v>27.046512439257185</v>
      </c>
      <c r="X266" s="602">
        <f>V266/I266-1</f>
        <v>8.0926504046874292E-4</v>
      </c>
      <c r="Y266" s="559"/>
      <c r="Z266" s="501"/>
      <c r="AA266" s="738"/>
      <c r="AC266" s="747"/>
      <c r="AE266" s="744"/>
    </row>
    <row r="267" spans="1:31" ht="12.95" thickTop="1">
      <c r="A267" s="6"/>
      <c r="B267" s="58"/>
      <c r="C267" s="10"/>
      <c r="D267" s="58"/>
      <c r="E267" s="30"/>
      <c r="F267" s="58"/>
      <c r="G267" s="29"/>
      <c r="H267" s="58"/>
      <c r="I267" s="58"/>
      <c r="J267" s="501"/>
      <c r="K267" s="501"/>
      <c r="L267" s="501"/>
      <c r="M267" s="501"/>
      <c r="N267" s="501"/>
      <c r="O267" s="501"/>
      <c r="P267" s="58"/>
      <c r="Q267" s="501"/>
      <c r="R267" s="501"/>
      <c r="S267" s="501"/>
      <c r="T267" s="58"/>
      <c r="U267" s="58"/>
      <c r="V267" s="58"/>
      <c r="W267" s="501"/>
      <c r="X267" s="522"/>
      <c r="Y267" s="501"/>
      <c r="Z267" s="501"/>
    </row>
    <row r="268" spans="1:31">
      <c r="J268" s="501"/>
      <c r="K268" s="501"/>
      <c r="L268" s="2"/>
      <c r="M268" s="2"/>
      <c r="N268" s="501"/>
      <c r="O268" s="501"/>
      <c r="Q268" s="501"/>
      <c r="R268" s="501"/>
      <c r="S268" s="501"/>
      <c r="W268" s="501"/>
      <c r="X268" s="522"/>
      <c r="Y268" s="501"/>
      <c r="Z268" s="501"/>
    </row>
    <row r="269" spans="1:31">
      <c r="J269" s="501"/>
      <c r="K269" s="501"/>
      <c r="L269" s="2"/>
      <c r="M269" s="2"/>
      <c r="N269" s="501"/>
      <c r="O269" s="501"/>
      <c r="Q269" s="501"/>
      <c r="R269" s="501"/>
      <c r="S269" s="501"/>
      <c r="W269" s="534"/>
      <c r="X269" s="522"/>
      <c r="Y269" s="501"/>
      <c r="Z269" s="501"/>
    </row>
    <row r="270" spans="1:31">
      <c r="J270" s="501"/>
      <c r="K270" s="501"/>
      <c r="L270" s="2"/>
      <c r="M270" s="2"/>
      <c r="N270" s="501"/>
      <c r="O270" s="501"/>
      <c r="Q270" s="501"/>
      <c r="R270" s="501"/>
      <c r="S270" s="501"/>
      <c r="W270" s="501"/>
      <c r="X270" s="522"/>
      <c r="Y270" s="501"/>
      <c r="Z270" s="501"/>
    </row>
    <row r="271" spans="1:31">
      <c r="A271" s="1156" t="s">
        <v>279</v>
      </c>
      <c r="B271" s="1156"/>
      <c r="C271" s="1156"/>
      <c r="D271" s="1156"/>
      <c r="E271" s="1156"/>
      <c r="F271" s="1156"/>
      <c r="G271" s="1156"/>
      <c r="H271" s="1156"/>
      <c r="I271" s="1156"/>
      <c r="J271" s="1156"/>
      <c r="K271" s="1156"/>
      <c r="L271" s="1156"/>
      <c r="M271" s="1156"/>
      <c r="N271" s="1156"/>
      <c r="O271" s="1156"/>
      <c r="P271" s="1156"/>
      <c r="Q271" s="1156"/>
      <c r="R271" s="1156"/>
      <c r="S271" s="1156"/>
      <c r="T271" s="1156"/>
      <c r="U271" s="1156"/>
      <c r="V271" s="1156"/>
      <c r="W271" s="1156"/>
      <c r="X271" s="1156"/>
      <c r="Y271" s="713"/>
      <c r="Z271" s="713"/>
    </row>
    <row r="272" spans="1:31">
      <c r="A272" s="1156" t="s">
        <v>499</v>
      </c>
      <c r="B272" s="1156"/>
      <c r="C272" s="1156"/>
      <c r="D272" s="1156"/>
      <c r="E272" s="1156"/>
      <c r="F272" s="1156"/>
      <c r="G272" s="1156"/>
      <c r="H272" s="1156"/>
      <c r="I272" s="1156"/>
      <c r="J272" s="1156"/>
      <c r="K272" s="1156"/>
      <c r="L272" s="1156"/>
      <c r="M272" s="1156"/>
      <c r="N272" s="1156"/>
      <c r="O272" s="1156"/>
      <c r="P272" s="1156"/>
      <c r="Q272" s="1156"/>
      <c r="R272" s="1156"/>
      <c r="S272" s="1156"/>
      <c r="T272" s="1156"/>
      <c r="U272" s="1156"/>
      <c r="V272" s="1156"/>
      <c r="W272" s="1156"/>
      <c r="X272" s="1156"/>
      <c r="Y272" s="501"/>
      <c r="Z272" s="501"/>
    </row>
    <row r="273" spans="1:31">
      <c r="A273" s="57"/>
      <c r="B273" s="57"/>
      <c r="C273" s="57"/>
      <c r="D273" s="57"/>
      <c r="E273" s="3"/>
      <c r="F273" s="57"/>
      <c r="G273" s="3"/>
      <c r="H273" s="57"/>
      <c r="I273" s="57"/>
      <c r="J273" s="501"/>
      <c r="K273" s="501"/>
      <c r="L273" s="4"/>
      <c r="M273" s="4"/>
      <c r="N273" s="501"/>
      <c r="O273" s="501"/>
      <c r="P273" s="57"/>
      <c r="Q273" s="501"/>
      <c r="R273" s="501"/>
      <c r="S273" s="501"/>
      <c r="T273" s="57"/>
      <c r="U273" s="57"/>
      <c r="V273" s="57"/>
      <c r="W273" s="501"/>
      <c r="X273" s="522"/>
      <c r="Y273" s="6"/>
      <c r="Z273" s="501"/>
    </row>
    <row r="274" spans="1:31">
      <c r="A274" s="3"/>
      <c r="B274" s="3"/>
      <c r="C274" s="3"/>
      <c r="D274" s="3"/>
      <c r="E274" s="58"/>
      <c r="F274" s="58"/>
      <c r="G274" s="1152" t="s">
        <v>231</v>
      </c>
      <c r="H274" s="1152"/>
      <c r="I274" s="1152"/>
      <c r="J274" s="1152"/>
      <c r="K274" s="58"/>
      <c r="L274" s="1152" t="s">
        <v>94</v>
      </c>
      <c r="M274" s="1152"/>
      <c r="N274" s="1152"/>
      <c r="O274" s="58"/>
      <c r="P274" s="3"/>
      <c r="Q274" s="1152" t="s">
        <v>95</v>
      </c>
      <c r="R274" s="1152"/>
      <c r="S274" s="1152"/>
      <c r="T274" s="3"/>
      <c r="U274" s="1152" t="s">
        <v>232</v>
      </c>
      <c r="V274" s="1152"/>
      <c r="W274" s="1152"/>
      <c r="X274" s="1152"/>
      <c r="Y274" s="5"/>
      <c r="Z274" s="501"/>
    </row>
    <row r="275" spans="1:31" ht="37.5">
      <c r="A275" s="5" t="s">
        <v>56</v>
      </c>
      <c r="B275" s="5"/>
      <c r="C275" s="5"/>
      <c r="D275" s="5"/>
      <c r="E275" s="6" t="s">
        <v>233</v>
      </c>
      <c r="F275" s="5"/>
      <c r="G275" s="17" t="s">
        <v>234</v>
      </c>
      <c r="H275" s="5"/>
      <c r="I275" s="17" t="s">
        <v>235</v>
      </c>
      <c r="J275" s="5" t="s">
        <v>101</v>
      </c>
      <c r="K275" s="5"/>
      <c r="L275" s="5" t="s">
        <v>491</v>
      </c>
      <c r="M275" s="5" t="s">
        <v>492</v>
      </c>
      <c r="N275" s="5" t="s">
        <v>493</v>
      </c>
      <c r="O275" s="5" t="s">
        <v>494</v>
      </c>
      <c r="P275" s="5"/>
      <c r="Q275" s="5" t="s">
        <v>491</v>
      </c>
      <c r="R275" s="5" t="s">
        <v>492</v>
      </c>
      <c r="S275" s="5" t="s">
        <v>493</v>
      </c>
      <c r="T275" s="5"/>
      <c r="U275" s="17" t="s">
        <v>113</v>
      </c>
      <c r="V275" s="17" t="s">
        <v>242</v>
      </c>
      <c r="W275" s="17" t="s">
        <v>243</v>
      </c>
      <c r="X275" s="5" t="s">
        <v>244</v>
      </c>
      <c r="Y275" s="6"/>
      <c r="Z275" s="501"/>
    </row>
    <row r="276" spans="1:31" ht="14.45">
      <c r="A276" s="237" t="s">
        <v>57</v>
      </c>
      <c r="B276" s="58"/>
      <c r="C276" s="59" t="s">
        <v>194</v>
      </c>
      <c r="D276" s="58"/>
      <c r="E276" s="237" t="s">
        <v>245</v>
      </c>
      <c r="F276" s="58"/>
      <c r="G276" s="237" t="s">
        <v>246</v>
      </c>
      <c r="H276" s="58"/>
      <c r="I276" s="237" t="s">
        <v>247</v>
      </c>
      <c r="J276" s="237" t="s">
        <v>248</v>
      </c>
      <c r="K276" s="6"/>
      <c r="L276" s="237" t="s">
        <v>248</v>
      </c>
      <c r="M276" s="237" t="s">
        <v>248</v>
      </c>
      <c r="N276" s="237" t="s">
        <v>248</v>
      </c>
      <c r="O276" s="237" t="s">
        <v>248</v>
      </c>
      <c r="P276" s="58"/>
      <c r="Q276" s="237" t="s">
        <v>248</v>
      </c>
      <c r="R276" s="237" t="s">
        <v>248</v>
      </c>
      <c r="S276" s="237" t="s">
        <v>248</v>
      </c>
      <c r="T276" s="58"/>
      <c r="U276" s="237" t="s">
        <v>248</v>
      </c>
      <c r="V276" s="237" t="s">
        <v>247</v>
      </c>
      <c r="W276" s="237" t="s">
        <v>248</v>
      </c>
      <c r="X276" s="237" t="s">
        <v>249</v>
      </c>
      <c r="Y276" s="501"/>
      <c r="Z276" s="501"/>
    </row>
    <row r="277" spans="1:31">
      <c r="A277" s="6"/>
      <c r="B277" s="58"/>
      <c r="C277" s="58"/>
      <c r="D277" s="58"/>
      <c r="E277" s="6"/>
      <c r="F277" s="58"/>
      <c r="G277" s="6" t="s">
        <v>9</v>
      </c>
      <c r="H277" s="6"/>
      <c r="I277" s="6" t="s">
        <v>10</v>
      </c>
      <c r="J277" s="6" t="s">
        <v>58</v>
      </c>
      <c r="K277" s="6"/>
      <c r="L277" s="123" t="s">
        <v>12</v>
      </c>
      <c r="M277" s="123" t="s">
        <v>13</v>
      </c>
      <c r="N277" s="6" t="s">
        <v>115</v>
      </c>
      <c r="O277" s="6" t="s">
        <v>495</v>
      </c>
      <c r="P277" s="6"/>
      <c r="Q277" s="6" t="s">
        <v>210</v>
      </c>
      <c r="R277" s="6" t="s">
        <v>118</v>
      </c>
      <c r="S277" s="6" t="s">
        <v>119</v>
      </c>
      <c r="T277" s="6"/>
      <c r="U277" s="6" t="s">
        <v>496</v>
      </c>
      <c r="V277" s="6" t="s">
        <v>121</v>
      </c>
      <c r="W277" s="6" t="s">
        <v>497</v>
      </c>
      <c r="X277" s="6" t="s">
        <v>498</v>
      </c>
      <c r="Y277" s="501"/>
      <c r="Z277" s="501"/>
    </row>
    <row r="278" spans="1:31">
      <c r="A278" s="6"/>
      <c r="B278" s="58"/>
      <c r="C278" s="652" t="s">
        <v>139</v>
      </c>
      <c r="D278" s="58"/>
      <c r="E278" s="30"/>
      <c r="F278" s="58"/>
      <c r="G278" s="29"/>
      <c r="H278" s="58"/>
      <c r="I278" s="58"/>
      <c r="J278" s="501"/>
      <c r="K278" s="501"/>
      <c r="L278" s="501"/>
      <c r="M278" s="501"/>
      <c r="N278" s="501"/>
      <c r="O278" s="501"/>
      <c r="P278" s="58"/>
      <c r="Q278" s="501"/>
      <c r="R278" s="501"/>
      <c r="S278" s="501"/>
      <c r="T278" s="58"/>
      <c r="U278" s="58"/>
      <c r="V278" s="58"/>
      <c r="W278" s="501"/>
      <c r="X278" s="522"/>
      <c r="Y278" s="501"/>
      <c r="Z278" s="501"/>
    </row>
    <row r="279" spans="1:31">
      <c r="A279" s="6"/>
      <c r="B279" s="58"/>
      <c r="C279" s="9" t="s">
        <v>140</v>
      </c>
      <c r="D279" s="58"/>
      <c r="E279" s="30"/>
      <c r="F279" s="58"/>
      <c r="G279" s="29"/>
      <c r="H279" s="58"/>
      <c r="I279" s="564"/>
      <c r="J279" s="538"/>
      <c r="K279" s="538"/>
      <c r="L279" s="538"/>
      <c r="M279" s="538"/>
      <c r="N279" s="538"/>
      <c r="O279" s="538"/>
      <c r="P279" s="564"/>
      <c r="Q279" s="538"/>
      <c r="R279" s="538"/>
      <c r="S279" s="538"/>
      <c r="T279" s="564"/>
      <c r="U279" s="564"/>
      <c r="V279" s="564"/>
      <c r="W279" s="538"/>
      <c r="X279" s="522"/>
      <c r="Y279" s="501"/>
      <c r="Z279" s="501"/>
    </row>
    <row r="280" spans="1:31">
      <c r="A280" s="6">
        <v>124</v>
      </c>
      <c r="B280" s="58"/>
      <c r="C280" s="10" t="s">
        <v>258</v>
      </c>
      <c r="D280" s="58"/>
      <c r="E280" s="30" t="s">
        <v>259</v>
      </c>
      <c r="F280" s="58"/>
      <c r="G280" s="29">
        <v>4435128.0000000037</v>
      </c>
      <c r="H280" s="58"/>
      <c r="I280" s="29">
        <v>0</v>
      </c>
      <c r="J280" s="538">
        <v>0</v>
      </c>
      <c r="K280" s="538"/>
      <c r="L280" s="29">
        <v>0</v>
      </c>
      <c r="M280" s="29">
        <v>0</v>
      </c>
      <c r="N280" s="29">
        <v>0</v>
      </c>
      <c r="O280" s="538">
        <v>0</v>
      </c>
      <c r="P280" s="564"/>
      <c r="Q280" s="29">
        <v>0</v>
      </c>
      <c r="R280" s="29">
        <v>0</v>
      </c>
      <c r="S280" s="29">
        <v>0</v>
      </c>
      <c r="T280" s="564"/>
      <c r="U280" s="564">
        <v>0</v>
      </c>
      <c r="V280" s="564">
        <v>0</v>
      </c>
      <c r="W280" s="538">
        <v>0</v>
      </c>
      <c r="X280" s="541"/>
      <c r="Y280" s="541"/>
      <c r="Z280" s="501"/>
      <c r="AA280" s="738"/>
      <c r="AE280" s="739"/>
    </row>
    <row r="281" spans="1:31">
      <c r="C281" s="521" t="s">
        <v>260</v>
      </c>
      <c r="E281" s="30"/>
      <c r="G281" s="29"/>
      <c r="J281" s="534"/>
      <c r="K281" s="534"/>
      <c r="L281" s="501"/>
      <c r="M281" s="501"/>
      <c r="N281" s="501"/>
      <c r="O281" s="534"/>
      <c r="Q281" s="501"/>
      <c r="R281" s="643"/>
      <c r="S281" s="643"/>
      <c r="U281" s="539"/>
      <c r="V281" s="632"/>
      <c r="W281" s="534"/>
      <c r="X281" s="541"/>
      <c r="Y281" s="541"/>
      <c r="Z281" s="501"/>
      <c r="AA281" s="738"/>
    </row>
    <row r="282" spans="1:31">
      <c r="A282" s="6">
        <f>MAX(A$279:A281)+1</f>
        <v>125</v>
      </c>
      <c r="B282" s="58"/>
      <c r="C282" s="526" t="s">
        <v>301</v>
      </c>
      <c r="D282" s="58"/>
      <c r="E282" s="522" t="s">
        <v>262</v>
      </c>
      <c r="F282" s="58"/>
      <c r="G282" s="29">
        <v>299290.46273039118</v>
      </c>
      <c r="H282" s="58"/>
      <c r="I282" s="547">
        <v>6.4899999999999999E-2</v>
      </c>
      <c r="J282" s="534">
        <f>G282*I282/100</f>
        <v>194.2395103120239</v>
      </c>
      <c r="K282" s="534"/>
      <c r="L282" s="643">
        <v>194.2395103120239</v>
      </c>
      <c r="M282" s="29">
        <v>0</v>
      </c>
      <c r="N282" s="29">
        <v>0</v>
      </c>
      <c r="O282" s="538">
        <f>J282-L282-M282-N282</f>
        <v>0</v>
      </c>
      <c r="P282" s="58"/>
      <c r="Q282" s="29">
        <v>182.07498238504988</v>
      </c>
      <c r="R282" s="643">
        <v>0</v>
      </c>
      <c r="S282" s="643">
        <v>0</v>
      </c>
      <c r="T282" s="58"/>
      <c r="U282" s="539">
        <f>SUM(O282:S282)</f>
        <v>182.07498238504988</v>
      </c>
      <c r="V282" s="548">
        <f t="shared" ref="V282:V287" si="133">U282/G282*100</f>
        <v>6.0835544415281911E-2</v>
      </c>
      <c r="W282" s="549">
        <f>U282-J282</f>
        <v>-12.164527926974017</v>
      </c>
      <c r="X282" s="541"/>
      <c r="Y282" s="541"/>
      <c r="Z282" s="501"/>
      <c r="AA282" s="738"/>
      <c r="AC282" s="738"/>
      <c r="AE282" s="744"/>
    </row>
    <row r="283" spans="1:31">
      <c r="A283" s="6">
        <f>MAX(A$279:A282)+1</f>
        <v>126</v>
      </c>
      <c r="B283" s="58"/>
      <c r="C283" s="526" t="s">
        <v>302</v>
      </c>
      <c r="D283" s="58"/>
      <c r="E283" s="522" t="s">
        <v>262</v>
      </c>
      <c r="F283" s="58"/>
      <c r="G283" s="29">
        <v>342667.32910551433</v>
      </c>
      <c r="H283" s="58"/>
      <c r="I283" s="547">
        <v>6.4899999999999999E-2</v>
      </c>
      <c r="J283" s="534">
        <f t="shared" ref="J283:J286" si="134">G283*I283/100</f>
        <v>222.39109658947879</v>
      </c>
      <c r="K283" s="534"/>
      <c r="L283" s="643">
        <v>222.39109658947879</v>
      </c>
      <c r="M283" s="29">
        <v>0</v>
      </c>
      <c r="N283" s="29">
        <v>0</v>
      </c>
      <c r="O283" s="538">
        <f t="shared" ref="O283:O286" si="135">J283-L283-M283-N283</f>
        <v>0</v>
      </c>
      <c r="P283" s="58"/>
      <c r="Q283" s="29">
        <v>208.46353519464537</v>
      </c>
      <c r="R283" s="643">
        <v>0</v>
      </c>
      <c r="S283" s="643">
        <v>0</v>
      </c>
      <c r="T283" s="58"/>
      <c r="U283" s="539">
        <f t="shared" ref="U283:U286" si="136">SUM(O283:S283)</f>
        <v>208.46353519464537</v>
      </c>
      <c r="V283" s="548">
        <f t="shared" si="133"/>
        <v>6.0835544415281897E-2</v>
      </c>
      <c r="W283" s="549">
        <f t="shared" ref="W283:W286" si="137">U283-J283</f>
        <v>-13.927561394833418</v>
      </c>
      <c r="X283" s="541"/>
      <c r="Y283" s="541"/>
      <c r="Z283" s="501"/>
      <c r="AA283" s="738"/>
      <c r="AC283" s="738"/>
      <c r="AE283" s="744"/>
    </row>
    <row r="284" spans="1:31">
      <c r="A284" s="6">
        <f>MAX(A$279:A283)+1</f>
        <v>127</v>
      </c>
      <c r="B284" s="58"/>
      <c r="C284" s="526" t="s">
        <v>303</v>
      </c>
      <c r="D284" s="58"/>
      <c r="E284" s="522" t="s">
        <v>262</v>
      </c>
      <c r="F284" s="58"/>
      <c r="G284" s="29">
        <v>128559.93934024102</v>
      </c>
      <c r="H284" s="58"/>
      <c r="I284" s="547">
        <v>6.4899999999999999E-2</v>
      </c>
      <c r="J284" s="534">
        <f t="shared" si="134"/>
        <v>83.435400631816435</v>
      </c>
      <c r="K284" s="534"/>
      <c r="L284" s="643">
        <v>83.435400631816435</v>
      </c>
      <c r="M284" s="29">
        <v>0</v>
      </c>
      <c r="N284" s="29">
        <v>0</v>
      </c>
      <c r="O284" s="538">
        <f t="shared" si="135"/>
        <v>0</v>
      </c>
      <c r="P284" s="58"/>
      <c r="Q284" s="29">
        <v>78.210138997591812</v>
      </c>
      <c r="R284" s="643">
        <v>0</v>
      </c>
      <c r="S284" s="643">
        <v>0</v>
      </c>
      <c r="T284" s="58"/>
      <c r="U284" s="539">
        <f t="shared" si="136"/>
        <v>78.210138997591812</v>
      </c>
      <c r="V284" s="548">
        <f t="shared" si="133"/>
        <v>6.0835544415281911E-2</v>
      </c>
      <c r="W284" s="549">
        <f t="shared" si="137"/>
        <v>-5.2252616342246228</v>
      </c>
      <c r="X284" s="541"/>
      <c r="Y284" s="541"/>
      <c r="Z284" s="501"/>
      <c r="AA284" s="738"/>
      <c r="AC284" s="738"/>
      <c r="AE284" s="744"/>
    </row>
    <row r="285" spans="1:31">
      <c r="A285" s="6">
        <f>MAX(A$279:A284)+1</f>
        <v>128</v>
      </c>
      <c r="B285" s="58"/>
      <c r="C285" s="526" t="s">
        <v>304</v>
      </c>
      <c r="D285" s="58"/>
      <c r="E285" s="522" t="s">
        <v>262</v>
      </c>
      <c r="F285" s="58"/>
      <c r="G285" s="29">
        <v>86233.647863598511</v>
      </c>
      <c r="H285" s="58"/>
      <c r="I285" s="547">
        <v>6.4899999999999999E-2</v>
      </c>
      <c r="J285" s="534">
        <f t="shared" si="134"/>
        <v>55.965637463475431</v>
      </c>
      <c r="K285" s="534"/>
      <c r="L285" s="643">
        <v>55.965637463475431</v>
      </c>
      <c r="M285" s="29">
        <v>0</v>
      </c>
      <c r="N285" s="29">
        <v>0</v>
      </c>
      <c r="O285" s="538">
        <f t="shared" si="135"/>
        <v>0</v>
      </c>
      <c r="P285" s="58"/>
      <c r="Q285" s="29">
        <v>52.460709146977266</v>
      </c>
      <c r="R285" s="643">
        <v>0</v>
      </c>
      <c r="S285" s="643">
        <v>0</v>
      </c>
      <c r="T285" s="58"/>
      <c r="U285" s="539">
        <f t="shared" si="136"/>
        <v>52.460709146977266</v>
      </c>
      <c r="V285" s="548">
        <f t="shared" si="133"/>
        <v>6.0835544415281897E-2</v>
      </c>
      <c r="W285" s="549">
        <f t="shared" si="137"/>
        <v>-3.5049283164981659</v>
      </c>
      <c r="X285" s="541"/>
      <c r="Y285" s="541"/>
      <c r="Z285" s="501"/>
      <c r="AA285" s="738"/>
      <c r="AC285" s="738"/>
      <c r="AE285" s="744"/>
    </row>
    <row r="286" spans="1:31">
      <c r="A286" s="6">
        <f>MAX(A$279:A285)+1</f>
        <v>129</v>
      </c>
      <c r="B286" s="58"/>
      <c r="C286" s="526" t="s">
        <v>305</v>
      </c>
      <c r="D286" s="58"/>
      <c r="E286" s="574"/>
      <c r="F286" s="58"/>
      <c r="G286" s="29">
        <v>120128.48102739092</v>
      </c>
      <c r="H286" s="58"/>
      <c r="I286" s="547">
        <v>6.4899999999999999E-2</v>
      </c>
      <c r="J286" s="534">
        <f t="shared" si="134"/>
        <v>77.963384186776707</v>
      </c>
      <c r="K286" s="534"/>
      <c r="L286" s="643">
        <v>77.963384186776707</v>
      </c>
      <c r="M286" s="29">
        <v>0</v>
      </c>
      <c r="N286" s="29">
        <v>0</v>
      </c>
      <c r="O286" s="538">
        <f t="shared" si="135"/>
        <v>0</v>
      </c>
      <c r="P286" s="58"/>
      <c r="Q286" s="29">
        <v>73.0808154308219</v>
      </c>
      <c r="R286" s="643">
        <v>0</v>
      </c>
      <c r="S286" s="643">
        <v>0</v>
      </c>
      <c r="T286" s="58"/>
      <c r="U286" s="539">
        <f t="shared" si="136"/>
        <v>73.0808154308219</v>
      </c>
      <c r="V286" s="548">
        <f t="shared" si="133"/>
        <v>6.0835544415281897E-2</v>
      </c>
      <c r="W286" s="549">
        <f t="shared" si="137"/>
        <v>-4.8825687559548072</v>
      </c>
      <c r="X286" s="541"/>
      <c r="Y286" s="541"/>
      <c r="Z286" s="501"/>
      <c r="AA286" s="738"/>
      <c r="AC286" s="738"/>
      <c r="AE286" s="744"/>
    </row>
    <row r="287" spans="1:31">
      <c r="A287" s="6">
        <f>MAX(A$279:A286)+1</f>
        <v>130</v>
      </c>
      <c r="B287" s="58"/>
      <c r="C287" s="521" t="s">
        <v>260</v>
      </c>
      <c r="D287" s="58"/>
      <c r="E287" s="30"/>
      <c r="F287" s="58"/>
      <c r="G287" s="131">
        <f>SUM(G282:G286)</f>
        <v>976879.860067136</v>
      </c>
      <c r="H287" s="58"/>
      <c r="I287" s="593">
        <f>J287/G287*100</f>
        <v>6.4899999999999999E-2</v>
      </c>
      <c r="J287" s="650">
        <f t="shared" ref="J287" si="138">SUM(J282:J286)</f>
        <v>633.99502918357121</v>
      </c>
      <c r="K287" s="622"/>
      <c r="L287" s="650">
        <f>SUM(L282:L286)</f>
        <v>633.99502918357121</v>
      </c>
      <c r="M287" s="555">
        <f t="shared" ref="M287:O287" si="139">SUM(M282:M286)</f>
        <v>0</v>
      </c>
      <c r="N287" s="555">
        <f t="shared" si="139"/>
        <v>0</v>
      </c>
      <c r="O287" s="555">
        <f t="shared" si="139"/>
        <v>0</v>
      </c>
      <c r="P287" s="58"/>
      <c r="Q287" s="619">
        <f>SUM(Q282:Q286)</f>
        <v>594.2901811550862</v>
      </c>
      <c r="R287" s="619">
        <f t="shared" ref="R287:S287" si="140">SUM(R282:R286)</f>
        <v>0</v>
      </c>
      <c r="S287" s="619">
        <f t="shared" si="140"/>
        <v>0</v>
      </c>
      <c r="T287" s="132"/>
      <c r="U287" s="131">
        <f t="shared" ref="U287" si="141">SUM(U282:U286)</f>
        <v>594.2901811550862</v>
      </c>
      <c r="V287" s="635">
        <f t="shared" si="133"/>
        <v>6.0835544415281897E-2</v>
      </c>
      <c r="W287" s="557">
        <f>SUM(W282:W286)</f>
        <v>-39.704848028485031</v>
      </c>
      <c r="X287" s="788">
        <f>V287/I287-1</f>
        <v>-6.2626434279169474E-2</v>
      </c>
      <c r="Y287" s="653"/>
      <c r="Z287" s="501"/>
      <c r="AA287" s="738"/>
      <c r="AC287" s="738"/>
      <c r="AE287" s="744"/>
    </row>
    <row r="288" spans="1:31">
      <c r="A288" s="6"/>
      <c r="C288" s="10"/>
      <c r="G288" s="129"/>
      <c r="J288" s="501"/>
      <c r="K288" s="501"/>
      <c r="L288" s="501"/>
      <c r="M288" s="501"/>
      <c r="N288" s="501"/>
      <c r="O288" s="501"/>
      <c r="Q288" s="501"/>
      <c r="R288" s="501"/>
      <c r="S288" s="501"/>
      <c r="V288" s="632"/>
      <c r="W288" s="501"/>
      <c r="X288" s="541"/>
      <c r="Y288" s="541"/>
      <c r="Z288" s="501"/>
      <c r="AA288" s="738"/>
    </row>
    <row r="289" spans="1:31">
      <c r="A289" s="6">
        <f>MAX(A$279:A288)+1</f>
        <v>131</v>
      </c>
      <c r="B289" s="58"/>
      <c r="C289" s="10" t="s">
        <v>266</v>
      </c>
      <c r="D289" s="58"/>
      <c r="E289" s="30"/>
      <c r="F289" s="58"/>
      <c r="G289" s="411">
        <f>G287</f>
        <v>976879.860067136</v>
      </c>
      <c r="H289" s="29"/>
      <c r="I289" s="593">
        <f t="shared" ref="I289:X289" si="142">I287</f>
        <v>6.4899999999999999E-2</v>
      </c>
      <c r="J289" s="411">
        <f t="shared" si="142"/>
        <v>633.99502918357121</v>
      </c>
      <c r="K289" s="29"/>
      <c r="L289" s="411">
        <f t="shared" si="142"/>
        <v>633.99502918357121</v>
      </c>
      <c r="M289" s="411">
        <f t="shared" si="142"/>
        <v>0</v>
      </c>
      <c r="N289" s="411">
        <f t="shared" si="142"/>
        <v>0</v>
      </c>
      <c r="O289" s="411">
        <f t="shared" si="142"/>
        <v>0</v>
      </c>
      <c r="P289" s="29"/>
      <c r="Q289" s="411">
        <f t="shared" si="142"/>
        <v>594.2901811550862</v>
      </c>
      <c r="R289" s="411">
        <f t="shared" si="142"/>
        <v>0</v>
      </c>
      <c r="S289" s="411">
        <f t="shared" si="142"/>
        <v>0</v>
      </c>
      <c r="T289" s="29"/>
      <c r="U289" s="411">
        <f t="shared" si="142"/>
        <v>594.2901811550862</v>
      </c>
      <c r="V289" s="635">
        <f>V287</f>
        <v>6.0835544415281897E-2</v>
      </c>
      <c r="W289" s="411">
        <f t="shared" si="142"/>
        <v>-39.704848028485031</v>
      </c>
      <c r="X289" s="788">
        <f t="shared" si="142"/>
        <v>-6.2626434279169474E-2</v>
      </c>
      <c r="Y289" s="630"/>
      <c r="Z289" s="501"/>
      <c r="AA289" s="738"/>
    </row>
    <row r="290" spans="1:31">
      <c r="A290" s="6"/>
      <c r="B290" s="58"/>
      <c r="C290" s="10"/>
      <c r="D290" s="58"/>
      <c r="E290" s="30"/>
      <c r="F290" s="58"/>
      <c r="G290" s="29"/>
      <c r="H290" s="58"/>
      <c r="I290" s="58"/>
      <c r="J290" s="501"/>
      <c r="K290" s="501"/>
      <c r="L290" s="501"/>
      <c r="M290" s="501"/>
      <c r="N290" s="501"/>
      <c r="O290" s="501"/>
      <c r="P290" s="58"/>
      <c r="Q290" s="501"/>
      <c r="R290" s="501"/>
      <c r="S290" s="501"/>
      <c r="T290" s="58"/>
      <c r="U290" s="58"/>
      <c r="V290" s="58"/>
      <c r="W290" s="501"/>
      <c r="X290" s="501"/>
      <c r="Y290" s="501"/>
      <c r="Z290" s="501"/>
      <c r="AA290" s="738"/>
    </row>
    <row r="291" spans="1:31">
      <c r="A291" s="6"/>
      <c r="B291" s="58"/>
      <c r="C291" s="10" t="s">
        <v>268</v>
      </c>
      <c r="D291" s="581"/>
      <c r="E291" s="581"/>
      <c r="F291" s="581"/>
      <c r="G291" s="581"/>
      <c r="H291" s="581"/>
      <c r="I291" s="581"/>
      <c r="J291" s="501"/>
      <c r="K291" s="501"/>
      <c r="L291" s="501"/>
      <c r="M291" s="501"/>
      <c r="N291" s="501"/>
      <c r="O291" s="501"/>
      <c r="P291" s="581"/>
      <c r="Q291" s="501"/>
      <c r="R291" s="501"/>
      <c r="S291" s="501"/>
      <c r="T291" s="581"/>
      <c r="U291" s="581"/>
      <c r="V291" s="657"/>
      <c r="W291" s="501"/>
      <c r="X291" s="541"/>
      <c r="Y291" s="501"/>
      <c r="Z291" s="501"/>
      <c r="AA291" s="738"/>
    </row>
    <row r="292" spans="1:31">
      <c r="A292" s="6">
        <f>MAX(A$279:A291)+1</f>
        <v>132</v>
      </c>
      <c r="B292" s="58"/>
      <c r="C292" s="12" t="s">
        <v>306</v>
      </c>
      <c r="D292" s="57"/>
      <c r="E292" s="522" t="s">
        <v>262</v>
      </c>
      <c r="F292" s="57"/>
      <c r="G292" s="29">
        <v>274790.8752561867</v>
      </c>
      <c r="H292" s="614"/>
      <c r="I292" s="547">
        <v>4.9102516431090066</v>
      </c>
      <c r="J292" s="534">
        <f>G292*I292/100</f>
        <v>13492.923467380528</v>
      </c>
      <c r="K292" s="534"/>
      <c r="L292" s="643">
        <v>0</v>
      </c>
      <c r="M292" s="29">
        <v>39.985002056233732</v>
      </c>
      <c r="N292" s="643">
        <v>0</v>
      </c>
      <c r="O292" s="534">
        <f>J292-L292-M292-N292</f>
        <v>13452.938465324294</v>
      </c>
      <c r="P292" s="614"/>
      <c r="Q292" s="643">
        <v>0</v>
      </c>
      <c r="R292" s="29">
        <v>49.117732712342395</v>
      </c>
      <c r="S292" s="29">
        <v>0</v>
      </c>
      <c r="T292" s="614"/>
      <c r="U292" s="624">
        <f>SUM(O292:S292)</f>
        <v>13502.056198036636</v>
      </c>
      <c r="V292" s="597">
        <f>U292/G292*100</f>
        <v>4.9135751634579243</v>
      </c>
      <c r="W292" s="658">
        <f>U292-J292</f>
        <v>9.1327306561088335</v>
      </c>
      <c r="X292" s="541"/>
      <c r="Y292" s="501"/>
      <c r="Z292" s="501"/>
      <c r="AA292" s="738"/>
      <c r="AC292" s="738"/>
      <c r="AE292" s="744"/>
    </row>
    <row r="293" spans="1:31">
      <c r="A293" s="6">
        <f>MAX(A$279:A292)+1</f>
        <v>133</v>
      </c>
      <c r="B293" s="58"/>
      <c r="C293" s="12" t="s">
        <v>307</v>
      </c>
      <c r="D293" s="3"/>
      <c r="E293" s="522" t="s">
        <v>262</v>
      </c>
      <c r="F293" s="3"/>
      <c r="G293" s="29">
        <v>702088.9848109493</v>
      </c>
      <c r="H293" s="616"/>
      <c r="I293" s="547">
        <v>2.4598725863893667</v>
      </c>
      <c r="J293" s="534">
        <f>G293*I293/100</f>
        <v>17270.494469423946</v>
      </c>
      <c r="K293" s="534"/>
      <c r="L293" s="643">
        <v>0</v>
      </c>
      <c r="M293" s="29">
        <v>145.9449038169349</v>
      </c>
      <c r="N293" s="29">
        <v>108.01479003855833</v>
      </c>
      <c r="O293" s="534">
        <f>J293-L293-M293-N293</f>
        <v>17016.534775568452</v>
      </c>
      <c r="P293" s="616"/>
      <c r="Q293" s="643">
        <v>0</v>
      </c>
      <c r="R293" s="29">
        <v>179.27928992793807</v>
      </c>
      <c r="S293" s="29">
        <v>108.1365316886159</v>
      </c>
      <c r="T293" s="616"/>
      <c r="U293" s="624">
        <f>SUM(O293:S293)</f>
        <v>17303.950597185005</v>
      </c>
      <c r="V293" s="597">
        <f>U293/G293*100</f>
        <v>2.4646378125195083</v>
      </c>
      <c r="W293" s="658">
        <f>U293-J293</f>
        <v>33.456127761059179</v>
      </c>
      <c r="X293" s="541"/>
      <c r="Y293" s="501"/>
      <c r="Z293" s="501"/>
      <c r="AA293" s="738"/>
      <c r="AC293" s="738"/>
      <c r="AE293" s="744"/>
    </row>
    <row r="294" spans="1:31">
      <c r="A294" s="6">
        <f>MAX(A$279:A293)+1</f>
        <v>134</v>
      </c>
      <c r="B294" s="58"/>
      <c r="C294" s="10" t="s">
        <v>268</v>
      </c>
      <c r="D294" s="5"/>
      <c r="E294" s="6"/>
      <c r="F294" s="5"/>
      <c r="G294" s="411">
        <f>SUM(G292:G293)</f>
        <v>976879.860067136</v>
      </c>
      <c r="H294" s="659"/>
      <c r="I294" s="789">
        <f>J294/G294*100</f>
        <v>3.1491505961326971</v>
      </c>
      <c r="J294" s="662">
        <f t="shared" ref="J294" si="143">SUM(J292:J293)</f>
        <v>30763.417936804472</v>
      </c>
      <c r="K294" s="643"/>
      <c r="L294" s="662">
        <f>SUM(L292:L293)</f>
        <v>0</v>
      </c>
      <c r="M294" s="662">
        <f t="shared" ref="M294:O294" si="144">SUM(M292:M293)</f>
        <v>185.92990587316862</v>
      </c>
      <c r="N294" s="662">
        <f t="shared" si="144"/>
        <v>108.01479003855833</v>
      </c>
      <c r="O294" s="662">
        <f t="shared" si="144"/>
        <v>30469.473240892745</v>
      </c>
      <c r="P294" s="659"/>
      <c r="Q294" s="663">
        <f>SUM(Q292:Q293)</f>
        <v>0</v>
      </c>
      <c r="R294" s="663">
        <f t="shared" ref="R294:S294" si="145">SUM(R292:R293)</f>
        <v>228.39702264028045</v>
      </c>
      <c r="S294" s="663">
        <f t="shared" si="145"/>
        <v>108.1365316886159</v>
      </c>
      <c r="T294" s="642"/>
      <c r="U294" s="636">
        <f>SUM(U292:U293)</f>
        <v>30806.006795221641</v>
      </c>
      <c r="V294" s="608">
        <f>U294/G294*100</f>
        <v>3.1535102784394078</v>
      </c>
      <c r="W294" s="636">
        <f>SUM(W292:W293)</f>
        <v>42.588858417168012</v>
      </c>
      <c r="X294" s="656">
        <f>V294/I294-1</f>
        <v>1.3843994352205069E-3</v>
      </c>
      <c r="Y294" s="501"/>
      <c r="Z294" s="501"/>
      <c r="AA294" s="747"/>
      <c r="AC294" s="738"/>
      <c r="AE294" s="744"/>
    </row>
    <row r="295" spans="1:31">
      <c r="A295" s="6"/>
      <c r="B295" s="58"/>
      <c r="C295" s="58"/>
      <c r="D295" s="58"/>
      <c r="E295" s="30"/>
      <c r="F295" s="58"/>
      <c r="G295" s="29"/>
      <c r="H295" s="58"/>
      <c r="I295" s="58"/>
      <c r="J295" s="501"/>
      <c r="K295" s="501"/>
      <c r="L295" s="501"/>
      <c r="M295" s="501"/>
      <c r="N295" s="501"/>
      <c r="O295" s="501"/>
      <c r="P295" s="58"/>
      <c r="Q295" s="501"/>
      <c r="R295" s="501"/>
      <c r="S295" s="501"/>
      <c r="T295" s="58"/>
      <c r="U295" s="58"/>
      <c r="V295" s="58"/>
      <c r="W295" s="501"/>
      <c r="X295" s="501"/>
      <c r="Y295" s="501"/>
      <c r="Z295" s="501"/>
      <c r="AA295" s="738"/>
      <c r="AE295" s="744"/>
    </row>
    <row r="296" spans="1:31">
      <c r="A296" s="6"/>
      <c r="B296" s="58"/>
      <c r="C296" s="10" t="s">
        <v>308</v>
      </c>
      <c r="D296" s="58"/>
      <c r="E296" s="30"/>
      <c r="F296" s="58"/>
      <c r="G296" s="132"/>
      <c r="H296" s="58"/>
      <c r="I296" s="58"/>
      <c r="J296" s="501"/>
      <c r="K296" s="501"/>
      <c r="L296" s="501"/>
      <c r="M296" s="501"/>
      <c r="N296" s="501"/>
      <c r="O296" s="501"/>
      <c r="P296" s="58"/>
      <c r="Q296" s="501"/>
      <c r="R296" s="501"/>
      <c r="S296" s="501"/>
      <c r="T296" s="58"/>
      <c r="U296" s="58"/>
      <c r="V296" s="58"/>
      <c r="W296" s="501"/>
      <c r="X296" s="501"/>
      <c r="Y296" s="501"/>
      <c r="Z296" s="501"/>
      <c r="AA296" s="738"/>
      <c r="AE296" s="744"/>
    </row>
    <row r="297" spans="1:31">
      <c r="A297" s="6">
        <f>MAX(A$279:A296)+1</f>
        <v>135</v>
      </c>
      <c r="B297" s="58"/>
      <c r="C297" s="12" t="s">
        <v>306</v>
      </c>
      <c r="D297" s="58"/>
      <c r="E297" s="522" t="s">
        <v>262</v>
      </c>
      <c r="F297" s="58"/>
      <c r="G297" s="29">
        <v>274790.8752561867</v>
      </c>
      <c r="H297" s="58"/>
      <c r="I297" s="620">
        <v>0.57732107261404941</v>
      </c>
      <c r="J297" s="622">
        <f>G297*I297/100</f>
        <v>1586.4256284745516</v>
      </c>
      <c r="K297" s="622"/>
      <c r="L297" s="643">
        <v>0</v>
      </c>
      <c r="M297" s="29">
        <v>63.68335431669415</v>
      </c>
      <c r="N297" s="29">
        <v>423.30398225785399</v>
      </c>
      <c r="O297" s="622">
        <f>J297-L297-M297-N297</f>
        <v>1099.4382919000034</v>
      </c>
      <c r="P297" s="58"/>
      <c r="Q297" s="643">
        <v>0</v>
      </c>
      <c r="R297" s="29">
        <v>78.228881197847059</v>
      </c>
      <c r="S297" s="29">
        <v>423.78108104458141</v>
      </c>
      <c r="T297" s="539"/>
      <c r="U297" s="621">
        <f>SUM(O297:S297)</f>
        <v>1601.448254142432</v>
      </c>
      <c r="V297" s="750">
        <f>U297/G297*100</f>
        <v>0.58278800293110411</v>
      </c>
      <c r="W297" s="790">
        <f>U297-J297</f>
        <v>15.022625667880448</v>
      </c>
      <c r="X297" s="541"/>
      <c r="Y297" s="541"/>
      <c r="Z297" s="501"/>
      <c r="AA297" s="747"/>
      <c r="AC297" s="747"/>
      <c r="AE297" s="744"/>
    </row>
    <row r="298" spans="1:31">
      <c r="A298" s="6">
        <f>MAX(A$279:A297)+1</f>
        <v>136</v>
      </c>
      <c r="B298" s="58"/>
      <c r="C298" s="12" t="s">
        <v>307</v>
      </c>
      <c r="D298" s="58"/>
      <c r="E298" s="522" t="s">
        <v>262</v>
      </c>
      <c r="F298" s="58"/>
      <c r="G298" s="29">
        <v>702088.9848109493</v>
      </c>
      <c r="H298" s="58"/>
      <c r="I298" s="620">
        <v>4.1064171220104688</v>
      </c>
      <c r="J298" s="622">
        <f>G298*I298/100</f>
        <v>28830.702284026305</v>
      </c>
      <c r="K298" s="622"/>
      <c r="L298" s="643">
        <v>0</v>
      </c>
      <c r="M298" s="29">
        <v>170.3272640472313</v>
      </c>
      <c r="N298" s="29">
        <v>1323.8383073799539</v>
      </c>
      <c r="O298" s="622">
        <f>J298-L298-M298-N298</f>
        <v>27336.536712599122</v>
      </c>
      <c r="P298" s="58"/>
      <c r="Q298" s="643">
        <v>0</v>
      </c>
      <c r="R298" s="29">
        <v>209.23067647541072</v>
      </c>
      <c r="S298" s="29">
        <v>1325.3303832326435</v>
      </c>
      <c r="T298" s="539"/>
      <c r="U298" s="621">
        <f>SUM(O298:S298)</f>
        <v>28871.097772307174</v>
      </c>
      <c r="V298" s="750">
        <f>U298/G298*100</f>
        <v>4.1121707357481556</v>
      </c>
      <c r="W298" s="790">
        <f>U298-J298</f>
        <v>40.395488280868449</v>
      </c>
      <c r="X298" s="541"/>
      <c r="Y298" s="541"/>
      <c r="Z298" s="501"/>
      <c r="AA298" s="747"/>
      <c r="AC298" s="747"/>
      <c r="AE298" s="744"/>
    </row>
    <row r="299" spans="1:31">
      <c r="A299" s="6">
        <f>MAX(A$279:A298)+1</f>
        <v>137</v>
      </c>
      <c r="B299" s="58"/>
      <c r="C299" s="10" t="s">
        <v>309</v>
      </c>
      <c r="D299" s="58"/>
      <c r="E299" s="591"/>
      <c r="F299" s="58"/>
      <c r="G299" s="663">
        <f>SUM(G297:G298)</f>
        <v>976879.860067136</v>
      </c>
      <c r="H299" s="58"/>
      <c r="I299" s="666">
        <f>J299/G299*100</f>
        <v>3.1137020176063865</v>
      </c>
      <c r="J299" s="645">
        <f t="shared" ref="J299" si="146">SUM(J297:J298)</f>
        <v>30417.127912500859</v>
      </c>
      <c r="K299" s="640"/>
      <c r="L299" s="645">
        <f>SUM(L297:L298)</f>
        <v>0</v>
      </c>
      <c r="M299" s="645">
        <f t="shared" ref="M299:O299" si="147">SUM(M297:M298)</f>
        <v>234.01061836392546</v>
      </c>
      <c r="N299" s="645">
        <f t="shared" si="147"/>
        <v>1747.1422896378078</v>
      </c>
      <c r="O299" s="645">
        <f t="shared" si="147"/>
        <v>28435.975004499123</v>
      </c>
      <c r="P299" s="640"/>
      <c r="Q299" s="645">
        <f>SUM(Q297:Q298)</f>
        <v>0</v>
      </c>
      <c r="R299" s="645">
        <f t="shared" ref="R299:S299" si="148">SUM(R297:R298)</f>
        <v>287.45955767325779</v>
      </c>
      <c r="S299" s="645">
        <f t="shared" si="148"/>
        <v>1749.111464277225</v>
      </c>
      <c r="T299" s="539"/>
      <c r="U299" s="685">
        <f>SUM(U297:U298)</f>
        <v>30472.546026449607</v>
      </c>
      <c r="V299" s="639">
        <f>U299/G299*100</f>
        <v>3.1193749888912015</v>
      </c>
      <c r="W299" s="557">
        <f>SUM(W297:W298)</f>
        <v>55.418113948748896</v>
      </c>
      <c r="X299" s="562">
        <f>V299/I299-1</f>
        <v>1.8219377617822996E-3</v>
      </c>
      <c r="Y299" s="541"/>
      <c r="Z299" s="501"/>
      <c r="AA299" s="738"/>
      <c r="AC299" s="747"/>
      <c r="AE299" s="744"/>
    </row>
    <row r="300" spans="1:31">
      <c r="A300" s="6"/>
      <c r="J300" s="501"/>
      <c r="K300" s="501"/>
      <c r="L300" s="501"/>
      <c r="M300" s="501"/>
      <c r="N300" s="501"/>
      <c r="O300" s="501"/>
      <c r="Q300" s="501"/>
      <c r="R300" s="501"/>
      <c r="S300" s="501"/>
      <c r="V300" s="632"/>
      <c r="W300" s="501"/>
      <c r="X300" s="541"/>
      <c r="Y300" s="541"/>
      <c r="Z300" s="501"/>
    </row>
    <row r="301" spans="1:31">
      <c r="A301" s="6"/>
      <c r="B301" s="58"/>
      <c r="C301" s="10" t="s">
        <v>270</v>
      </c>
      <c r="D301" s="58"/>
      <c r="E301" s="6"/>
      <c r="F301" s="58"/>
      <c r="G301" s="665"/>
      <c r="H301" s="539"/>
      <c r="I301" s="539"/>
      <c r="J301" s="534"/>
      <c r="K301" s="534"/>
      <c r="L301" s="534"/>
      <c r="M301" s="534"/>
      <c r="N301" s="534"/>
      <c r="O301" s="534"/>
      <c r="P301" s="539"/>
      <c r="Q301" s="534"/>
      <c r="R301" s="534"/>
      <c r="S301" s="534"/>
      <c r="T301" s="58"/>
      <c r="U301" s="58"/>
      <c r="V301" s="548"/>
      <c r="W301" s="501"/>
      <c r="X301" s="541"/>
      <c r="Y301" s="541"/>
      <c r="Z301" s="501"/>
      <c r="AA301" s="738"/>
      <c r="AE301" s="744"/>
    </row>
    <row r="302" spans="1:31">
      <c r="A302" s="6">
        <f>MAX(A$279:A301)+1</f>
        <v>138</v>
      </c>
      <c r="B302" s="58"/>
      <c r="C302" s="12" t="s">
        <v>306</v>
      </c>
      <c r="D302" s="58"/>
      <c r="E302" s="522" t="s">
        <v>262</v>
      </c>
      <c r="F302" s="58"/>
      <c r="G302" s="29">
        <v>261993.35937156968</v>
      </c>
      <c r="H302" s="624"/>
      <c r="I302" s="547">
        <v>18.0656</v>
      </c>
      <c r="J302" s="534">
        <f>G302*I302/100</f>
        <v>47330.672330630288</v>
      </c>
      <c r="K302" s="534"/>
      <c r="L302" s="643">
        <v>0</v>
      </c>
      <c r="M302" s="643">
        <v>0</v>
      </c>
      <c r="N302" s="643">
        <v>0</v>
      </c>
      <c r="O302" s="534">
        <f>J302-L302-M302-N302</f>
        <v>47330.672330630288</v>
      </c>
      <c r="P302" s="539"/>
      <c r="Q302" s="643">
        <v>0</v>
      </c>
      <c r="R302" s="643">
        <v>0</v>
      </c>
      <c r="S302" s="643">
        <v>0</v>
      </c>
      <c r="T302" s="58"/>
      <c r="U302" s="539">
        <f>SUM(O302:S302)</f>
        <v>47330.672330630288</v>
      </c>
      <c r="V302" s="548">
        <f>U302/G302*100</f>
        <v>18.0656</v>
      </c>
      <c r="W302" s="538">
        <f>U302-J302</f>
        <v>0</v>
      </c>
      <c r="X302" s="541"/>
      <c r="Y302" s="541"/>
      <c r="Z302" s="501"/>
      <c r="AA302" s="738"/>
      <c r="AC302" s="738"/>
      <c r="AE302" s="744"/>
    </row>
    <row r="303" spans="1:31">
      <c r="A303" s="6">
        <f>MAX(A$279:A302)+1</f>
        <v>139</v>
      </c>
      <c r="B303" s="58"/>
      <c r="C303" s="12" t="s">
        <v>307</v>
      </c>
      <c r="D303" s="58"/>
      <c r="E303" s="522" t="s">
        <v>262</v>
      </c>
      <c r="F303" s="58"/>
      <c r="G303" s="29">
        <v>657094.96247954725</v>
      </c>
      <c r="H303" s="624"/>
      <c r="I303" s="547">
        <v>20.612300000000001</v>
      </c>
      <c r="J303" s="534">
        <f>G303*I303/100</f>
        <v>135442.38495117173</v>
      </c>
      <c r="K303" s="534"/>
      <c r="L303" s="643">
        <v>0</v>
      </c>
      <c r="M303" s="643">
        <v>0</v>
      </c>
      <c r="N303" s="643">
        <v>0</v>
      </c>
      <c r="O303" s="534">
        <f>J303-L303-M303-N303</f>
        <v>135442.38495117173</v>
      </c>
      <c r="P303" s="539"/>
      <c r="Q303" s="643">
        <v>0</v>
      </c>
      <c r="R303" s="643">
        <v>0</v>
      </c>
      <c r="S303" s="643">
        <v>0</v>
      </c>
      <c r="T303" s="58"/>
      <c r="U303" s="539">
        <f>SUM(O303:S303)</f>
        <v>135442.38495117173</v>
      </c>
      <c r="V303" s="548">
        <f>U303/G303*100</f>
        <v>20.612300000000001</v>
      </c>
      <c r="W303" s="538">
        <f>U303-J303</f>
        <v>0</v>
      </c>
      <c r="X303" s="541"/>
      <c r="Y303" s="541"/>
      <c r="Z303" s="501"/>
      <c r="AA303" s="738"/>
      <c r="AC303" s="738"/>
      <c r="AE303" s="744"/>
    </row>
    <row r="304" spans="1:31">
      <c r="A304" s="6">
        <f>MAX(A$279:A303)+1</f>
        <v>140</v>
      </c>
      <c r="B304" s="58"/>
      <c r="C304" s="10" t="s">
        <v>270</v>
      </c>
      <c r="D304" s="58"/>
      <c r="E304" s="30"/>
      <c r="F304" s="58"/>
      <c r="G304" s="411">
        <f>SUM(G302:G303)</f>
        <v>919088.32185111695</v>
      </c>
      <c r="H304" s="411"/>
      <c r="I304" s="791">
        <f>J304/G304*100</f>
        <v>19.886343122463195</v>
      </c>
      <c r="J304" s="662">
        <f t="shared" ref="J304" si="149">SUM(J302:J303)</f>
        <v>182773.057281802</v>
      </c>
      <c r="K304" s="643"/>
      <c r="L304" s="662">
        <f>SUM(L302:L303)</f>
        <v>0</v>
      </c>
      <c r="M304" s="662">
        <f t="shared" ref="M304:O304" si="150">SUM(M302:M303)</f>
        <v>0</v>
      </c>
      <c r="N304" s="662">
        <f t="shared" si="150"/>
        <v>0</v>
      </c>
      <c r="O304" s="662">
        <f t="shared" si="150"/>
        <v>182773.057281802</v>
      </c>
      <c r="P304" s="643"/>
      <c r="Q304" s="662">
        <f>SUM(Q302:Q303)</f>
        <v>0</v>
      </c>
      <c r="R304" s="662">
        <f t="shared" ref="R304:S304" si="151">SUM(R302:R303)</f>
        <v>0</v>
      </c>
      <c r="S304" s="662">
        <f t="shared" si="151"/>
        <v>0</v>
      </c>
      <c r="T304" s="58"/>
      <c r="U304" s="554">
        <f>SUM(U302:U303)</f>
        <v>182773.057281802</v>
      </c>
      <c r="V304" s="556">
        <f>U304/G304*100</f>
        <v>19.886343122463195</v>
      </c>
      <c r="W304" s="555">
        <f>SUM(W302:W303)</f>
        <v>0</v>
      </c>
      <c r="X304" s="562">
        <f>V304/I304-1</f>
        <v>0</v>
      </c>
      <c r="Y304" s="541"/>
      <c r="Z304" s="501"/>
      <c r="AA304" s="738"/>
      <c r="AC304" s="738"/>
      <c r="AE304" s="744"/>
    </row>
    <row r="305" spans="1:31">
      <c r="A305" s="6"/>
      <c r="B305" s="58"/>
      <c r="C305" s="10"/>
      <c r="D305" s="58"/>
      <c r="E305" s="30"/>
      <c r="F305" s="58"/>
      <c r="G305" s="536"/>
      <c r="H305" s="624"/>
      <c r="I305" s="624"/>
      <c r="J305" s="534"/>
      <c r="K305" s="534"/>
      <c r="L305" s="534"/>
      <c r="M305" s="534"/>
      <c r="N305" s="534"/>
      <c r="O305" s="534"/>
      <c r="P305" s="539"/>
      <c r="Q305" s="534"/>
      <c r="R305" s="534"/>
      <c r="S305" s="534"/>
      <c r="T305" s="58"/>
      <c r="U305" s="58"/>
      <c r="V305" s="548"/>
      <c r="W305" s="501"/>
      <c r="X305" s="541"/>
      <c r="Y305" s="541"/>
      <c r="Z305" s="501"/>
      <c r="AA305" s="738"/>
      <c r="AC305" s="738"/>
      <c r="AE305" s="738"/>
    </row>
    <row r="306" spans="1:31">
      <c r="A306" s="6">
        <f>MAX(A$279:A305)+1</f>
        <v>141</v>
      </c>
      <c r="B306" s="58"/>
      <c r="C306" s="10" t="s">
        <v>310</v>
      </c>
      <c r="D306" s="58"/>
      <c r="E306" s="30"/>
      <c r="F306" s="58"/>
      <c r="G306" s="29"/>
      <c r="H306" s="603"/>
      <c r="I306" s="603"/>
      <c r="J306" s="501"/>
      <c r="K306" s="501"/>
      <c r="L306" s="501"/>
      <c r="M306" s="501"/>
      <c r="N306" s="501"/>
      <c r="O306" s="501"/>
      <c r="P306" s="58"/>
      <c r="Q306" s="501"/>
      <c r="R306" s="501"/>
      <c r="S306" s="501"/>
      <c r="T306" s="58"/>
      <c r="U306" s="58"/>
      <c r="V306" s="548"/>
      <c r="W306" s="501"/>
      <c r="X306" s="541"/>
      <c r="Y306" s="541"/>
      <c r="Z306" s="501"/>
      <c r="AA306" s="738"/>
      <c r="AC306" s="738"/>
      <c r="AE306" s="738"/>
    </row>
    <row r="307" spans="1:31" ht="12.95" thickBot="1">
      <c r="A307" s="6"/>
      <c r="B307" s="58"/>
      <c r="C307" s="12"/>
      <c r="D307" s="58"/>
      <c r="E307" s="30"/>
      <c r="F307" s="58"/>
      <c r="G307" s="589">
        <f>G287</f>
        <v>976879.860067136</v>
      </c>
      <c r="H307" s="58"/>
      <c r="I307" s="651">
        <f>J307/G307*100</f>
        <v>25.037633403915365</v>
      </c>
      <c r="J307" s="627">
        <f>SUM(J287+J299+J294+J304)</f>
        <v>244587.59816029092</v>
      </c>
      <c r="K307" s="539"/>
      <c r="L307" s="627">
        <f>SUM(L287+L299+L294+L304)</f>
        <v>633.99502918357121</v>
      </c>
      <c r="M307" s="627">
        <f>SUM(M287+M299+M294+M304)</f>
        <v>419.94052423709411</v>
      </c>
      <c r="N307" s="627">
        <f>SUM(N287+N299+N294+N304)</f>
        <v>1855.1570796763663</v>
      </c>
      <c r="O307" s="627">
        <f>SUM(O287+O299+O294+O304)</f>
        <v>241678.50552719386</v>
      </c>
      <c r="P307" s="539"/>
      <c r="Q307" s="627">
        <f>SUM(Q287+Q299+Q294+Q304)</f>
        <v>594.2901811550862</v>
      </c>
      <c r="R307" s="627">
        <f>SUM(R287+R299+R294+R304)</f>
        <v>515.85658031353819</v>
      </c>
      <c r="S307" s="627">
        <f>SUM(S287+S299+S294+S304)</f>
        <v>1857.2479959658408</v>
      </c>
      <c r="T307" s="539"/>
      <c r="U307" s="627">
        <f>SUM(U287+U299+U294+U304)</f>
        <v>244645.90028462833</v>
      </c>
      <c r="V307" s="651">
        <f>U307/G307*100</f>
        <v>25.043601601922173</v>
      </c>
      <c r="W307" s="627">
        <f>W289+W294+W299+W304</f>
        <v>58.302124337431877</v>
      </c>
      <c r="X307" s="629">
        <f>V307/I307-1</f>
        <v>2.3836909465546618E-4</v>
      </c>
      <c r="Y307" s="630"/>
      <c r="Z307" s="501"/>
      <c r="AA307" s="738"/>
      <c r="AC307" s="738"/>
      <c r="AE307" s="744"/>
    </row>
    <row r="308" spans="1:31" ht="12.95" thickTop="1">
      <c r="A308" s="6"/>
      <c r="B308" s="58"/>
      <c r="C308" s="12"/>
      <c r="D308" s="58"/>
      <c r="E308" s="30"/>
      <c r="F308" s="58"/>
      <c r="G308" s="29"/>
      <c r="H308" s="58"/>
      <c r="I308" s="58"/>
      <c r="J308" s="501"/>
      <c r="K308" s="501"/>
      <c r="L308" s="501"/>
      <c r="M308" s="501"/>
      <c r="N308" s="501"/>
      <c r="O308" s="501"/>
      <c r="P308" s="58"/>
      <c r="Q308" s="501"/>
      <c r="R308" s="501"/>
      <c r="S308" s="501"/>
      <c r="T308" s="58"/>
      <c r="U308" s="58"/>
      <c r="V308" s="58"/>
      <c r="W308" s="501"/>
      <c r="X308" s="501"/>
      <c r="Y308" s="501"/>
      <c r="Z308" s="501"/>
      <c r="AA308" s="738"/>
      <c r="AC308" s="738"/>
      <c r="AE308" s="738"/>
    </row>
    <row r="309" spans="1:31">
      <c r="A309" s="6"/>
      <c r="B309" s="58"/>
      <c r="C309" s="9" t="s">
        <v>141</v>
      </c>
      <c r="D309" s="58"/>
      <c r="E309" s="30"/>
      <c r="F309" s="58"/>
      <c r="G309" s="29"/>
      <c r="H309" s="58"/>
      <c r="I309" s="58"/>
      <c r="J309" s="501"/>
      <c r="K309" s="501"/>
      <c r="L309" s="538"/>
      <c r="M309" s="538"/>
      <c r="N309" s="538"/>
      <c r="O309" s="538"/>
      <c r="P309" s="564"/>
      <c r="Q309" s="538"/>
      <c r="R309" s="538"/>
      <c r="S309" s="538"/>
      <c r="T309" s="58"/>
      <c r="U309" s="58"/>
      <c r="V309" s="58"/>
      <c r="W309" s="501"/>
      <c r="X309" s="501"/>
      <c r="Y309" s="501"/>
      <c r="Z309" s="501"/>
    </row>
    <row r="310" spans="1:31">
      <c r="A310" s="6">
        <f>MAX(A$279:A309)+1</f>
        <v>142</v>
      </c>
      <c r="B310" s="58"/>
      <c r="C310" s="10" t="s">
        <v>258</v>
      </c>
      <c r="D310" s="58"/>
      <c r="E310" s="30" t="s">
        <v>259</v>
      </c>
      <c r="F310" s="58"/>
      <c r="G310" s="29">
        <v>26448.999999999989</v>
      </c>
      <c r="H310" s="58"/>
      <c r="I310" s="29">
        <v>0</v>
      </c>
      <c r="J310" s="538">
        <v>0</v>
      </c>
      <c r="K310" s="538"/>
      <c r="L310" s="29">
        <v>0</v>
      </c>
      <c r="M310" s="29">
        <v>0</v>
      </c>
      <c r="N310" s="29">
        <v>0</v>
      </c>
      <c r="O310" s="538">
        <v>0</v>
      </c>
      <c r="P310" s="564"/>
      <c r="Q310" s="29">
        <v>0</v>
      </c>
      <c r="R310" s="29">
        <v>0</v>
      </c>
      <c r="S310" s="29">
        <v>0</v>
      </c>
      <c r="T310" s="564"/>
      <c r="U310" s="564">
        <v>0</v>
      </c>
      <c r="V310" s="564">
        <v>0</v>
      </c>
      <c r="W310" s="538">
        <v>0</v>
      </c>
      <c r="X310" s="541"/>
      <c r="Y310" s="541"/>
      <c r="Z310" s="501"/>
      <c r="AA310" s="738"/>
      <c r="AE310" s="739"/>
    </row>
    <row r="311" spans="1:31">
      <c r="A311" s="6"/>
      <c r="B311" s="58"/>
      <c r="C311" s="521" t="s">
        <v>260</v>
      </c>
      <c r="E311" s="30"/>
      <c r="G311" s="29"/>
      <c r="I311" s="537"/>
      <c r="J311" s="534"/>
      <c r="K311" s="534"/>
      <c r="L311" s="538"/>
      <c r="M311" s="538"/>
      <c r="N311" s="538"/>
      <c r="O311" s="538"/>
      <c r="P311" s="64"/>
      <c r="Q311" s="538"/>
      <c r="R311" s="29"/>
      <c r="S311" s="29"/>
      <c r="U311" s="539"/>
      <c r="V311" s="632"/>
      <c r="W311" s="534"/>
      <c r="X311" s="541"/>
      <c r="Y311" s="541"/>
      <c r="Z311" s="501"/>
      <c r="AA311" s="738"/>
      <c r="AE311" s="744"/>
    </row>
    <row r="312" spans="1:31">
      <c r="A312" s="6">
        <f>MAX(A$279:A311)+1</f>
        <v>143</v>
      </c>
      <c r="B312" s="58"/>
      <c r="C312" s="526" t="s">
        <v>311</v>
      </c>
      <c r="D312" s="58"/>
      <c r="E312" s="522" t="s">
        <v>262</v>
      </c>
      <c r="F312" s="58"/>
      <c r="G312" s="29">
        <v>21878.718395321583</v>
      </c>
      <c r="H312" s="58"/>
      <c r="I312" s="547">
        <v>1.6E-2</v>
      </c>
      <c r="J312" s="534">
        <f>G312*I312/100</f>
        <v>3.5005949432514534</v>
      </c>
      <c r="K312" s="534"/>
      <c r="L312" s="29">
        <v>3.5005949432514534</v>
      </c>
      <c r="M312" s="29">
        <v>0</v>
      </c>
      <c r="N312" s="29">
        <v>0</v>
      </c>
      <c r="O312" s="538">
        <f>J312-L312-M312-N312</f>
        <v>0</v>
      </c>
      <c r="P312" s="564"/>
      <c r="Q312" s="29">
        <v>3.2813651640999226</v>
      </c>
      <c r="R312" s="29">
        <v>0</v>
      </c>
      <c r="S312" s="29">
        <v>0</v>
      </c>
      <c r="T312" s="58"/>
      <c r="U312" s="539">
        <f>SUM(O312:S312)</f>
        <v>3.2813651640999226</v>
      </c>
      <c r="V312" s="548">
        <f t="shared" ref="V312:V317" si="152">U312/G312*100</f>
        <v>1.4997977051533285E-2</v>
      </c>
      <c r="W312" s="538">
        <f>U312-J312</f>
        <v>-0.21922977915153075</v>
      </c>
      <c r="X312" s="541"/>
      <c r="Y312" s="541"/>
      <c r="Z312" s="501"/>
      <c r="AA312" s="738"/>
      <c r="AC312" s="738"/>
      <c r="AE312" s="744"/>
    </row>
    <row r="313" spans="1:31">
      <c r="A313" s="6">
        <f>MAX(A$279:A312)+1</f>
        <v>144</v>
      </c>
      <c r="B313" s="58"/>
      <c r="C313" s="526" t="s">
        <v>312</v>
      </c>
      <c r="D313" s="58"/>
      <c r="E313" s="522" t="s">
        <v>262</v>
      </c>
      <c r="F313" s="58"/>
      <c r="G313" s="29">
        <v>127369.83644505285</v>
      </c>
      <c r="H313" s="58"/>
      <c r="I313" s="547">
        <v>1.6E-2</v>
      </c>
      <c r="J313" s="534">
        <f t="shared" ref="J313:J316" si="153">G313*I313/100</f>
        <v>20.379173831208458</v>
      </c>
      <c r="K313" s="534"/>
      <c r="L313" s="29">
        <v>20.379173831208458</v>
      </c>
      <c r="M313" s="29">
        <v>0</v>
      </c>
      <c r="N313" s="29">
        <v>0</v>
      </c>
      <c r="O313" s="538">
        <f t="shared" ref="O313:O316" si="154">J313-L313-M313-N313</f>
        <v>0</v>
      </c>
      <c r="P313" s="564"/>
      <c r="Q313" s="29">
        <v>19.102898840604507</v>
      </c>
      <c r="R313" s="29">
        <v>0</v>
      </c>
      <c r="S313" s="29">
        <v>0</v>
      </c>
      <c r="T313" s="58"/>
      <c r="U313" s="539">
        <f t="shared" ref="U313:U316" si="155">SUM(O313:S313)</f>
        <v>19.102898840604507</v>
      </c>
      <c r="V313" s="548">
        <f t="shared" si="152"/>
        <v>1.4997977051533285E-2</v>
      </c>
      <c r="W313" s="538">
        <f t="shared" ref="W313:W316" si="156">U313-J313</f>
        <v>-1.2762749906039517</v>
      </c>
      <c r="X313" s="541"/>
      <c r="Y313" s="541"/>
      <c r="Z313" s="501"/>
      <c r="AA313" s="738"/>
      <c r="AC313" s="738"/>
      <c r="AE313" s="744"/>
    </row>
    <row r="314" spans="1:31">
      <c r="A314" s="6">
        <f>MAX(A$279:A313)+1</f>
        <v>145</v>
      </c>
      <c r="C314" s="526" t="s">
        <v>313</v>
      </c>
      <c r="D314" s="58"/>
      <c r="E314" s="522" t="s">
        <v>262</v>
      </c>
      <c r="F314" s="58"/>
      <c r="G314" s="29">
        <v>86147.272263560444</v>
      </c>
      <c r="H314" s="58"/>
      <c r="I314" s="547">
        <v>1.6E-2</v>
      </c>
      <c r="J314" s="534">
        <f t="shared" si="153"/>
        <v>13.783563562169672</v>
      </c>
      <c r="K314" s="534"/>
      <c r="L314" s="29">
        <v>13.783563562169672</v>
      </c>
      <c r="M314" s="29">
        <v>0</v>
      </c>
      <c r="N314" s="29">
        <v>0</v>
      </c>
      <c r="O314" s="538">
        <f t="shared" si="154"/>
        <v>0</v>
      </c>
      <c r="P314" s="564"/>
      <c r="Q314" s="29">
        <v>12.920348124610694</v>
      </c>
      <c r="R314" s="29">
        <v>0</v>
      </c>
      <c r="S314" s="29">
        <v>0</v>
      </c>
      <c r="T314" s="58"/>
      <c r="U314" s="539">
        <f t="shared" si="155"/>
        <v>12.920348124610694</v>
      </c>
      <c r="V314" s="548">
        <f t="shared" si="152"/>
        <v>1.4997977051533285E-2</v>
      </c>
      <c r="W314" s="538">
        <f t="shared" si="156"/>
        <v>-0.86321543755897778</v>
      </c>
      <c r="X314" s="541"/>
      <c r="Y314" s="541"/>
      <c r="Z314" s="501"/>
      <c r="AA314" s="738"/>
      <c r="AC314" s="738"/>
      <c r="AE314" s="744"/>
    </row>
    <row r="315" spans="1:31">
      <c r="A315" s="6">
        <f>MAX(A$279:A314)+1</f>
        <v>146</v>
      </c>
      <c r="B315" s="58"/>
      <c r="C315" s="526" t="s">
        <v>314</v>
      </c>
      <c r="D315" s="58"/>
      <c r="E315" s="522" t="s">
        <v>262</v>
      </c>
      <c r="F315" s="58"/>
      <c r="G315" s="29">
        <v>61526.068987249084</v>
      </c>
      <c r="H315" s="58"/>
      <c r="I315" s="547">
        <v>1.6E-2</v>
      </c>
      <c r="J315" s="534">
        <f t="shared" si="153"/>
        <v>9.8441710379598533</v>
      </c>
      <c r="K315" s="534"/>
      <c r="L315" s="29">
        <v>9.8441710379598533</v>
      </c>
      <c r="M315" s="29">
        <v>0</v>
      </c>
      <c r="N315" s="29">
        <v>0</v>
      </c>
      <c r="O315" s="538">
        <f t="shared" si="154"/>
        <v>0</v>
      </c>
      <c r="P315" s="564"/>
      <c r="Q315" s="29">
        <v>9.2276657074181561</v>
      </c>
      <c r="R315" s="29">
        <v>0</v>
      </c>
      <c r="S315" s="29">
        <v>0</v>
      </c>
      <c r="T315" s="58"/>
      <c r="U315" s="539">
        <f t="shared" si="155"/>
        <v>9.2276657074181561</v>
      </c>
      <c r="V315" s="548">
        <f t="shared" si="152"/>
        <v>1.4997977051533285E-2</v>
      </c>
      <c r="W315" s="538">
        <f t="shared" si="156"/>
        <v>-0.61650533054169721</v>
      </c>
      <c r="X315" s="541"/>
      <c r="Y315" s="541"/>
      <c r="Z315" s="501"/>
      <c r="AA315" s="738"/>
      <c r="AC315" s="738"/>
      <c r="AE315" s="744"/>
    </row>
    <row r="316" spans="1:31">
      <c r="A316" s="6">
        <f>MAX(A$279:A315)+1</f>
        <v>147</v>
      </c>
      <c r="B316" s="58"/>
      <c r="C316" s="526" t="s">
        <v>315</v>
      </c>
      <c r="D316" s="58"/>
      <c r="E316" s="574"/>
      <c r="F316" s="58"/>
      <c r="G316" s="29">
        <v>44741.947796564804</v>
      </c>
      <c r="H316" s="58"/>
      <c r="I316" s="547">
        <v>1.6E-2</v>
      </c>
      <c r="J316" s="534">
        <f t="shared" si="153"/>
        <v>7.1587116474503683</v>
      </c>
      <c r="K316" s="534"/>
      <c r="L316" s="29">
        <v>7.1587116474503683</v>
      </c>
      <c r="M316" s="29">
        <v>0</v>
      </c>
      <c r="N316" s="29">
        <v>0</v>
      </c>
      <c r="O316" s="538">
        <f t="shared" si="154"/>
        <v>0</v>
      </c>
      <c r="P316" s="564"/>
      <c r="Q316" s="29">
        <v>6.7103870629377917</v>
      </c>
      <c r="R316" s="29">
        <v>0</v>
      </c>
      <c r="S316" s="29">
        <v>0</v>
      </c>
      <c r="T316" s="58"/>
      <c r="U316" s="539">
        <f t="shared" si="155"/>
        <v>6.7103870629377917</v>
      </c>
      <c r="V316" s="548">
        <f t="shared" si="152"/>
        <v>1.4997977051533285E-2</v>
      </c>
      <c r="W316" s="538">
        <f t="shared" si="156"/>
        <v>-0.44832458451257651</v>
      </c>
      <c r="X316" s="541"/>
      <c r="Y316" s="541"/>
      <c r="Z316" s="501"/>
      <c r="AA316" s="738"/>
      <c r="AC316" s="738"/>
      <c r="AE316" s="744"/>
    </row>
    <row r="317" spans="1:31">
      <c r="A317" s="6">
        <f>MAX(A$279:A316)+1</f>
        <v>148</v>
      </c>
      <c r="B317" s="58"/>
      <c r="C317" s="521" t="s">
        <v>260</v>
      </c>
      <c r="D317" s="58"/>
      <c r="E317" s="30"/>
      <c r="F317" s="58"/>
      <c r="G317" s="131">
        <f>SUM(G312:G316)</f>
        <v>341663.84388774872</v>
      </c>
      <c r="H317" s="58"/>
      <c r="I317" s="556">
        <f>J317/G317*100</f>
        <v>1.6E-2</v>
      </c>
      <c r="J317" s="552">
        <f>SUM(J312:J316)</f>
        <v>54.6662150220398</v>
      </c>
      <c r="K317" s="622"/>
      <c r="L317" s="555">
        <f>SUM(L312:L316)</f>
        <v>54.6662150220398</v>
      </c>
      <c r="M317" s="555">
        <f t="shared" ref="M317:O317" si="157">SUM(M312:M316)</f>
        <v>0</v>
      </c>
      <c r="N317" s="555">
        <f t="shared" si="157"/>
        <v>0</v>
      </c>
      <c r="O317" s="555">
        <f t="shared" si="157"/>
        <v>0</v>
      </c>
      <c r="P317" s="564"/>
      <c r="Q317" s="619">
        <f>SUM(Q312:Q316)</f>
        <v>51.24266489967107</v>
      </c>
      <c r="R317" s="619">
        <f t="shared" ref="R317:S317" si="158">SUM(R312:R316)</f>
        <v>0</v>
      </c>
      <c r="S317" s="619">
        <f t="shared" si="158"/>
        <v>0</v>
      </c>
      <c r="T317" s="564"/>
      <c r="U317" s="552">
        <f>SUM(U312:U316)</f>
        <v>51.24266489967107</v>
      </c>
      <c r="V317" s="635">
        <f t="shared" si="152"/>
        <v>1.4997977051533285E-2</v>
      </c>
      <c r="W317" s="131">
        <f>SUM(W312:W316)</f>
        <v>-3.4235501223687339</v>
      </c>
      <c r="X317" s="792">
        <f>V317/I317-1</f>
        <v>-6.2626434279169696E-2</v>
      </c>
      <c r="Y317" s="559"/>
      <c r="Z317" s="501"/>
      <c r="AA317" s="738"/>
      <c r="AC317" s="738"/>
      <c r="AE317" s="744"/>
    </row>
    <row r="318" spans="1:31">
      <c r="A318" s="6"/>
      <c r="B318" s="58"/>
      <c r="C318" s="10"/>
      <c r="G318" s="129"/>
      <c r="J318" s="534"/>
      <c r="K318" s="501"/>
      <c r="L318" s="538"/>
      <c r="M318" s="538"/>
      <c r="N318" s="538"/>
      <c r="O318" s="538"/>
      <c r="P318" s="64"/>
      <c r="Q318" s="538"/>
      <c r="R318" s="538"/>
      <c r="S318" s="538"/>
      <c r="V318" s="632"/>
      <c r="W318" s="501"/>
      <c r="X318" s="541"/>
      <c r="Y318" s="541"/>
      <c r="Z318" s="501"/>
      <c r="AA318" s="738"/>
      <c r="AC318" s="738"/>
      <c r="AE318" s="744"/>
    </row>
    <row r="319" spans="1:31">
      <c r="A319" s="6">
        <f>MAX(A$279:A318)+1</f>
        <v>149</v>
      </c>
      <c r="B319" s="58"/>
      <c r="C319" s="10" t="s">
        <v>266</v>
      </c>
      <c r="D319" s="58"/>
      <c r="E319" s="30"/>
      <c r="F319" s="58"/>
      <c r="G319" s="411">
        <f>G317</f>
        <v>341663.84388774872</v>
      </c>
      <c r="H319" s="29"/>
      <c r="I319" s="556">
        <f t="shared" ref="I319:W319" si="159">I317</f>
        <v>1.6E-2</v>
      </c>
      <c r="J319" s="552">
        <f>J317</f>
        <v>54.6662150220398</v>
      </c>
      <c r="K319" s="29"/>
      <c r="L319" s="411">
        <f t="shared" si="159"/>
        <v>54.6662150220398</v>
      </c>
      <c r="M319" s="793">
        <f t="shared" si="159"/>
        <v>0</v>
      </c>
      <c r="N319" s="793">
        <f t="shared" si="159"/>
        <v>0</v>
      </c>
      <c r="O319" s="793">
        <f t="shared" si="159"/>
        <v>0</v>
      </c>
      <c r="P319" s="29"/>
      <c r="Q319" s="411">
        <f t="shared" si="159"/>
        <v>51.24266489967107</v>
      </c>
      <c r="R319" s="411">
        <f t="shared" si="159"/>
        <v>0</v>
      </c>
      <c r="S319" s="411">
        <f t="shared" si="159"/>
        <v>0</v>
      </c>
      <c r="T319" s="29"/>
      <c r="U319" s="552">
        <f>U317</f>
        <v>51.24266489967107</v>
      </c>
      <c r="V319" s="635">
        <f t="shared" si="159"/>
        <v>1.4997977051533285E-2</v>
      </c>
      <c r="W319" s="411">
        <f t="shared" si="159"/>
        <v>-3.4235501223687339</v>
      </c>
      <c r="X319" s="1039">
        <f>V319/I319-1</f>
        <v>-6.2626434279169696E-2</v>
      </c>
      <c r="Y319" s="630"/>
      <c r="Z319" s="501"/>
      <c r="AA319" s="738"/>
      <c r="AC319" s="738"/>
      <c r="AE319" s="744"/>
    </row>
    <row r="320" spans="1:31">
      <c r="A320" s="6"/>
      <c r="B320" s="58"/>
      <c r="C320" s="10"/>
      <c r="D320" s="58"/>
      <c r="E320" s="30"/>
      <c r="F320" s="58"/>
      <c r="G320" s="29"/>
      <c r="H320" s="58"/>
      <c r="I320" s="58"/>
      <c r="J320" s="501"/>
      <c r="K320" s="501"/>
      <c r="L320" s="538"/>
      <c r="M320" s="538"/>
      <c r="N320" s="538"/>
      <c r="O320" s="538"/>
      <c r="P320" s="564"/>
      <c r="Q320" s="538"/>
      <c r="R320" s="538"/>
      <c r="S320" s="538"/>
      <c r="T320" s="58"/>
      <c r="U320" s="58"/>
      <c r="V320" s="58"/>
      <c r="W320" s="501"/>
      <c r="X320" s="501"/>
      <c r="Y320" s="501"/>
      <c r="Z320" s="501"/>
      <c r="AA320" s="738"/>
      <c r="AC320" s="738"/>
      <c r="AE320" s="744"/>
    </row>
    <row r="321" spans="1:31">
      <c r="A321" s="6"/>
      <c r="B321" s="58"/>
      <c r="C321" s="10" t="s">
        <v>268</v>
      </c>
      <c r="D321" s="581"/>
      <c r="E321" s="581"/>
      <c r="F321" s="581"/>
      <c r="G321" s="581"/>
      <c r="H321" s="581"/>
      <c r="I321" s="581"/>
      <c r="J321" s="501"/>
      <c r="K321" s="501"/>
      <c r="L321" s="538"/>
      <c r="M321" s="538"/>
      <c r="N321" s="538"/>
      <c r="O321" s="538"/>
      <c r="P321" s="582"/>
      <c r="Q321" s="538"/>
      <c r="R321" s="538"/>
      <c r="S321" s="538"/>
      <c r="T321" s="581"/>
      <c r="U321" s="581"/>
      <c r="V321" s="657"/>
      <c r="W321" s="501"/>
      <c r="X321" s="541"/>
      <c r="Y321" s="501"/>
      <c r="Z321" s="501"/>
      <c r="AA321" s="738"/>
      <c r="AC321" s="738"/>
      <c r="AE321" s="744"/>
    </row>
    <row r="322" spans="1:31">
      <c r="A322" s="6">
        <f>MAX(A$279:A321)+1</f>
        <v>150</v>
      </c>
      <c r="B322" s="58"/>
      <c r="C322" s="12" t="s">
        <v>306</v>
      </c>
      <c r="D322" s="57"/>
      <c r="E322" s="522" t="s">
        <v>262</v>
      </c>
      <c r="F322" s="57"/>
      <c r="G322" s="29">
        <v>76356.43767764869</v>
      </c>
      <c r="H322" s="614"/>
      <c r="I322" s="547">
        <v>4.3295225455665829</v>
      </c>
      <c r="J322" s="534">
        <f>G322*I322/100</f>
        <v>3305.8691842452972</v>
      </c>
      <c r="K322" s="534"/>
      <c r="L322" s="29">
        <v>0</v>
      </c>
      <c r="M322" s="29">
        <v>1.7103842039793304</v>
      </c>
      <c r="N322" s="29">
        <v>0</v>
      </c>
      <c r="O322" s="538">
        <f>J322-L322-M322-N322</f>
        <v>3304.158800041318</v>
      </c>
      <c r="P322" s="583"/>
      <c r="Q322" s="29">
        <v>0</v>
      </c>
      <c r="R322" s="29">
        <v>2.1010426371447921</v>
      </c>
      <c r="S322" s="29">
        <v>0</v>
      </c>
      <c r="T322" s="614"/>
      <c r="U322" s="624">
        <f>SUM(O322:S322)</f>
        <v>3306.259842678463</v>
      </c>
      <c r="V322" s="597">
        <f>U322/G322*100</f>
        <v>4.3300341703163063</v>
      </c>
      <c r="W322" s="576">
        <f>U322-J322</f>
        <v>0.3906584331657541</v>
      </c>
      <c r="X322" s="794"/>
      <c r="Y322" s="501"/>
      <c r="Z322" s="501"/>
      <c r="AA322" s="738"/>
      <c r="AC322" s="738"/>
      <c r="AE322" s="744"/>
    </row>
    <row r="323" spans="1:31">
      <c r="A323" s="6">
        <f>MAX(A$279:A322)+1</f>
        <v>151</v>
      </c>
      <c r="B323" s="58"/>
      <c r="C323" s="12" t="s">
        <v>307</v>
      </c>
      <c r="D323" s="3"/>
      <c r="E323" s="522" t="s">
        <v>262</v>
      </c>
      <c r="F323" s="3"/>
      <c r="G323" s="29">
        <v>261426.39684107454</v>
      </c>
      <c r="H323" s="616"/>
      <c r="I323" s="547">
        <v>2.2715918936953408</v>
      </c>
      <c r="J323" s="534">
        <f>G323*I323/100</f>
        <v>5938.5408386216614</v>
      </c>
      <c r="K323" s="534"/>
      <c r="L323" s="29">
        <v>0</v>
      </c>
      <c r="M323" s="29">
        <v>53.413384148142541</v>
      </c>
      <c r="N323" s="29">
        <v>33.666044476119048</v>
      </c>
      <c r="O323" s="538">
        <f>J323-L323-M323-N323</f>
        <v>5851.4614099973996</v>
      </c>
      <c r="P323" s="584"/>
      <c r="Q323" s="29">
        <v>0</v>
      </c>
      <c r="R323" s="29">
        <v>65.613209726998534</v>
      </c>
      <c r="S323" s="29">
        <v>33.703988907654505</v>
      </c>
      <c r="T323" s="616"/>
      <c r="U323" s="624">
        <f>SUM(O323:S323)</f>
        <v>5950.7786086320521</v>
      </c>
      <c r="V323" s="597">
        <f>U323/G323*100</f>
        <v>2.2762730468452386</v>
      </c>
      <c r="W323" s="658">
        <f>U323-J323</f>
        <v>12.237770010390705</v>
      </c>
      <c r="X323" s="541"/>
      <c r="Y323" s="501"/>
      <c r="Z323" s="501"/>
      <c r="AA323" s="738"/>
      <c r="AC323" s="738"/>
      <c r="AE323" s="744"/>
    </row>
    <row r="324" spans="1:31">
      <c r="A324" s="6">
        <f>MAX(A$279:A323)+1</f>
        <v>152</v>
      </c>
      <c r="B324" s="58"/>
      <c r="C324" s="10" t="s">
        <v>268</v>
      </c>
      <c r="D324" s="5"/>
      <c r="E324" s="6"/>
      <c r="F324" s="5"/>
      <c r="G324" s="411">
        <f>SUM(G322:G323)</f>
        <v>337782.83451872325</v>
      </c>
      <c r="H324" s="659"/>
      <c r="I324" s="660">
        <f>J324/G324*100</f>
        <v>2.7367909432219961</v>
      </c>
      <c r="J324" s="552">
        <f>SUM(J322:J323)</f>
        <v>9244.4100228669595</v>
      </c>
      <c r="K324" s="643"/>
      <c r="L324" s="411">
        <f>SUM(L322:L323)</f>
        <v>0</v>
      </c>
      <c r="M324" s="411">
        <f t="shared" ref="M324:O324" si="160">SUM(M322:M323)</f>
        <v>55.123768352121871</v>
      </c>
      <c r="N324" s="411">
        <f t="shared" si="160"/>
        <v>33.666044476119048</v>
      </c>
      <c r="O324" s="411">
        <f t="shared" si="160"/>
        <v>9155.6202100387181</v>
      </c>
      <c r="P324" s="29"/>
      <c r="Q324" s="131">
        <f>SUM(Q322:Q323)</f>
        <v>0</v>
      </c>
      <c r="R324" s="131">
        <f t="shared" ref="R324:S324" si="161">SUM(R322:R323)</f>
        <v>67.71425236414332</v>
      </c>
      <c r="S324" s="131">
        <f t="shared" si="161"/>
        <v>33.703988907654505</v>
      </c>
      <c r="T324" s="642"/>
      <c r="U324" s="552">
        <f>SUM(U322:U323)</f>
        <v>9257.0384513105146</v>
      </c>
      <c r="V324" s="635">
        <f>U324/G324*100</f>
        <v>2.7405295667259253</v>
      </c>
      <c r="W324" s="636">
        <f>SUM(W322:W323)</f>
        <v>12.628428443556459</v>
      </c>
      <c r="X324" s="656">
        <f>V324/I324-1</f>
        <v>1.3660610479542257E-3</v>
      </c>
      <c r="Y324" s="501"/>
      <c r="Z324" s="501"/>
      <c r="AA324" s="738"/>
      <c r="AC324" s="738"/>
      <c r="AE324" s="744"/>
    </row>
    <row r="325" spans="1:31">
      <c r="A325" s="6"/>
      <c r="B325" s="58"/>
      <c r="C325" s="58"/>
      <c r="D325" s="58"/>
      <c r="E325" s="30"/>
      <c r="F325" s="58"/>
      <c r="G325" s="29"/>
      <c r="H325" s="58"/>
      <c r="I325" s="58"/>
      <c r="J325" s="501"/>
      <c r="K325" s="501"/>
      <c r="L325" s="538"/>
      <c r="M325" s="538"/>
      <c r="N325" s="538"/>
      <c r="O325" s="538"/>
      <c r="P325" s="564"/>
      <c r="Q325" s="538"/>
      <c r="R325" s="538"/>
      <c r="S325" s="538"/>
      <c r="T325" s="58"/>
      <c r="U325" s="58"/>
      <c r="V325" s="58"/>
      <c r="W325" s="501"/>
      <c r="X325" s="501"/>
      <c r="Y325" s="501"/>
      <c r="Z325" s="501"/>
      <c r="AA325" s="738"/>
      <c r="AC325" s="738"/>
      <c r="AE325" s="744"/>
    </row>
    <row r="326" spans="1:31">
      <c r="A326" s="6"/>
      <c r="C326" s="10" t="s">
        <v>308</v>
      </c>
      <c r="D326" s="58"/>
      <c r="E326" s="30"/>
      <c r="F326" s="58"/>
      <c r="G326" s="132"/>
      <c r="H326" s="58"/>
      <c r="I326" s="58"/>
      <c r="J326" s="501"/>
      <c r="K326" s="501"/>
      <c r="L326" s="538"/>
      <c r="M326" s="538"/>
      <c r="N326" s="538"/>
      <c r="O326" s="538"/>
      <c r="P326" s="564"/>
      <c r="Q326" s="538"/>
      <c r="R326" s="538"/>
      <c r="S326" s="538"/>
      <c r="T326" s="58"/>
      <c r="U326" s="58"/>
      <c r="V326" s="58"/>
      <c r="W326" s="501"/>
      <c r="X326" s="501"/>
      <c r="Y326" s="501"/>
      <c r="Z326" s="501"/>
      <c r="AA326" s="738"/>
      <c r="AC326" s="738"/>
      <c r="AE326" s="744"/>
    </row>
    <row r="327" spans="1:31">
      <c r="A327" s="6">
        <f>MAX(A$279:A326)+1</f>
        <v>153</v>
      </c>
      <c r="B327" s="58"/>
      <c r="C327" s="12" t="s">
        <v>306</v>
      </c>
      <c r="D327" s="58"/>
      <c r="E327" s="522" t="s">
        <v>262</v>
      </c>
      <c r="F327" s="58"/>
      <c r="G327" s="29">
        <v>76356.43767764869</v>
      </c>
      <c r="H327" s="58"/>
      <c r="I327" s="620">
        <v>0.39551103808673793</v>
      </c>
      <c r="J327" s="534">
        <f>G327*I327/100</f>
        <v>301.99813930492144</v>
      </c>
      <c r="K327" s="622"/>
      <c r="L327" s="29">
        <v>0</v>
      </c>
      <c r="M327" s="29">
        <v>5.1595748636691825</v>
      </c>
      <c r="N327" s="29">
        <v>38.372022902411423</v>
      </c>
      <c r="O327" s="538">
        <f>J327-L327-M327-N327</f>
        <v>258.46654153884083</v>
      </c>
      <c r="P327" s="564"/>
      <c r="Q327" s="29">
        <v>0</v>
      </c>
      <c r="R327" s="29">
        <v>6.338041916481874</v>
      </c>
      <c r="S327" s="29">
        <v>38.415271362946505</v>
      </c>
      <c r="T327" s="539"/>
      <c r="U327" s="534">
        <f>O327+Q327+R327+S327</f>
        <v>303.2198548182692</v>
      </c>
      <c r="V327" s="597">
        <f>U327/G327*100</f>
        <v>0.39711105447108719</v>
      </c>
      <c r="W327" s="549">
        <f>U327-J327</f>
        <v>1.2217155133477604</v>
      </c>
      <c r="X327" s="794"/>
      <c r="Y327" s="541"/>
      <c r="Z327" s="501"/>
      <c r="AA327" s="738"/>
      <c r="AC327" s="738"/>
      <c r="AE327" s="744"/>
    </row>
    <row r="328" spans="1:31">
      <c r="A328" s="6">
        <f>MAX(A$279:A327)+1</f>
        <v>154</v>
      </c>
      <c r="B328" s="58"/>
      <c r="C328" s="12" t="s">
        <v>307</v>
      </c>
      <c r="D328" s="58"/>
      <c r="E328" s="522" t="s">
        <v>262</v>
      </c>
      <c r="F328" s="58"/>
      <c r="G328" s="29">
        <v>261426.39684107454</v>
      </c>
      <c r="H328" s="58"/>
      <c r="I328" s="620">
        <v>3.0920087378558514</v>
      </c>
      <c r="J328" s="534">
        <f>G328*I328/100</f>
        <v>8083.3270333877381</v>
      </c>
      <c r="K328" s="622"/>
      <c r="L328" s="29">
        <v>0</v>
      </c>
      <c r="M328" s="29">
        <v>68.108873998540517</v>
      </c>
      <c r="N328" s="29">
        <v>506.52918931985471</v>
      </c>
      <c r="O328" s="538">
        <f>J328-L328-M328-N328</f>
        <v>7508.6889700693428</v>
      </c>
      <c r="P328" s="564"/>
      <c r="Q328" s="29">
        <v>0</v>
      </c>
      <c r="R328" s="29">
        <v>83.665206861665595</v>
      </c>
      <c r="S328" s="29">
        <v>507.10008983531299</v>
      </c>
      <c r="T328" s="539"/>
      <c r="U328" s="534">
        <f>O328+Q328+R328+S328</f>
        <v>8099.4542667663218</v>
      </c>
      <c r="V328" s="597">
        <f>U328/G328*100</f>
        <v>3.0981776762543665</v>
      </c>
      <c r="W328" s="549">
        <f>U328-J328</f>
        <v>16.127233378583696</v>
      </c>
      <c r="X328" s="794"/>
      <c r="Y328" s="541"/>
      <c r="Z328" s="501"/>
      <c r="AA328" s="738"/>
      <c r="AC328" s="738"/>
      <c r="AE328" s="744"/>
    </row>
    <row r="329" spans="1:31">
      <c r="A329" s="6">
        <f>MAX(A$279:A328)+1</f>
        <v>155</v>
      </c>
      <c r="B329" s="58"/>
      <c r="C329" s="10" t="s">
        <v>309</v>
      </c>
      <c r="D329" s="58"/>
      <c r="E329" s="591"/>
      <c r="F329" s="58"/>
      <c r="G329" s="663">
        <f>SUM(G327:G328)</f>
        <v>337782.83451872325</v>
      </c>
      <c r="H329" s="58"/>
      <c r="I329" s="666">
        <f>J329/G329*100</f>
        <v>2.4824604200625422</v>
      </c>
      <c r="J329" s="552">
        <f>SUM(J327:J328)</f>
        <v>8385.3251726926592</v>
      </c>
      <c r="K329" s="640"/>
      <c r="L329" s="619">
        <f>SUM(L327:L328)</f>
        <v>0</v>
      </c>
      <c r="M329" s="619">
        <f t="shared" ref="M329:O329" si="162">SUM(M327:M328)</f>
        <v>73.268448862209695</v>
      </c>
      <c r="N329" s="619">
        <f t="shared" si="162"/>
        <v>544.90121222226617</v>
      </c>
      <c r="O329" s="619">
        <f t="shared" si="162"/>
        <v>7767.1555116081836</v>
      </c>
      <c r="P329" s="564"/>
      <c r="Q329" s="619">
        <f>SUM(Q327:Q328)</f>
        <v>0</v>
      </c>
      <c r="R329" s="619">
        <f t="shared" ref="R329:S329" si="163">SUM(R327:R328)</f>
        <v>90.003248778147466</v>
      </c>
      <c r="S329" s="619">
        <f t="shared" si="163"/>
        <v>545.51536119825948</v>
      </c>
      <c r="T329" s="539"/>
      <c r="U329" s="552">
        <f>SUM(U327:U328)</f>
        <v>8402.6741215845905</v>
      </c>
      <c r="V329" s="635">
        <f>U329/G329*100</f>
        <v>2.4875965451461779</v>
      </c>
      <c r="W329" s="557">
        <f>SUM(W327:W328)</f>
        <v>17.348948891931457</v>
      </c>
      <c r="X329" s="792">
        <f>V329/I329-1</f>
        <v>2.0689655481018754E-3</v>
      </c>
      <c r="Y329" s="541"/>
      <c r="Z329" s="501"/>
      <c r="AA329" s="747"/>
      <c r="AC329" s="738"/>
      <c r="AE329" s="744"/>
    </row>
    <row r="330" spans="1:31">
      <c r="A330" s="6"/>
      <c r="B330" s="58"/>
      <c r="J330" s="501"/>
      <c r="K330" s="501"/>
      <c r="L330" s="538"/>
      <c r="M330" s="538"/>
      <c r="N330" s="538"/>
      <c r="O330" s="538"/>
      <c r="P330" s="64"/>
      <c r="Q330" s="538"/>
      <c r="R330" s="538"/>
      <c r="S330" s="538"/>
      <c r="V330" s="632"/>
      <c r="W330" s="501"/>
      <c r="X330" s="541"/>
      <c r="Y330" s="541"/>
      <c r="Z330" s="501"/>
      <c r="AC330" s="738"/>
    </row>
    <row r="331" spans="1:31">
      <c r="A331" s="6"/>
      <c r="B331" s="58"/>
      <c r="C331" s="10" t="s">
        <v>270</v>
      </c>
      <c r="D331" s="58"/>
      <c r="E331" s="6"/>
      <c r="F331" s="58"/>
      <c r="G331" s="665"/>
      <c r="H331" s="539"/>
      <c r="I331" s="539"/>
      <c r="J331" s="534"/>
      <c r="K331" s="534"/>
      <c r="L331" s="538"/>
      <c r="M331" s="538"/>
      <c r="N331" s="538"/>
      <c r="O331" s="538"/>
      <c r="P331" s="564"/>
      <c r="Q331" s="538"/>
      <c r="R331" s="538"/>
      <c r="S331" s="538"/>
      <c r="T331" s="58"/>
      <c r="U331" s="58"/>
      <c r="V331" s="548"/>
      <c r="W331" s="501"/>
      <c r="X331" s="541"/>
      <c r="Y331" s="541"/>
      <c r="Z331" s="501"/>
      <c r="AA331" s="738"/>
      <c r="AC331" s="738"/>
      <c r="AE331" s="744"/>
    </row>
    <row r="332" spans="1:31">
      <c r="A332" s="6">
        <f>MAX(A$279:A331)+1</f>
        <v>156</v>
      </c>
      <c r="B332" s="58"/>
      <c r="C332" s="12" t="s">
        <v>306</v>
      </c>
      <c r="D332" s="58"/>
      <c r="E332" s="522" t="s">
        <v>262</v>
      </c>
      <c r="F332" s="58"/>
      <c r="G332" s="29">
        <v>41057.419387362017</v>
      </c>
      <c r="H332" s="624"/>
      <c r="I332" s="547">
        <v>18.0656</v>
      </c>
      <c r="J332" s="534">
        <f>G332*I332/100</f>
        <v>7417.2691568432729</v>
      </c>
      <c r="K332" s="534"/>
      <c r="L332" s="29">
        <v>0</v>
      </c>
      <c r="M332" s="29">
        <v>0</v>
      </c>
      <c r="N332" s="29">
        <v>0</v>
      </c>
      <c r="O332" s="538">
        <f>J332-L332-M332-N332</f>
        <v>7417.2691568432729</v>
      </c>
      <c r="P332" s="564"/>
      <c r="Q332" s="29">
        <v>0</v>
      </c>
      <c r="R332" s="29">
        <v>0</v>
      </c>
      <c r="S332" s="29">
        <v>0</v>
      </c>
      <c r="T332" s="58"/>
      <c r="U332" s="539">
        <f>SUM(O332:S332)</f>
        <v>7417.2691568432729</v>
      </c>
      <c r="V332" s="548">
        <f>U332/G332*100</f>
        <v>18.0656</v>
      </c>
      <c r="W332" s="538">
        <f>U332-J332</f>
        <v>0</v>
      </c>
      <c r="X332" s="541"/>
      <c r="Y332" s="541"/>
      <c r="Z332" s="501"/>
      <c r="AA332" s="738"/>
      <c r="AC332" s="738"/>
      <c r="AE332" s="744"/>
    </row>
    <row r="333" spans="1:31">
      <c r="A333" s="6">
        <f>MAX(A$279:A332)+1</f>
        <v>157</v>
      </c>
      <c r="C333" s="12" t="s">
        <v>307</v>
      </c>
      <c r="D333" s="58"/>
      <c r="E333" s="522" t="s">
        <v>262</v>
      </c>
      <c r="F333" s="58"/>
      <c r="G333" s="29">
        <v>137222.46215211437</v>
      </c>
      <c r="H333" s="624"/>
      <c r="I333" s="547">
        <v>20.612300000000001</v>
      </c>
      <c r="J333" s="534">
        <f>G333*I333/100</f>
        <v>28284.705566180273</v>
      </c>
      <c r="K333" s="534"/>
      <c r="L333" s="29">
        <v>0</v>
      </c>
      <c r="M333" s="29">
        <v>0</v>
      </c>
      <c r="N333" s="29">
        <v>0</v>
      </c>
      <c r="O333" s="538">
        <f>J333-L333-M333-N333</f>
        <v>28284.705566180273</v>
      </c>
      <c r="P333" s="564"/>
      <c r="Q333" s="29">
        <v>0</v>
      </c>
      <c r="R333" s="29">
        <v>0</v>
      </c>
      <c r="S333" s="29">
        <v>0</v>
      </c>
      <c r="T333" s="58"/>
      <c r="U333" s="539">
        <f>SUM(O333:S333)</f>
        <v>28284.705566180273</v>
      </c>
      <c r="V333" s="548">
        <f>U333/G333*100</f>
        <v>20.612300000000001</v>
      </c>
      <c r="W333" s="538">
        <f>U333-J333</f>
        <v>0</v>
      </c>
      <c r="X333" s="541"/>
      <c r="Y333" s="541"/>
      <c r="Z333" s="501"/>
      <c r="AA333" s="738"/>
      <c r="AC333" s="738"/>
      <c r="AE333" s="744"/>
    </row>
    <row r="334" spans="1:31">
      <c r="A334" s="6">
        <f>MAX(A$279:A333)+1</f>
        <v>158</v>
      </c>
      <c r="B334" s="58"/>
      <c r="C334" s="10" t="s">
        <v>270</v>
      </c>
      <c r="D334" s="58"/>
      <c r="E334" s="30"/>
      <c r="F334" s="58"/>
      <c r="G334" s="411">
        <f>SUM(G332:G333)</f>
        <v>178279.8815394764</v>
      </c>
      <c r="H334" s="411"/>
      <c r="I334" s="660">
        <f>J334/G334*100</f>
        <v>20.025801237206949</v>
      </c>
      <c r="J334" s="552">
        <f>SUM(J332:J333)</f>
        <v>35701.974723023544</v>
      </c>
      <c r="K334" s="643"/>
      <c r="L334" s="411">
        <f>SUM(L332:L333)</f>
        <v>0</v>
      </c>
      <c r="M334" s="411">
        <f t="shared" ref="M334:O334" si="164">SUM(M332:M333)</f>
        <v>0</v>
      </c>
      <c r="N334" s="411">
        <f t="shared" si="164"/>
        <v>0</v>
      </c>
      <c r="O334" s="411">
        <f t="shared" si="164"/>
        <v>35701.974723023544</v>
      </c>
      <c r="P334" s="564"/>
      <c r="Q334" s="411">
        <f>SUM(Q332:Q333)</f>
        <v>0</v>
      </c>
      <c r="R334" s="411">
        <f t="shared" ref="R334:S334" si="165">SUM(R332:R333)</f>
        <v>0</v>
      </c>
      <c r="S334" s="411">
        <f t="shared" si="165"/>
        <v>0</v>
      </c>
      <c r="T334" s="58"/>
      <c r="U334" s="554">
        <f>SUM(U332:U333)</f>
        <v>35701.974723023544</v>
      </c>
      <c r="V334" s="556">
        <f>U334/G334*100</f>
        <v>20.025801237206949</v>
      </c>
      <c r="W334" s="555">
        <f>SUM(W332:W333)</f>
        <v>0</v>
      </c>
      <c r="X334" s="562">
        <f>V334/I334-1</f>
        <v>0</v>
      </c>
      <c r="Y334" s="541"/>
      <c r="Z334" s="501"/>
      <c r="AA334" s="738"/>
      <c r="AC334" s="738"/>
      <c r="AE334" s="744"/>
    </row>
    <row r="335" spans="1:31">
      <c r="A335" s="6"/>
      <c r="B335" s="58"/>
      <c r="C335" s="10"/>
      <c r="D335" s="58"/>
      <c r="E335" s="30"/>
      <c r="F335" s="58"/>
      <c r="G335" s="536"/>
      <c r="H335" s="624"/>
      <c r="I335" s="624"/>
      <c r="J335" s="534"/>
      <c r="K335" s="534"/>
      <c r="L335" s="538"/>
      <c r="M335" s="538"/>
      <c r="N335" s="538"/>
      <c r="O335" s="538"/>
      <c r="P335" s="564"/>
      <c r="Q335" s="538"/>
      <c r="R335" s="538"/>
      <c r="S335" s="538"/>
      <c r="T335" s="58"/>
      <c r="U335" s="58"/>
      <c r="V335" s="548"/>
      <c r="W335" s="501"/>
      <c r="X335" s="541"/>
      <c r="Y335" s="541"/>
      <c r="Z335" s="501"/>
      <c r="AA335" s="738"/>
      <c r="AC335" s="738"/>
      <c r="AE335" s="744"/>
    </row>
    <row r="336" spans="1:31" ht="12.95" thickBot="1">
      <c r="A336" s="6">
        <f>MAX(A$279:A335)+1</f>
        <v>159</v>
      </c>
      <c r="B336" s="58"/>
      <c r="C336" s="10" t="s">
        <v>316</v>
      </c>
      <c r="D336" s="58"/>
      <c r="E336" s="30"/>
      <c r="F336" s="58"/>
      <c r="G336" s="589">
        <f>G317</f>
        <v>341663.84388774872</v>
      </c>
      <c r="H336" s="58"/>
      <c r="I336" s="651">
        <f>J336/G336*100</f>
        <v>15.625409913477684</v>
      </c>
      <c r="J336" s="627">
        <f>J317+J329+J324+J334</f>
        <v>53386.376133605205</v>
      </c>
      <c r="K336" s="539"/>
      <c r="L336" s="589">
        <f>L319+L324+L329+L334</f>
        <v>54.6662150220398</v>
      </c>
      <c r="M336" s="589">
        <f t="shared" ref="M336:O336" si="166">M319+M324+M329+M334</f>
        <v>128.39221721433157</v>
      </c>
      <c r="N336" s="589">
        <f t="shared" si="166"/>
        <v>578.56725669838522</v>
      </c>
      <c r="O336" s="589">
        <f t="shared" si="166"/>
        <v>52624.750444670448</v>
      </c>
      <c r="P336" s="564"/>
      <c r="Q336" s="628">
        <f>Q317+Q329+Q324+Q334</f>
        <v>51.24266489967107</v>
      </c>
      <c r="R336" s="628">
        <f>R317+R329+R324+R334</f>
        <v>157.71750114229079</v>
      </c>
      <c r="S336" s="628">
        <f>S317+S329+S324+S334</f>
        <v>579.21935010591403</v>
      </c>
      <c r="T336" s="539"/>
      <c r="U336" s="627">
        <f>U317+U329+U324+U334</f>
        <v>53412.929960818321</v>
      </c>
      <c r="V336" s="651">
        <f>U336/G336*100</f>
        <v>15.633181829554891</v>
      </c>
      <c r="W336" s="589">
        <f>W319+W324+W329+W334</f>
        <v>26.553827213119181</v>
      </c>
      <c r="X336" s="629">
        <f>V336/I336-1</f>
        <v>4.9738958019296398E-4</v>
      </c>
      <c r="Y336" s="630"/>
      <c r="Z336" s="501"/>
      <c r="AA336" s="738"/>
      <c r="AC336" s="738"/>
      <c r="AE336" s="744"/>
    </row>
    <row r="337" spans="1:31" ht="12.95" thickTop="1">
      <c r="A337" s="6"/>
      <c r="B337" s="58"/>
      <c r="C337" s="10"/>
      <c r="D337" s="58"/>
      <c r="E337" s="30"/>
      <c r="F337" s="58"/>
      <c r="G337" s="29"/>
      <c r="H337" s="58"/>
      <c r="I337" s="680"/>
      <c r="J337" s="539"/>
      <c r="K337" s="539"/>
      <c r="L337" s="539"/>
      <c r="M337" s="539"/>
      <c r="N337" s="539"/>
      <c r="O337" s="539"/>
      <c r="P337" s="539"/>
      <c r="Q337" s="539"/>
      <c r="R337" s="539"/>
      <c r="S337" s="539"/>
      <c r="T337" s="539"/>
      <c r="U337" s="539"/>
      <c r="V337" s="680"/>
      <c r="W337" s="539"/>
      <c r="X337" s="783"/>
      <c r="Y337" s="630"/>
      <c r="Z337" s="501"/>
      <c r="AA337" s="738"/>
      <c r="AE337" s="744"/>
    </row>
    <row r="338" spans="1:31">
      <c r="J338" s="501"/>
      <c r="K338" s="501"/>
      <c r="L338" s="2"/>
      <c r="M338" s="2"/>
      <c r="N338" s="501"/>
      <c r="O338" s="501"/>
      <c r="Q338" s="501"/>
      <c r="R338" s="501"/>
      <c r="S338" s="501"/>
      <c r="W338" s="501"/>
      <c r="X338" s="522"/>
      <c r="Y338" s="501"/>
      <c r="Z338" s="501"/>
      <c r="AA338" s="738"/>
      <c r="AE338" s="744"/>
    </row>
    <row r="339" spans="1:31">
      <c r="J339" s="501"/>
      <c r="K339" s="501"/>
      <c r="L339" s="2"/>
      <c r="M339" s="2"/>
      <c r="N339" s="501"/>
      <c r="O339" s="501"/>
      <c r="Q339" s="501"/>
      <c r="R339" s="501"/>
      <c r="S339" s="501"/>
      <c r="V339" s="567"/>
      <c r="W339" s="501"/>
      <c r="X339" s="522"/>
      <c r="Y339" s="501"/>
      <c r="Z339" s="501"/>
      <c r="AA339" s="738"/>
      <c r="AE339" s="744"/>
    </row>
    <row r="340" spans="1:31">
      <c r="J340" s="501"/>
      <c r="K340" s="501"/>
      <c r="L340" s="2"/>
      <c r="M340" s="2"/>
      <c r="N340" s="501"/>
      <c r="O340" s="501"/>
      <c r="Q340" s="501"/>
      <c r="R340" s="501"/>
      <c r="S340" s="501"/>
      <c r="W340" s="501"/>
      <c r="X340" s="522"/>
      <c r="Y340" s="501"/>
      <c r="Z340" s="501"/>
      <c r="AA340" s="738"/>
      <c r="AE340" s="744"/>
    </row>
    <row r="341" spans="1:31">
      <c r="J341" s="501"/>
      <c r="K341" s="501"/>
      <c r="L341" s="2"/>
      <c r="M341" s="2"/>
      <c r="N341" s="501"/>
      <c r="O341" s="501"/>
      <c r="Q341" s="501"/>
      <c r="R341" s="501"/>
      <c r="S341" s="501"/>
      <c r="V341" s="567"/>
      <c r="W341" s="501"/>
      <c r="X341" s="522"/>
      <c r="Y341" s="501"/>
      <c r="Z341" s="501"/>
      <c r="AA341" s="738"/>
      <c r="AE341" s="744"/>
    </row>
    <row r="342" spans="1:31">
      <c r="A342" s="1156" t="s">
        <v>279</v>
      </c>
      <c r="B342" s="1156"/>
      <c r="C342" s="1156"/>
      <c r="D342" s="1156"/>
      <c r="E342" s="1156"/>
      <c r="F342" s="1156"/>
      <c r="G342" s="1156"/>
      <c r="H342" s="1156"/>
      <c r="I342" s="1156"/>
      <c r="J342" s="1156"/>
      <c r="K342" s="1156"/>
      <c r="L342" s="1156"/>
      <c r="M342" s="1156"/>
      <c r="N342" s="1156"/>
      <c r="O342" s="1156"/>
      <c r="P342" s="1156"/>
      <c r="Q342" s="1156"/>
      <c r="R342" s="1156"/>
      <c r="S342" s="1156"/>
      <c r="T342" s="1156"/>
      <c r="U342" s="1156"/>
      <c r="V342" s="1156"/>
      <c r="W342" s="1156"/>
      <c r="X342" s="1156"/>
      <c r="Y342" s="779"/>
      <c r="Z342" s="501"/>
      <c r="AA342" s="738"/>
      <c r="AE342" s="744"/>
    </row>
    <row r="343" spans="1:31">
      <c r="A343" s="1156" t="s">
        <v>499</v>
      </c>
      <c r="B343" s="1156"/>
      <c r="C343" s="1156"/>
      <c r="D343" s="1156"/>
      <c r="E343" s="1156"/>
      <c r="F343" s="1156"/>
      <c r="G343" s="1156"/>
      <c r="H343" s="1156"/>
      <c r="I343" s="1156"/>
      <c r="J343" s="1156"/>
      <c r="K343" s="1156"/>
      <c r="L343" s="1156"/>
      <c r="M343" s="1156"/>
      <c r="N343" s="1156"/>
      <c r="O343" s="1156"/>
      <c r="P343" s="1156"/>
      <c r="Q343" s="1156"/>
      <c r="R343" s="1156"/>
      <c r="S343" s="1156"/>
      <c r="T343" s="1156"/>
      <c r="U343" s="1156"/>
      <c r="V343" s="1156"/>
      <c r="W343" s="1156"/>
      <c r="X343" s="1156"/>
      <c r="Y343" s="713"/>
      <c r="Z343" s="713"/>
      <c r="AA343" s="738"/>
      <c r="AE343" s="744"/>
    </row>
    <row r="344" spans="1:31">
      <c r="A344" s="57"/>
      <c r="B344" s="57"/>
      <c r="C344" s="57"/>
      <c r="D344" s="57"/>
      <c r="E344" s="3"/>
      <c r="F344" s="57"/>
      <c r="G344" s="3"/>
      <c r="H344" s="57"/>
      <c r="I344" s="57"/>
      <c r="J344" s="501"/>
      <c r="K344" s="501"/>
      <c r="L344" s="4"/>
      <c r="M344" s="4"/>
      <c r="N344" s="501"/>
      <c r="O344" s="501"/>
      <c r="P344" s="57"/>
      <c r="Q344" s="501"/>
      <c r="R344" s="501"/>
      <c r="S344" s="501"/>
      <c r="T344" s="57"/>
      <c r="U344" s="57"/>
      <c r="V344" s="57"/>
      <c r="W344" s="501"/>
      <c r="X344" s="522"/>
      <c r="Y344" s="501"/>
      <c r="Z344" s="501"/>
      <c r="AA344" s="738"/>
      <c r="AE344" s="744"/>
    </row>
    <row r="345" spans="1:31">
      <c r="A345" s="3"/>
      <c r="B345" s="3"/>
      <c r="C345" s="3"/>
      <c r="D345" s="3"/>
      <c r="E345" s="58"/>
      <c r="F345" s="58"/>
      <c r="G345" s="1152" t="s">
        <v>231</v>
      </c>
      <c r="H345" s="1152"/>
      <c r="I345" s="1152"/>
      <c r="J345" s="1152"/>
      <c r="K345" s="58"/>
      <c r="L345" s="1152" t="s">
        <v>94</v>
      </c>
      <c r="M345" s="1152"/>
      <c r="N345" s="1152"/>
      <c r="O345" s="58"/>
      <c r="P345" s="3"/>
      <c r="Q345" s="1152" t="s">
        <v>95</v>
      </c>
      <c r="R345" s="1152"/>
      <c r="S345" s="1152"/>
      <c r="T345" s="3"/>
      <c r="U345" s="1152" t="s">
        <v>232</v>
      </c>
      <c r="V345" s="1152"/>
      <c r="W345" s="1152"/>
      <c r="X345" s="1152"/>
      <c r="Y345" s="6"/>
      <c r="Z345" s="501"/>
      <c r="AA345" s="738"/>
      <c r="AE345" s="744"/>
    </row>
    <row r="346" spans="1:31" ht="37.5">
      <c r="A346" s="5" t="s">
        <v>56</v>
      </c>
      <c r="B346" s="5"/>
      <c r="C346" s="5"/>
      <c r="D346" s="5"/>
      <c r="E346" s="6" t="s">
        <v>233</v>
      </c>
      <c r="F346" s="5"/>
      <c r="G346" s="17" t="s">
        <v>234</v>
      </c>
      <c r="H346" s="5"/>
      <c r="I346" s="17" t="s">
        <v>235</v>
      </c>
      <c r="J346" s="5" t="s">
        <v>101</v>
      </c>
      <c r="K346" s="5"/>
      <c r="L346" s="5" t="s">
        <v>491</v>
      </c>
      <c r="M346" s="5" t="s">
        <v>492</v>
      </c>
      <c r="N346" s="5" t="s">
        <v>493</v>
      </c>
      <c r="O346" s="5" t="s">
        <v>494</v>
      </c>
      <c r="P346" s="5"/>
      <c r="Q346" s="5" t="s">
        <v>491</v>
      </c>
      <c r="R346" s="5" t="s">
        <v>492</v>
      </c>
      <c r="S346" s="5" t="s">
        <v>493</v>
      </c>
      <c r="T346" s="5"/>
      <c r="U346" s="17" t="s">
        <v>113</v>
      </c>
      <c r="V346" s="17" t="s">
        <v>242</v>
      </c>
      <c r="W346" s="17" t="s">
        <v>243</v>
      </c>
      <c r="X346" s="5" t="s">
        <v>244</v>
      </c>
      <c r="Y346" s="5"/>
      <c r="Z346" s="501"/>
      <c r="AA346" s="738"/>
      <c r="AE346" s="744"/>
    </row>
    <row r="347" spans="1:31" ht="14.45">
      <c r="A347" s="237" t="s">
        <v>57</v>
      </c>
      <c r="B347" s="58"/>
      <c r="C347" s="59" t="s">
        <v>194</v>
      </c>
      <c r="D347" s="58"/>
      <c r="E347" s="237" t="s">
        <v>245</v>
      </c>
      <c r="F347" s="58"/>
      <c r="G347" s="237" t="s">
        <v>246</v>
      </c>
      <c r="H347" s="58"/>
      <c r="I347" s="237" t="s">
        <v>247</v>
      </c>
      <c r="J347" s="237" t="s">
        <v>248</v>
      </c>
      <c r="K347" s="6"/>
      <c r="L347" s="237" t="s">
        <v>248</v>
      </c>
      <c r="M347" s="237" t="s">
        <v>248</v>
      </c>
      <c r="N347" s="237" t="s">
        <v>248</v>
      </c>
      <c r="O347" s="237" t="s">
        <v>248</v>
      </c>
      <c r="P347" s="58"/>
      <c r="Q347" s="237" t="s">
        <v>248</v>
      </c>
      <c r="R347" s="237" t="s">
        <v>248</v>
      </c>
      <c r="S347" s="237" t="s">
        <v>248</v>
      </c>
      <c r="T347" s="58"/>
      <c r="U347" s="237" t="s">
        <v>248</v>
      </c>
      <c r="V347" s="237" t="s">
        <v>247</v>
      </c>
      <c r="W347" s="237" t="s">
        <v>248</v>
      </c>
      <c r="X347" s="237" t="s">
        <v>249</v>
      </c>
      <c r="Y347" s="6"/>
      <c r="Z347" s="501"/>
      <c r="AA347" s="738"/>
      <c r="AE347" s="744"/>
    </row>
    <row r="348" spans="1:31">
      <c r="A348" s="6"/>
      <c r="B348" s="58"/>
      <c r="C348" s="58"/>
      <c r="D348" s="58"/>
      <c r="E348" s="6"/>
      <c r="F348" s="58"/>
      <c r="G348" s="6" t="s">
        <v>9</v>
      </c>
      <c r="H348" s="6"/>
      <c r="I348" s="6" t="s">
        <v>10</v>
      </c>
      <c r="J348" s="6" t="s">
        <v>58</v>
      </c>
      <c r="K348" s="6"/>
      <c r="L348" s="123" t="s">
        <v>12</v>
      </c>
      <c r="M348" s="123" t="s">
        <v>13</v>
      </c>
      <c r="N348" s="6" t="s">
        <v>115</v>
      </c>
      <c r="O348" s="6" t="s">
        <v>495</v>
      </c>
      <c r="P348" s="6"/>
      <c r="Q348" s="6" t="s">
        <v>210</v>
      </c>
      <c r="R348" s="6" t="s">
        <v>118</v>
      </c>
      <c r="S348" s="6" t="s">
        <v>119</v>
      </c>
      <c r="T348" s="6"/>
      <c r="U348" s="6" t="s">
        <v>496</v>
      </c>
      <c r="V348" s="6" t="s">
        <v>121</v>
      </c>
      <c r="W348" s="6" t="s">
        <v>497</v>
      </c>
      <c r="X348" s="6" t="s">
        <v>498</v>
      </c>
      <c r="Y348" s="501"/>
      <c r="Z348" s="501"/>
      <c r="AA348" s="738"/>
      <c r="AE348" s="744"/>
    </row>
    <row r="349" spans="1:31">
      <c r="A349" s="6"/>
      <c r="B349" s="58"/>
      <c r="C349" s="58"/>
      <c r="D349" s="58"/>
      <c r="E349" s="6"/>
      <c r="F349" s="58"/>
      <c r="G349" s="6"/>
      <c r="H349" s="6"/>
      <c r="I349" s="6"/>
      <c r="J349" s="6"/>
      <c r="K349" s="6"/>
      <c r="L349" s="123"/>
      <c r="M349" s="123"/>
      <c r="N349" s="6"/>
      <c r="O349" s="6"/>
      <c r="P349" s="6"/>
      <c r="Q349" s="6"/>
      <c r="R349" s="6"/>
      <c r="S349" s="6"/>
      <c r="T349" s="6"/>
      <c r="U349" s="6"/>
      <c r="V349" s="6"/>
      <c r="W349" s="6"/>
      <c r="X349" s="6"/>
      <c r="Y349" s="501"/>
      <c r="Z349" s="501"/>
      <c r="AA349" s="738"/>
      <c r="AE349" s="744"/>
    </row>
    <row r="350" spans="1:31">
      <c r="A350" s="6"/>
      <c r="B350" s="58"/>
      <c r="C350" s="9" t="s">
        <v>142</v>
      </c>
      <c r="D350" s="58"/>
      <c r="E350" s="574"/>
      <c r="F350" s="58"/>
      <c r="G350" s="29"/>
      <c r="H350" s="58"/>
      <c r="I350" s="58"/>
      <c r="J350" s="501"/>
      <c r="K350" s="501"/>
      <c r="L350" s="501"/>
      <c r="M350" s="501"/>
      <c r="N350" s="501"/>
      <c r="O350" s="501"/>
      <c r="P350" s="58"/>
      <c r="Q350" s="501"/>
      <c r="R350" s="501"/>
      <c r="S350" s="501"/>
      <c r="T350" s="58"/>
      <c r="U350" s="58"/>
      <c r="V350" s="58"/>
      <c r="W350" s="501"/>
      <c r="X350" s="522"/>
      <c r="Y350" s="501"/>
      <c r="Z350" s="501"/>
      <c r="AA350" s="738"/>
      <c r="AE350" s="744"/>
    </row>
    <row r="351" spans="1:31">
      <c r="A351" s="6">
        <v>160</v>
      </c>
      <c r="B351" s="58"/>
      <c r="C351" s="10" t="s">
        <v>258</v>
      </c>
      <c r="D351" s="58"/>
      <c r="E351" s="30" t="s">
        <v>259</v>
      </c>
      <c r="F351" s="58"/>
      <c r="G351" s="29">
        <v>756.00000000000398</v>
      </c>
      <c r="H351" s="58"/>
      <c r="I351" s="29">
        <v>0</v>
      </c>
      <c r="J351" s="29">
        <v>0</v>
      </c>
      <c r="K351" s="643"/>
      <c r="L351" s="29">
        <v>0</v>
      </c>
      <c r="M351" s="29">
        <v>0</v>
      </c>
      <c r="N351" s="29">
        <v>0</v>
      </c>
      <c r="O351" s="29">
        <v>0</v>
      </c>
      <c r="P351" s="564"/>
      <c r="Q351" s="29">
        <v>0</v>
      </c>
      <c r="R351" s="29">
        <v>0</v>
      </c>
      <c r="S351" s="29">
        <v>0</v>
      </c>
      <c r="T351" s="539"/>
      <c r="U351" s="29">
        <v>0</v>
      </c>
      <c r="V351" s="29">
        <v>0</v>
      </c>
      <c r="W351" s="29">
        <v>0</v>
      </c>
      <c r="X351" s="30"/>
      <c r="Y351" s="541"/>
      <c r="Z351" s="501"/>
      <c r="AA351" s="738"/>
      <c r="AE351" s="739"/>
    </row>
    <row r="352" spans="1:31">
      <c r="C352" s="521" t="s">
        <v>280</v>
      </c>
      <c r="E352" s="30"/>
      <c r="G352" s="29"/>
      <c r="I352" s="64"/>
      <c r="J352" s="538"/>
      <c r="K352" s="501"/>
      <c r="L352" s="538"/>
      <c r="M352" s="538"/>
      <c r="N352" s="538"/>
      <c r="O352" s="538"/>
      <c r="P352" s="64"/>
      <c r="Q352" s="538"/>
      <c r="R352" s="538"/>
      <c r="S352" s="538"/>
      <c r="T352" s="567"/>
      <c r="U352" s="538"/>
      <c r="V352" s="538"/>
      <c r="W352" s="538"/>
      <c r="X352" s="784"/>
      <c r="Y352" s="541"/>
      <c r="Z352" s="501"/>
      <c r="AA352" s="738"/>
      <c r="AE352" s="744"/>
    </row>
    <row r="353" spans="1:31">
      <c r="A353" s="6">
        <f>MAX(A$350:A352)+1</f>
        <v>161</v>
      </c>
      <c r="B353" s="58"/>
      <c r="C353" s="526" t="s">
        <v>317</v>
      </c>
      <c r="D353" s="58"/>
      <c r="E353" s="522" t="s">
        <v>281</v>
      </c>
      <c r="F353" s="58"/>
      <c r="G353" s="29">
        <v>25506.168000000001</v>
      </c>
      <c r="H353" s="58"/>
      <c r="I353" s="29">
        <v>0</v>
      </c>
      <c r="J353" s="29">
        <v>0</v>
      </c>
      <c r="K353" s="643"/>
      <c r="L353" s="29">
        <v>0</v>
      </c>
      <c r="M353" s="29">
        <v>0</v>
      </c>
      <c r="N353" s="29">
        <v>0</v>
      </c>
      <c r="O353" s="29">
        <v>0</v>
      </c>
      <c r="P353" s="564"/>
      <c r="Q353" s="29">
        <v>0</v>
      </c>
      <c r="R353" s="29">
        <v>0</v>
      </c>
      <c r="S353" s="29">
        <v>0</v>
      </c>
      <c r="T353" s="539"/>
      <c r="U353" s="29">
        <v>0</v>
      </c>
      <c r="V353" s="29">
        <v>0</v>
      </c>
      <c r="W353" s="29">
        <v>0</v>
      </c>
      <c r="X353" s="30"/>
      <c r="Y353" s="541"/>
      <c r="Z353" s="501"/>
      <c r="AA353" s="738"/>
      <c r="AE353" s="744"/>
    </row>
    <row r="354" spans="1:31">
      <c r="A354" s="6">
        <f>MAX(A$350:A353)+1</f>
        <v>162</v>
      </c>
      <c r="B354" s="58"/>
      <c r="C354" s="526" t="s">
        <v>318</v>
      </c>
      <c r="D354" s="58"/>
      <c r="E354" s="522" t="s">
        <v>281</v>
      </c>
      <c r="F354" s="58"/>
      <c r="G354" s="29">
        <v>66225.600000000006</v>
      </c>
      <c r="H354" s="58"/>
      <c r="I354" s="29">
        <v>0</v>
      </c>
      <c r="J354" s="29">
        <v>0</v>
      </c>
      <c r="K354" s="643"/>
      <c r="L354" s="29">
        <v>0</v>
      </c>
      <c r="M354" s="29">
        <v>0</v>
      </c>
      <c r="N354" s="29">
        <v>0</v>
      </c>
      <c r="O354" s="29">
        <v>0</v>
      </c>
      <c r="P354" s="564"/>
      <c r="Q354" s="29">
        <v>0</v>
      </c>
      <c r="R354" s="29">
        <v>0</v>
      </c>
      <c r="S354" s="29">
        <v>0</v>
      </c>
      <c r="T354" s="539"/>
      <c r="U354" s="29">
        <v>0</v>
      </c>
      <c r="V354" s="29">
        <v>0</v>
      </c>
      <c r="W354" s="29">
        <v>0</v>
      </c>
      <c r="X354" s="30"/>
      <c r="Y354" s="541"/>
      <c r="Z354" s="501"/>
      <c r="AA354" s="738"/>
      <c r="AE354" s="744"/>
    </row>
    <row r="355" spans="1:31">
      <c r="A355" s="6">
        <f>MAX(A$350:A354)+1</f>
        <v>163</v>
      </c>
      <c r="B355" s="58"/>
      <c r="C355" s="521" t="s">
        <v>280</v>
      </c>
      <c r="D355" s="58"/>
      <c r="E355" s="30"/>
      <c r="F355" s="58"/>
      <c r="G355" s="131">
        <f>SUM(G353:G354)</f>
        <v>91731.768000000011</v>
      </c>
      <c r="H355" s="58"/>
      <c r="I355" s="619">
        <v>0</v>
      </c>
      <c r="J355" s="619">
        <v>0</v>
      </c>
      <c r="K355" s="640"/>
      <c r="L355" s="619">
        <v>0</v>
      </c>
      <c r="M355" s="619">
        <v>0</v>
      </c>
      <c r="N355" s="619">
        <v>0</v>
      </c>
      <c r="O355" s="619">
        <v>0</v>
      </c>
      <c r="P355" s="564"/>
      <c r="Q355" s="619">
        <v>0</v>
      </c>
      <c r="R355" s="619">
        <v>0</v>
      </c>
      <c r="S355" s="619">
        <v>0</v>
      </c>
      <c r="T355" s="539"/>
      <c r="U355" s="619">
        <v>0</v>
      </c>
      <c r="V355" s="619">
        <v>0</v>
      </c>
      <c r="W355" s="619">
        <v>0</v>
      </c>
      <c r="X355" s="703"/>
      <c r="Y355" s="541"/>
      <c r="Z355" s="501"/>
      <c r="AA355" s="738"/>
      <c r="AE355" s="744"/>
    </row>
    <row r="356" spans="1:31">
      <c r="A356" s="6"/>
      <c r="C356" s="10"/>
      <c r="G356" s="129"/>
      <c r="J356" s="538"/>
      <c r="K356" s="501"/>
      <c r="L356" s="538"/>
      <c r="M356" s="538"/>
      <c r="N356" s="538"/>
      <c r="O356" s="538"/>
      <c r="P356" s="64"/>
      <c r="Q356" s="538"/>
      <c r="R356" s="538"/>
      <c r="S356" s="538"/>
      <c r="V356" s="632"/>
      <c r="W356" s="501"/>
      <c r="X356" s="522"/>
      <c r="Y356" s="501"/>
      <c r="Z356" s="501"/>
      <c r="AE356" s="744"/>
    </row>
    <row r="357" spans="1:31" ht="12.95">
      <c r="A357" s="6"/>
      <c r="B357" s="58"/>
      <c r="C357" s="521" t="s">
        <v>260</v>
      </c>
      <c r="D357" s="58"/>
      <c r="E357" s="128"/>
      <c r="F357" s="58"/>
      <c r="G357" s="575"/>
      <c r="H357" s="58"/>
      <c r="I357" s="58"/>
      <c r="J357" s="538"/>
      <c r="K357" s="501"/>
      <c r="L357" s="538"/>
      <c r="M357" s="538"/>
      <c r="N357" s="538"/>
      <c r="O357" s="538"/>
      <c r="P357" s="564"/>
      <c r="Q357" s="538"/>
      <c r="R357" s="538"/>
      <c r="S357" s="538"/>
      <c r="T357" s="58"/>
      <c r="U357" s="58"/>
      <c r="V357" s="548"/>
      <c r="W357" s="501"/>
      <c r="X357" s="522"/>
      <c r="Y357" s="501"/>
      <c r="Z357" s="501"/>
      <c r="AE357" s="744"/>
    </row>
    <row r="358" spans="1:31">
      <c r="A358" s="6">
        <f>MAX(A$350:A357)+1</f>
        <v>164</v>
      </c>
      <c r="B358" s="58"/>
      <c r="C358" s="526" t="s">
        <v>319</v>
      </c>
      <c r="D358" s="58"/>
      <c r="E358" s="30" t="s">
        <v>262</v>
      </c>
      <c r="F358" s="58"/>
      <c r="G358" s="29">
        <v>338478.94474000001</v>
      </c>
      <c r="H358" s="58"/>
      <c r="I358" s="547">
        <v>7.1000000000000004E-3</v>
      </c>
      <c r="J358" s="538">
        <f>G358*I358/100</f>
        <v>24.032005076540003</v>
      </c>
      <c r="K358" s="534"/>
      <c r="L358" s="29">
        <v>24.032005076540003</v>
      </c>
      <c r="M358" s="29">
        <v>0</v>
      </c>
      <c r="N358" s="29">
        <v>0</v>
      </c>
      <c r="O358" s="538">
        <f>J358-L358-M358-N358</f>
        <v>0</v>
      </c>
      <c r="P358" s="564"/>
      <c r="Q358" s="29">
        <v>22.526966290017398</v>
      </c>
      <c r="R358" s="29">
        <v>0</v>
      </c>
      <c r="S358" s="29">
        <v>0</v>
      </c>
      <c r="T358" s="539"/>
      <c r="U358" s="539">
        <f>SUM(O358:S358)</f>
        <v>22.526966290017398</v>
      </c>
      <c r="V358" s="548">
        <f>U358/G358*100</f>
        <v>6.6553523166178958E-3</v>
      </c>
      <c r="W358" s="549">
        <f>U358-J358</f>
        <v>-1.5050387865226043</v>
      </c>
      <c r="X358" s="599"/>
      <c r="Y358" s="541"/>
      <c r="Z358" s="501"/>
      <c r="AA358" s="738"/>
      <c r="AC358" s="738"/>
      <c r="AE358" s="744"/>
    </row>
    <row r="359" spans="1:31">
      <c r="A359" s="6">
        <f>MAX(A$350:A358)+1</f>
        <v>165</v>
      </c>
      <c r="B359" s="58"/>
      <c r="C359" s="526" t="s">
        <v>320</v>
      </c>
      <c r="D359" s="58"/>
      <c r="E359" s="30" t="s">
        <v>262</v>
      </c>
      <c r="F359" s="58"/>
      <c r="G359" s="29">
        <v>590622.16051000007</v>
      </c>
      <c r="H359" s="58"/>
      <c r="I359" s="547">
        <v>7.1000000000000004E-3</v>
      </c>
      <c r="J359" s="538">
        <f>G359*I359/100</f>
        <v>41.934173396210007</v>
      </c>
      <c r="K359" s="534"/>
      <c r="L359" s="29">
        <v>41.934173396210007</v>
      </c>
      <c r="M359" s="29">
        <v>0</v>
      </c>
      <c r="N359" s="29">
        <v>0</v>
      </c>
      <c r="O359" s="538">
        <f>J359-L359-M359-N359</f>
        <v>0</v>
      </c>
      <c r="P359" s="564"/>
      <c r="Q359" s="29">
        <v>39.307985641960954</v>
      </c>
      <c r="R359" s="29">
        <v>0</v>
      </c>
      <c r="S359" s="29">
        <v>0</v>
      </c>
      <c r="T359" s="539"/>
      <c r="U359" s="539">
        <f>SUM(O359:S359)</f>
        <v>39.307985641960954</v>
      </c>
      <c r="V359" s="548">
        <f>U359/G359*100</f>
        <v>6.6553523166178958E-3</v>
      </c>
      <c r="W359" s="549">
        <f>U359-J359</f>
        <v>-2.6261877542490524</v>
      </c>
      <c r="X359" s="599"/>
      <c r="Y359" s="541"/>
      <c r="Z359" s="501"/>
      <c r="AA359" s="738"/>
      <c r="AC359" s="738"/>
      <c r="AE359" s="744"/>
    </row>
    <row r="360" spans="1:31">
      <c r="A360" s="6">
        <f>MAX(A$350:A359)+1</f>
        <v>166</v>
      </c>
      <c r="B360" s="58"/>
      <c r="C360" s="521" t="s">
        <v>260</v>
      </c>
      <c r="D360" s="58"/>
      <c r="E360" s="30"/>
      <c r="F360" s="58"/>
      <c r="G360" s="131">
        <f>SUM(G358:G359)</f>
        <v>929101.10525000002</v>
      </c>
      <c r="H360" s="58"/>
      <c r="I360" s="593">
        <f>J360/G360*100</f>
        <v>7.1000000000000021E-3</v>
      </c>
      <c r="J360" s="619">
        <f t="shared" ref="J360" si="167">SUM(J358:J359)</f>
        <v>65.966178472750016</v>
      </c>
      <c r="K360" s="640"/>
      <c r="L360" s="619">
        <f>SUM(L358:L359)</f>
        <v>65.966178472750016</v>
      </c>
      <c r="M360" s="619">
        <f t="shared" ref="M360:O360" si="168">SUM(M358:M359)</f>
        <v>0</v>
      </c>
      <c r="N360" s="619">
        <f t="shared" si="168"/>
        <v>0</v>
      </c>
      <c r="O360" s="619">
        <f t="shared" si="168"/>
        <v>0</v>
      </c>
      <c r="P360" s="564"/>
      <c r="Q360" s="619">
        <f>SUM(Q358:Q359)</f>
        <v>61.834951931978352</v>
      </c>
      <c r="R360" s="619">
        <f t="shared" ref="R360:S360" si="169">SUM(R358:R359)</f>
        <v>0</v>
      </c>
      <c r="S360" s="619">
        <f t="shared" si="169"/>
        <v>0</v>
      </c>
      <c r="T360" s="539"/>
      <c r="U360" s="554">
        <f>SUM(U358:U359)</f>
        <v>61.834951931978352</v>
      </c>
      <c r="V360" s="556">
        <f>U360/G360*100</f>
        <v>6.6553523166178958E-3</v>
      </c>
      <c r="W360" s="557">
        <f>SUM(W358:W359)</f>
        <v>-4.1312265407716566</v>
      </c>
      <c r="X360" s="795">
        <f>V360/I360-1</f>
        <v>-6.2626434279169918E-2</v>
      </c>
      <c r="Y360" s="541"/>
      <c r="Z360" s="501"/>
      <c r="AA360" s="738"/>
      <c r="AC360" s="738"/>
      <c r="AE360" s="744"/>
    </row>
    <row r="361" spans="1:31">
      <c r="A361" s="6"/>
      <c r="C361" s="10"/>
      <c r="E361" s="30"/>
      <c r="G361" s="29"/>
      <c r="J361" s="538"/>
      <c r="K361" s="501"/>
      <c r="L361" s="538"/>
      <c r="M361" s="538"/>
      <c r="N361" s="538"/>
      <c r="O361" s="538"/>
      <c r="P361" s="64"/>
      <c r="Q361" s="538"/>
      <c r="R361" s="538"/>
      <c r="S361" s="538"/>
      <c r="V361" s="632"/>
      <c r="W361" s="501"/>
      <c r="X361" s="605"/>
      <c r="Y361" s="501"/>
      <c r="Z361" s="501"/>
      <c r="AA361" s="738"/>
      <c r="AC361" s="738"/>
      <c r="AE361" s="744"/>
    </row>
    <row r="362" spans="1:31">
      <c r="A362" s="6">
        <f>MAX(A$350:A361)+1</f>
        <v>167</v>
      </c>
      <c r="B362" s="58"/>
      <c r="C362" s="521" t="s">
        <v>321</v>
      </c>
      <c r="D362" s="58"/>
      <c r="E362" s="30" t="s">
        <v>262</v>
      </c>
      <c r="F362" s="58"/>
      <c r="G362" s="29">
        <v>18115.468199999999</v>
      </c>
      <c r="H362" s="58"/>
      <c r="I362" s="547">
        <v>7.1000000000000004E-3</v>
      </c>
      <c r="J362" s="538">
        <f>G362*I362/100</f>
        <v>1.2861982422</v>
      </c>
      <c r="K362" s="538"/>
      <c r="L362" s="29">
        <v>1.2861982422</v>
      </c>
      <c r="M362" s="29">
        <v>0</v>
      </c>
      <c r="N362" s="29">
        <v>0</v>
      </c>
      <c r="O362" s="538">
        <f>J362-L362-M362-N362</f>
        <v>0</v>
      </c>
      <c r="P362" s="564"/>
      <c r="Q362" s="29">
        <v>1.2056482325148781</v>
      </c>
      <c r="R362" s="29">
        <v>0</v>
      </c>
      <c r="S362" s="29">
        <v>0</v>
      </c>
      <c r="T362" s="564"/>
      <c r="U362" s="564">
        <f>SUM(O362:S362)</f>
        <v>1.2056482325148781</v>
      </c>
      <c r="V362" s="548">
        <f>U362/G362*100</f>
        <v>6.6553523166178958E-3</v>
      </c>
      <c r="W362" s="538">
        <f>U362-J362</f>
        <v>-8.0550009685121937E-2</v>
      </c>
      <c r="X362" s="796">
        <f>V362/I362-1</f>
        <v>-6.2626434279169696E-2</v>
      </c>
      <c r="Y362" s="541"/>
      <c r="Z362" s="501"/>
      <c r="AA362" s="738"/>
      <c r="AC362" s="738"/>
      <c r="AE362" s="744"/>
    </row>
    <row r="363" spans="1:31">
      <c r="A363" s="6">
        <f>MAX(A$350:A362)+1</f>
        <v>168</v>
      </c>
      <c r="B363" s="58"/>
      <c r="C363" s="521" t="s">
        <v>322</v>
      </c>
      <c r="D363" s="58"/>
      <c r="E363" s="30" t="s">
        <v>259</v>
      </c>
      <c r="F363" s="58"/>
      <c r="G363" s="29">
        <v>456.00000000000375</v>
      </c>
      <c r="H363" s="58"/>
      <c r="I363" s="29">
        <v>0</v>
      </c>
      <c r="J363" s="29">
        <v>0</v>
      </c>
      <c r="K363" s="29"/>
      <c r="L363" s="29">
        <v>0</v>
      </c>
      <c r="M363" s="29">
        <v>0</v>
      </c>
      <c r="N363" s="29">
        <v>0</v>
      </c>
      <c r="O363" s="538">
        <f>J363-L363-M363-N363</f>
        <v>0</v>
      </c>
      <c r="P363" s="564"/>
      <c r="Q363" s="29">
        <v>0</v>
      </c>
      <c r="R363" s="29">
        <v>0</v>
      </c>
      <c r="S363" s="29">
        <v>0</v>
      </c>
      <c r="T363" s="564"/>
      <c r="U363" s="564">
        <f>SUM(O363:S363)</f>
        <v>0</v>
      </c>
      <c r="V363" s="29">
        <v>0</v>
      </c>
      <c r="W363" s="538">
        <f>U363-J363</f>
        <v>0</v>
      </c>
      <c r="X363" s="29"/>
      <c r="Y363" s="541"/>
      <c r="Z363" s="501"/>
      <c r="AA363" s="738"/>
      <c r="AC363" s="738"/>
    </row>
    <row r="364" spans="1:31">
      <c r="A364" s="6"/>
      <c r="B364" s="58"/>
      <c r="C364" s="10"/>
      <c r="D364" s="58"/>
      <c r="E364" s="30"/>
      <c r="F364" s="58"/>
      <c r="G364" s="132"/>
      <c r="H364" s="58"/>
      <c r="I364" s="58"/>
      <c r="J364" s="538"/>
      <c r="K364" s="538"/>
      <c r="L364" s="538"/>
      <c r="M364" s="538"/>
      <c r="N364" s="538"/>
      <c r="O364" s="538"/>
      <c r="P364" s="564"/>
      <c r="Q364" s="538"/>
      <c r="R364" s="538"/>
      <c r="S364" s="538"/>
      <c r="T364" s="564"/>
      <c r="U364" s="564"/>
      <c r="V364" s="548"/>
      <c r="W364" s="538"/>
      <c r="X364" s="796"/>
      <c r="Y364" s="541"/>
      <c r="Z364" s="501"/>
      <c r="AA364" s="738"/>
      <c r="AC364" s="738"/>
    </row>
    <row r="365" spans="1:31">
      <c r="A365" s="6">
        <f>MAX(A$350:A364)+1</f>
        <v>169</v>
      </c>
      <c r="B365" s="58"/>
      <c r="C365" s="10" t="s">
        <v>266</v>
      </c>
      <c r="D365" s="58"/>
      <c r="E365" s="30"/>
      <c r="F365" s="58"/>
      <c r="G365" s="131">
        <f>G360</f>
        <v>929101.10525000002</v>
      </c>
      <c r="H365" s="58"/>
      <c r="I365" s="556">
        <f>J365/G365*100</f>
        <v>7.2384346907922283E-3</v>
      </c>
      <c r="J365" s="619">
        <f t="shared" ref="J365" si="170">J360+J362</f>
        <v>67.252376714950017</v>
      </c>
      <c r="K365" s="564"/>
      <c r="L365" s="619">
        <f>L360+L362</f>
        <v>67.252376714950017</v>
      </c>
      <c r="M365" s="619">
        <f t="shared" ref="M365:U365" si="171">M360+M362</f>
        <v>0</v>
      </c>
      <c r="N365" s="619">
        <f t="shared" si="171"/>
        <v>0</v>
      </c>
      <c r="O365" s="619">
        <f t="shared" si="171"/>
        <v>0</v>
      </c>
      <c r="P365" s="564"/>
      <c r="Q365" s="619">
        <f t="shared" si="171"/>
        <v>63.040600164493227</v>
      </c>
      <c r="R365" s="619">
        <f t="shared" si="171"/>
        <v>0</v>
      </c>
      <c r="S365" s="619">
        <f t="shared" si="171"/>
        <v>0</v>
      </c>
      <c r="T365" s="564"/>
      <c r="U365" s="619">
        <f t="shared" si="171"/>
        <v>63.040600164493227</v>
      </c>
      <c r="V365" s="556">
        <f>U365/G365*100</f>
        <v>6.7851173363452661E-3</v>
      </c>
      <c r="W365" s="619">
        <f>W360+W362+W363</f>
        <v>-4.2117765504567783</v>
      </c>
      <c r="X365" s="795">
        <f>V365/I365-1</f>
        <v>-6.2626434279169807E-2</v>
      </c>
      <c r="Y365" s="541"/>
      <c r="Z365" s="501"/>
      <c r="AA365" s="738"/>
      <c r="AC365" s="738"/>
    </row>
    <row r="366" spans="1:31">
      <c r="A366" s="6"/>
      <c r="B366" s="58"/>
      <c r="C366" s="10"/>
      <c r="D366" s="58"/>
      <c r="E366" s="30"/>
      <c r="F366" s="58"/>
      <c r="G366" s="132"/>
      <c r="H366" s="58"/>
      <c r="I366" s="58"/>
      <c r="J366" s="538"/>
      <c r="K366" s="534"/>
      <c r="L366" s="538"/>
      <c r="M366" s="538"/>
      <c r="N366" s="538"/>
      <c r="O366" s="538"/>
      <c r="P366" s="564"/>
      <c r="Q366" s="538"/>
      <c r="R366" s="538"/>
      <c r="S366" s="538"/>
      <c r="T366" s="539"/>
      <c r="U366" s="539"/>
      <c r="V366" s="548"/>
      <c r="W366" s="534"/>
      <c r="X366" s="604"/>
      <c r="Y366" s="534"/>
      <c r="Z366" s="501"/>
      <c r="AA366" s="738"/>
      <c r="AC366" s="738"/>
    </row>
    <row r="367" spans="1:31">
      <c r="A367" s="6"/>
      <c r="B367" s="58"/>
      <c r="C367" s="501" t="s">
        <v>323</v>
      </c>
      <c r="D367" s="58"/>
      <c r="E367" s="591"/>
      <c r="F367" s="58"/>
      <c r="G367" s="618"/>
      <c r="H367" s="58"/>
      <c r="I367" s="58"/>
      <c r="J367" s="538"/>
      <c r="K367" s="538"/>
      <c r="L367" s="538"/>
      <c r="M367" s="538"/>
      <c r="N367" s="538"/>
      <c r="O367" s="538"/>
      <c r="P367" s="564"/>
      <c r="Q367" s="538"/>
      <c r="R367" s="538"/>
      <c r="S367" s="538"/>
      <c r="T367" s="564"/>
      <c r="U367" s="564"/>
      <c r="V367" s="548"/>
      <c r="W367" s="538"/>
      <c r="X367" s="576"/>
      <c r="Y367" s="538"/>
      <c r="Z367" s="501"/>
      <c r="AA367" s="738"/>
      <c r="AC367" s="738"/>
    </row>
    <row r="368" spans="1:31">
      <c r="A368" s="6">
        <f>MAX(A$350:A367)+1</f>
        <v>170</v>
      </c>
      <c r="C368" s="526" t="s">
        <v>306</v>
      </c>
      <c r="E368" s="522" t="s">
        <v>281</v>
      </c>
      <c r="G368" s="29">
        <v>1764.0360000000001</v>
      </c>
      <c r="H368" s="568"/>
      <c r="I368" s="547">
        <v>36.018137999410541</v>
      </c>
      <c r="J368" s="538">
        <f>G368*I368/100</f>
        <v>635.37292083928173</v>
      </c>
      <c r="K368" s="538"/>
      <c r="L368" s="29">
        <v>0</v>
      </c>
      <c r="M368" s="29">
        <v>0</v>
      </c>
      <c r="N368" s="29">
        <v>0</v>
      </c>
      <c r="O368" s="538">
        <f>J368-L368-M368-N368</f>
        <v>635.37292083928173</v>
      </c>
      <c r="P368" s="64"/>
      <c r="Q368" s="132">
        <v>0</v>
      </c>
      <c r="R368" s="132">
        <v>0</v>
      </c>
      <c r="S368" s="132">
        <v>0</v>
      </c>
      <c r="T368" s="130"/>
      <c r="U368" s="539">
        <f>SUM(O368:S368)</f>
        <v>635.37292083928173</v>
      </c>
      <c r="V368" s="797">
        <f>U368/G368*100</f>
        <v>36.018137999410541</v>
      </c>
      <c r="W368" s="576">
        <f>U368-J368</f>
        <v>0</v>
      </c>
      <c r="X368" s="576"/>
      <c r="Y368" s="576"/>
      <c r="Z368" s="501"/>
      <c r="AA368" s="738"/>
      <c r="AC368" s="738"/>
      <c r="AE368" s="744"/>
    </row>
    <row r="369" spans="1:31">
      <c r="A369" s="6">
        <f>MAX(A$350:A368)+1</f>
        <v>171</v>
      </c>
      <c r="B369" s="581"/>
      <c r="C369" s="526" t="s">
        <v>307</v>
      </c>
      <c r="D369" s="581"/>
      <c r="E369" s="522" t="s">
        <v>281</v>
      </c>
      <c r="F369" s="581"/>
      <c r="G369" s="29">
        <v>6791.652</v>
      </c>
      <c r="H369" s="568"/>
      <c r="I369" s="547">
        <v>39.018337999410541</v>
      </c>
      <c r="J369" s="538">
        <f t="shared" ref="J369:J374" si="172">G369*I369/100</f>
        <v>2649.9897331037264</v>
      </c>
      <c r="K369" s="538"/>
      <c r="L369" s="29">
        <v>0</v>
      </c>
      <c r="M369" s="29">
        <v>0</v>
      </c>
      <c r="N369" s="29">
        <v>0</v>
      </c>
      <c r="O369" s="538">
        <f t="shared" ref="O369:O375" si="173">J369-L369-M369-N369</f>
        <v>2649.9897331037264</v>
      </c>
      <c r="P369" s="582"/>
      <c r="Q369" s="132">
        <v>0</v>
      </c>
      <c r="R369" s="132">
        <v>0</v>
      </c>
      <c r="S369" s="132">
        <v>0</v>
      </c>
      <c r="T369" s="130"/>
      <c r="U369" s="539">
        <f>SUM(O369:S369)</f>
        <v>2649.9897331037264</v>
      </c>
      <c r="V369" s="797">
        <f>U369/G369*100</f>
        <v>39.018337999410548</v>
      </c>
      <c r="W369" s="576">
        <f t="shared" ref="W369:W375" si="174">U369-J369</f>
        <v>0</v>
      </c>
      <c r="X369" s="576"/>
      <c r="Y369" s="576"/>
      <c r="Z369" s="501"/>
      <c r="AA369" s="738"/>
      <c r="AC369" s="738"/>
      <c r="AE369" s="744"/>
    </row>
    <row r="370" spans="1:31">
      <c r="A370" s="6"/>
      <c r="B370" s="3"/>
      <c r="C370" s="501" t="s">
        <v>324</v>
      </c>
      <c r="D370" s="3"/>
      <c r="E370" s="57"/>
      <c r="F370" s="3"/>
      <c r="G370" s="624"/>
      <c r="H370" s="624"/>
      <c r="I370" s="624"/>
      <c r="J370" s="538"/>
      <c r="K370" s="538"/>
      <c r="L370" s="538"/>
      <c r="M370" s="538"/>
      <c r="N370" s="538"/>
      <c r="O370" s="538"/>
      <c r="P370" s="584"/>
      <c r="Q370" s="576"/>
      <c r="R370" s="576"/>
      <c r="S370" s="576"/>
      <c r="T370" s="132"/>
      <c r="U370" s="539"/>
      <c r="V370" s="797"/>
      <c r="W370" s="576"/>
      <c r="X370" s="576"/>
      <c r="Y370" s="576"/>
      <c r="Z370" s="501"/>
      <c r="AA370" s="738"/>
      <c r="AC370" s="738"/>
      <c r="AE370" s="744"/>
    </row>
    <row r="371" spans="1:31">
      <c r="A371" s="6">
        <f>MAX(A$350:A370)+1</f>
        <v>172</v>
      </c>
      <c r="B371" s="5"/>
      <c r="C371" s="526" t="s">
        <v>306</v>
      </c>
      <c r="D371" s="5"/>
      <c r="E371" s="522" t="s">
        <v>262</v>
      </c>
      <c r="F371" s="5"/>
      <c r="G371" s="29">
        <v>19327.7673</v>
      </c>
      <c r="H371" s="674"/>
      <c r="I371" s="620">
        <v>2.6368459667703328</v>
      </c>
      <c r="J371" s="538">
        <f t="shared" si="172"/>
        <v>509.64345251680527</v>
      </c>
      <c r="K371" s="538"/>
      <c r="L371" s="29">
        <v>0</v>
      </c>
      <c r="M371" s="29">
        <v>8.1064112855002968</v>
      </c>
      <c r="N371" s="29">
        <v>29.988618062799702</v>
      </c>
      <c r="O371" s="538">
        <f t="shared" si="173"/>
        <v>471.54842316850522</v>
      </c>
      <c r="P371" s="585"/>
      <c r="Q371" s="132">
        <v>0</v>
      </c>
      <c r="R371" s="29">
        <v>9.9579472877742248</v>
      </c>
      <c r="S371" s="29">
        <v>30.022417728980681</v>
      </c>
      <c r="T371" s="675"/>
      <c r="U371" s="539">
        <f>SUM(O371:S371)</f>
        <v>511.52878818526011</v>
      </c>
      <c r="V371" s="797">
        <f>U371/G371*100</f>
        <v>2.6466005113030313</v>
      </c>
      <c r="W371" s="576">
        <f t="shared" si="174"/>
        <v>1.885335668454843</v>
      </c>
      <c r="X371" s="576"/>
      <c r="Y371" s="576"/>
      <c r="Z371" s="501"/>
      <c r="AA371" s="738"/>
      <c r="AC371" s="738"/>
      <c r="AE371" s="744"/>
    </row>
    <row r="372" spans="1:31">
      <c r="A372" s="6">
        <f>MAX(A$350:A371)+1</f>
        <v>173</v>
      </c>
      <c r="B372" s="58"/>
      <c r="C372" s="526" t="s">
        <v>307</v>
      </c>
      <c r="D372" s="58"/>
      <c r="E372" s="522" t="s">
        <v>262</v>
      </c>
      <c r="F372" s="58"/>
      <c r="G372" s="29">
        <v>62792.705639999993</v>
      </c>
      <c r="H372" s="624"/>
      <c r="I372" s="620">
        <v>1.979475966770333</v>
      </c>
      <c r="J372" s="538">
        <f t="shared" si="172"/>
        <v>1242.9665170286391</v>
      </c>
      <c r="K372" s="538"/>
      <c r="L372" s="29">
        <v>0</v>
      </c>
      <c r="M372" s="29">
        <v>28.705455769500965</v>
      </c>
      <c r="N372" s="29">
        <v>106.192113756911</v>
      </c>
      <c r="O372" s="538">
        <f t="shared" si="173"/>
        <v>1108.0689475022273</v>
      </c>
      <c r="P372" s="564"/>
      <c r="Q372" s="132">
        <v>0</v>
      </c>
      <c r="R372" s="29">
        <v>35.26189399438838</v>
      </c>
      <c r="S372" s="29">
        <v>106.31180109923933</v>
      </c>
      <c r="T372" s="132"/>
      <c r="U372" s="539">
        <f t="shared" ref="U372:U375" si="175">SUM(O372:S372)</f>
        <v>1249.642642595855</v>
      </c>
      <c r="V372" s="797">
        <f>U372/G372*100</f>
        <v>1.9901079748979824</v>
      </c>
      <c r="W372" s="576">
        <f t="shared" si="174"/>
        <v>6.6761255672158768</v>
      </c>
      <c r="X372" s="576"/>
      <c r="Y372" s="576"/>
      <c r="Z372" s="501"/>
      <c r="AA372" s="738"/>
      <c r="AC372" s="738"/>
      <c r="AE372" s="744"/>
    </row>
    <row r="373" spans="1:31">
      <c r="A373" s="6"/>
      <c r="C373" s="501" t="s">
        <v>325</v>
      </c>
      <c r="G373" s="568"/>
      <c r="H373" s="568"/>
      <c r="I373" s="568"/>
      <c r="J373" s="538"/>
      <c r="K373" s="538"/>
      <c r="L373" s="538"/>
      <c r="M373" s="538"/>
      <c r="N373" s="538"/>
      <c r="O373" s="538"/>
      <c r="P373" s="64"/>
      <c r="Q373" s="576"/>
      <c r="R373" s="576"/>
      <c r="S373" s="576"/>
      <c r="T373" s="130"/>
      <c r="U373" s="130"/>
      <c r="V373" s="797"/>
      <c r="W373" s="576"/>
      <c r="X373" s="576"/>
      <c r="Y373" s="576"/>
      <c r="Z373" s="501"/>
      <c r="AA373" s="738"/>
      <c r="AC373" s="738"/>
      <c r="AE373" s="744"/>
    </row>
    <row r="374" spans="1:31">
      <c r="A374" s="6">
        <f>MAX(A$350:A373)+1</f>
        <v>174</v>
      </c>
      <c r="B374" s="58"/>
      <c r="C374" s="526" t="s">
        <v>306</v>
      </c>
      <c r="D374" s="58"/>
      <c r="E374" s="522" t="s">
        <v>262</v>
      </c>
      <c r="F374" s="58"/>
      <c r="G374" s="29">
        <v>15676.229820000002</v>
      </c>
      <c r="H374" s="624"/>
      <c r="I374" s="676">
        <v>0</v>
      </c>
      <c r="J374" s="538">
        <f t="shared" si="172"/>
        <v>0</v>
      </c>
      <c r="K374" s="538"/>
      <c r="L374" s="29">
        <v>0</v>
      </c>
      <c r="M374" s="29">
        <v>0</v>
      </c>
      <c r="N374" s="29">
        <v>0</v>
      </c>
      <c r="O374" s="538">
        <f t="shared" si="173"/>
        <v>0</v>
      </c>
      <c r="P374" s="564"/>
      <c r="Q374" s="132">
        <v>0</v>
      </c>
      <c r="R374" s="132">
        <v>0</v>
      </c>
      <c r="S374" s="132">
        <v>0</v>
      </c>
      <c r="T374" s="132"/>
      <c r="U374" s="130">
        <f t="shared" si="175"/>
        <v>0</v>
      </c>
      <c r="V374" s="130">
        <f>U374/G374*100</f>
        <v>0</v>
      </c>
      <c r="W374" s="576">
        <f t="shared" si="174"/>
        <v>0</v>
      </c>
      <c r="X374" s="576"/>
      <c r="Y374" s="576"/>
      <c r="Z374" s="501"/>
      <c r="AA374" s="746"/>
      <c r="AC374" s="746"/>
      <c r="AE374" s="746"/>
    </row>
    <row r="375" spans="1:31">
      <c r="A375" s="6">
        <f>MAX(A$350:A374)+1</f>
        <v>175</v>
      </c>
      <c r="B375" s="58"/>
      <c r="C375" s="526" t="s">
        <v>307</v>
      </c>
      <c r="D375" s="58"/>
      <c r="E375" s="522" t="s">
        <v>262</v>
      </c>
      <c r="F375" s="58"/>
      <c r="G375" s="536">
        <v>37528.185069999978</v>
      </c>
      <c r="H375" s="624"/>
      <c r="I375" s="676">
        <v>0</v>
      </c>
      <c r="J375" s="538">
        <f>G375*I375/100</f>
        <v>0</v>
      </c>
      <c r="K375" s="538"/>
      <c r="L375" s="132">
        <v>0</v>
      </c>
      <c r="M375" s="132">
        <v>0</v>
      </c>
      <c r="N375" s="132">
        <v>0</v>
      </c>
      <c r="O375" s="538">
        <f t="shared" si="173"/>
        <v>0</v>
      </c>
      <c r="P375" s="564"/>
      <c r="Q375" s="132">
        <v>0</v>
      </c>
      <c r="R375" s="132">
        <v>0</v>
      </c>
      <c r="S375" s="132">
        <v>0</v>
      </c>
      <c r="T375" s="132"/>
      <c r="U375" s="130">
        <f t="shared" si="175"/>
        <v>0</v>
      </c>
      <c r="V375" s="130">
        <f>U375/G375*100</f>
        <v>0</v>
      </c>
      <c r="W375" s="576">
        <f t="shared" si="174"/>
        <v>0</v>
      </c>
      <c r="X375" s="576"/>
      <c r="Y375" s="576"/>
      <c r="Z375" s="501"/>
      <c r="AA375" s="746"/>
      <c r="AC375" s="746"/>
      <c r="AE375" s="746"/>
    </row>
    <row r="376" spans="1:31">
      <c r="A376" s="6">
        <f>MAX(A$350:A375)+1</f>
        <v>176</v>
      </c>
      <c r="B376" s="58"/>
      <c r="C376" s="10" t="s">
        <v>326</v>
      </c>
      <c r="D376" s="58"/>
      <c r="E376" s="30"/>
      <c r="F376" s="58"/>
      <c r="G376" s="553">
        <f>SUM(G371:G375)</f>
        <v>135324.88782999996</v>
      </c>
      <c r="H376" s="624"/>
      <c r="I376" s="608">
        <f>J376/G376*100</f>
        <v>3.7228721961457198</v>
      </c>
      <c r="J376" s="131">
        <f t="shared" ref="J376" si="176">SUM(J368:J375)</f>
        <v>5037.972623488452</v>
      </c>
      <c r="K376" s="624"/>
      <c r="L376" s="131">
        <f>SUM(L368:L375)</f>
        <v>0</v>
      </c>
      <c r="M376" s="131">
        <f t="shared" ref="M376:O376" si="177">SUM(M368:M375)</f>
        <v>36.811867055001258</v>
      </c>
      <c r="N376" s="131">
        <f t="shared" si="177"/>
        <v>136.1807318197107</v>
      </c>
      <c r="O376" s="131">
        <f t="shared" si="177"/>
        <v>4864.9800246137402</v>
      </c>
      <c r="P376" s="564"/>
      <c r="Q376" s="619">
        <f>SUM(Q368:Q375)</f>
        <v>0</v>
      </c>
      <c r="R376" s="619">
        <f t="shared" ref="R376:S376" si="178">SUM(R368:R375)</f>
        <v>45.219841282162605</v>
      </c>
      <c r="S376" s="619">
        <f t="shared" si="178"/>
        <v>136.33421882822</v>
      </c>
      <c r="T376" s="539"/>
      <c r="U376" s="554">
        <f>SUM(U368:U375)</f>
        <v>5046.5340847241232</v>
      </c>
      <c r="V376" s="556">
        <f>U376/G376*100</f>
        <v>3.7291987938417965</v>
      </c>
      <c r="W376" s="557">
        <f>SUM(W368:W375)</f>
        <v>8.5614612356707198</v>
      </c>
      <c r="X376" s="609">
        <f>V376/I376-1</f>
        <v>1.6993862165417539E-3</v>
      </c>
      <c r="Y376" s="541"/>
      <c r="Z376" s="501"/>
      <c r="AA376" s="738"/>
      <c r="AC376" s="738"/>
      <c r="AE376" s="744"/>
    </row>
    <row r="377" spans="1:31">
      <c r="A377" s="6"/>
      <c r="B377" s="58"/>
      <c r="C377" s="526"/>
      <c r="D377" s="58"/>
      <c r="E377" s="30"/>
      <c r="F377" s="58"/>
      <c r="G377" s="536"/>
      <c r="H377" s="624"/>
      <c r="I377" s="624"/>
      <c r="J377" s="538"/>
      <c r="K377" s="534"/>
      <c r="L377" s="538"/>
      <c r="M377" s="538"/>
      <c r="N377" s="538"/>
      <c r="O377" s="538"/>
      <c r="P377" s="564"/>
      <c r="Q377" s="538"/>
      <c r="R377" s="538"/>
      <c r="S377" s="538"/>
      <c r="T377" s="539"/>
      <c r="U377" s="539"/>
      <c r="V377" s="548"/>
      <c r="W377" s="534"/>
      <c r="X377" s="604"/>
      <c r="Y377" s="534"/>
      <c r="Z377" s="501"/>
      <c r="AC377" s="738"/>
    </row>
    <row r="378" spans="1:31">
      <c r="A378" s="6"/>
      <c r="B378" s="58"/>
      <c r="C378" s="501" t="s">
        <v>327</v>
      </c>
      <c r="D378" s="58"/>
      <c r="E378" s="30"/>
      <c r="F378" s="58"/>
      <c r="G378" s="536"/>
      <c r="H378" s="624"/>
      <c r="I378" s="624"/>
      <c r="J378" s="538"/>
      <c r="K378" s="534"/>
      <c r="L378" s="538"/>
      <c r="M378" s="538"/>
      <c r="N378" s="538"/>
      <c r="O378" s="538"/>
      <c r="P378" s="564"/>
      <c r="Q378" s="538"/>
      <c r="R378" s="538"/>
      <c r="S378" s="538"/>
      <c r="T378" s="539"/>
      <c r="V378" s="548"/>
      <c r="W378" s="534"/>
      <c r="X378" s="604"/>
      <c r="Y378" s="534"/>
      <c r="Z378" s="501"/>
      <c r="AC378" s="738"/>
    </row>
    <row r="379" spans="1:31">
      <c r="A379" s="6">
        <f>MAX(A$350:A378)+1</f>
        <v>177</v>
      </c>
      <c r="B379" s="58"/>
      <c r="C379" s="526" t="s">
        <v>328</v>
      </c>
      <c r="D379" s="58"/>
      <c r="E379" s="522" t="s">
        <v>329</v>
      </c>
      <c r="F379" s="58"/>
      <c r="G379" s="536">
        <v>141504</v>
      </c>
      <c r="H379" s="624"/>
      <c r="I379" s="701">
        <v>10.949000000000002</v>
      </c>
      <c r="J379" s="538">
        <f>G379*I379/1000</f>
        <v>1549.3272960000004</v>
      </c>
      <c r="K379" s="534"/>
      <c r="L379" s="29">
        <v>0</v>
      </c>
      <c r="M379" s="29">
        <v>0</v>
      </c>
      <c r="N379" s="29">
        <v>0</v>
      </c>
      <c r="O379" s="538">
        <f>J379-L379-M379-N379</f>
        <v>1549.3272960000004</v>
      </c>
      <c r="P379" s="564"/>
      <c r="Q379" s="29">
        <v>0</v>
      </c>
      <c r="R379" s="29">
        <v>0</v>
      </c>
      <c r="S379" s="29">
        <v>0</v>
      </c>
      <c r="T379" s="643"/>
      <c r="U379" s="539">
        <f>SUM(O379:S379)</f>
        <v>1549.3272960000004</v>
      </c>
      <c r="V379" s="548">
        <f>U379/G379*1000</f>
        <v>10.949000000000002</v>
      </c>
      <c r="W379" s="538">
        <f>U379-J379</f>
        <v>0</v>
      </c>
      <c r="X379" s="604"/>
      <c r="Y379" s="534"/>
      <c r="Z379" s="501"/>
      <c r="AA379" s="738"/>
      <c r="AC379" s="738"/>
      <c r="AE379" s="744"/>
    </row>
    <row r="380" spans="1:31">
      <c r="A380" s="6">
        <f>MAX(A$350:A379)+1</f>
        <v>178</v>
      </c>
      <c r="B380" s="58"/>
      <c r="C380" s="526" t="s">
        <v>330</v>
      </c>
      <c r="D380" s="58"/>
      <c r="E380" s="522" t="s">
        <v>331</v>
      </c>
      <c r="F380" s="58"/>
      <c r="G380" s="536">
        <v>522359</v>
      </c>
      <c r="H380" s="624"/>
      <c r="I380" s="701">
        <v>9.7000000000000003E-2</v>
      </c>
      <c r="J380" s="538">
        <f>G380*I380/1000</f>
        <v>50.668823000000003</v>
      </c>
      <c r="K380" s="534"/>
      <c r="L380" s="29">
        <v>0</v>
      </c>
      <c r="M380" s="29">
        <v>3.8777291313530764</v>
      </c>
      <c r="N380" s="29">
        <v>30.597964868646926</v>
      </c>
      <c r="O380" s="538">
        <f>J380-L380-M380-N380</f>
        <v>16.193128999999999</v>
      </c>
      <c r="P380" s="564"/>
      <c r="Q380" s="29">
        <v>0</v>
      </c>
      <c r="R380" s="29">
        <v>4.763417611853547</v>
      </c>
      <c r="S380" s="29">
        <v>30.632451319346718</v>
      </c>
      <c r="T380" s="539"/>
      <c r="U380" s="539">
        <f>SUM(O380:S380)</f>
        <v>51.588997931200268</v>
      </c>
      <c r="V380" s="548">
        <f>U380/G380*1000</f>
        <v>9.8761575719381253E-2</v>
      </c>
      <c r="W380" s="576">
        <f>U380-J380</f>
        <v>0.92017493120026472</v>
      </c>
      <c r="X380" s="604"/>
      <c r="Y380" s="534"/>
      <c r="Z380" s="501"/>
      <c r="AA380" s="738"/>
      <c r="AC380" s="738"/>
      <c r="AE380" s="744"/>
    </row>
    <row r="381" spans="1:31">
      <c r="A381" s="6">
        <f>MAX(A$350:A380)+1</f>
        <v>179</v>
      </c>
      <c r="B381" s="58"/>
      <c r="C381" s="501" t="s">
        <v>327</v>
      </c>
      <c r="D381" s="58"/>
      <c r="E381" s="30"/>
      <c r="F381" s="58"/>
      <c r="G381" s="131">
        <f>SUM(G379:G380)</f>
        <v>663863</v>
      </c>
      <c r="H381" s="58"/>
      <c r="I381" s="753">
        <f>J381/G381*1000</f>
        <v>2.4101299801314435</v>
      </c>
      <c r="J381" s="555">
        <f t="shared" ref="J381" si="179">SUM(J379:J380)</f>
        <v>1599.9961190000004</v>
      </c>
      <c r="K381" s="538"/>
      <c r="L381" s="555">
        <f>SUM(L379:L380)</f>
        <v>0</v>
      </c>
      <c r="M381" s="555">
        <f t="shared" ref="M381:O381" si="180">SUM(M379:M380)</f>
        <v>3.8777291313530764</v>
      </c>
      <c r="N381" s="555">
        <f t="shared" si="180"/>
        <v>30.597964868646926</v>
      </c>
      <c r="O381" s="555">
        <f t="shared" si="180"/>
        <v>1565.5204250000004</v>
      </c>
      <c r="P381" s="564"/>
      <c r="Q381" s="619">
        <f>SUM(Q379:Q380)</f>
        <v>0</v>
      </c>
      <c r="R381" s="619">
        <f t="shared" ref="R381:S381" si="181">SUM(R379:R380)</f>
        <v>4.763417611853547</v>
      </c>
      <c r="S381" s="619">
        <f t="shared" si="181"/>
        <v>30.632451319346718</v>
      </c>
      <c r="T381" s="539"/>
      <c r="U381" s="554">
        <f>SUM(U379:U380)</f>
        <v>1600.9162939312007</v>
      </c>
      <c r="V381" s="556">
        <f>U381/G381*1000</f>
        <v>2.411516071736489</v>
      </c>
      <c r="W381" s="557">
        <f>SUM(W379:W380)</f>
        <v>0.92017493120026472</v>
      </c>
      <c r="X381" s="609">
        <f>V381/I381-1</f>
        <v>5.7511072700311416E-4</v>
      </c>
      <c r="Y381" s="541"/>
      <c r="Z381" s="501"/>
      <c r="AA381" s="738"/>
      <c r="AC381" s="738"/>
      <c r="AE381" s="744"/>
    </row>
    <row r="382" spans="1:31">
      <c r="A382" s="6"/>
      <c r="B382" s="58"/>
      <c r="C382" s="10"/>
      <c r="D382" s="58"/>
      <c r="E382" s="30"/>
      <c r="F382" s="58"/>
      <c r="G382" s="29"/>
      <c r="H382" s="58"/>
      <c r="I382" s="548"/>
      <c r="J382" s="538"/>
      <c r="K382" s="534"/>
      <c r="L382" s="538"/>
      <c r="M382" s="538"/>
      <c r="N382" s="538"/>
      <c r="O382" s="538"/>
      <c r="P382" s="564"/>
      <c r="Q382" s="538"/>
      <c r="R382" s="538"/>
      <c r="S382" s="538"/>
      <c r="T382" s="539"/>
      <c r="U382" s="539"/>
      <c r="V382" s="548"/>
      <c r="W382" s="534"/>
      <c r="X382" s="604"/>
      <c r="Y382" s="534"/>
      <c r="Z382" s="501"/>
      <c r="AA382" s="738"/>
      <c r="AC382" s="738"/>
      <c r="AE382" s="744"/>
    </row>
    <row r="383" spans="1:31">
      <c r="A383" s="6"/>
      <c r="B383" s="58"/>
      <c r="C383" s="10" t="s">
        <v>270</v>
      </c>
      <c r="D383" s="58"/>
      <c r="E383" s="30"/>
      <c r="F383" s="58"/>
      <c r="G383" s="132"/>
      <c r="H383" s="58"/>
      <c r="I383" s="548"/>
      <c r="J383" s="538"/>
      <c r="K383" s="534"/>
      <c r="L383" s="538"/>
      <c r="M383" s="538"/>
      <c r="N383" s="538"/>
      <c r="O383" s="538"/>
      <c r="P383" s="564"/>
      <c r="Q383" s="538"/>
      <c r="R383" s="538"/>
      <c r="S383" s="538"/>
      <c r="T383" s="539"/>
      <c r="U383" s="539"/>
      <c r="V383" s="548"/>
      <c r="W383" s="534"/>
      <c r="X383" s="604"/>
      <c r="Y383" s="534"/>
      <c r="Z383" s="501"/>
      <c r="AA383" s="738"/>
      <c r="AC383" s="738"/>
      <c r="AE383" s="744"/>
    </row>
    <row r="384" spans="1:31">
      <c r="A384" s="6">
        <f>MAX(A$350:A383)+1</f>
        <v>180</v>
      </c>
      <c r="C384" s="12" t="s">
        <v>306</v>
      </c>
      <c r="E384" s="522" t="s">
        <v>262</v>
      </c>
      <c r="G384" s="536">
        <v>5777.0110000000004</v>
      </c>
      <c r="I384" s="547">
        <v>17.497599999999998</v>
      </c>
      <c r="J384" s="538">
        <f>G384*I384/100</f>
        <v>1010.838276736</v>
      </c>
      <c r="K384" s="538"/>
      <c r="L384" s="29">
        <v>0</v>
      </c>
      <c r="M384" s="29">
        <v>0</v>
      </c>
      <c r="N384" s="29">
        <v>0</v>
      </c>
      <c r="O384" s="538">
        <f>J384-L384-M384-N384</f>
        <v>1010.838276736</v>
      </c>
      <c r="P384" s="64"/>
      <c r="Q384" s="29">
        <v>0</v>
      </c>
      <c r="R384" s="29">
        <v>0</v>
      </c>
      <c r="S384" s="29">
        <v>0</v>
      </c>
      <c r="T384" s="567"/>
      <c r="U384" s="567">
        <f>SUM(O384:S384)</f>
        <v>1010.838276736</v>
      </c>
      <c r="V384" s="632">
        <f>U384/G384*100</f>
        <v>17.497599999999998</v>
      </c>
      <c r="W384" s="538">
        <f>U384-J384</f>
        <v>0</v>
      </c>
      <c r="X384" s="604"/>
      <c r="Y384" s="534"/>
      <c r="Z384" s="501"/>
      <c r="AA384" s="738"/>
      <c r="AC384" s="738"/>
      <c r="AE384" s="744"/>
    </row>
    <row r="385" spans="1:31">
      <c r="A385" s="6">
        <f>MAX(A$350:A384)+1</f>
        <v>181</v>
      </c>
      <c r="B385" s="58"/>
      <c r="C385" s="12" t="s">
        <v>307</v>
      </c>
      <c r="D385" s="58"/>
      <c r="E385" s="522" t="s">
        <v>262</v>
      </c>
      <c r="F385" s="58"/>
      <c r="G385" s="536">
        <v>9854.0479600000017</v>
      </c>
      <c r="H385" s="58"/>
      <c r="I385" s="547">
        <v>19.964200000000002</v>
      </c>
      <c r="J385" s="538">
        <f>G385*I385/100</f>
        <v>1967.2818428303206</v>
      </c>
      <c r="K385" s="538"/>
      <c r="L385" s="29">
        <v>0</v>
      </c>
      <c r="M385" s="29">
        <v>0</v>
      </c>
      <c r="N385" s="29">
        <v>0</v>
      </c>
      <c r="O385" s="538">
        <f>J385-L385-M385-N385</f>
        <v>1967.2818428303206</v>
      </c>
      <c r="P385" s="564"/>
      <c r="Q385" s="29">
        <v>0</v>
      </c>
      <c r="R385" s="29">
        <v>0</v>
      </c>
      <c r="S385" s="29">
        <v>0</v>
      </c>
      <c r="T385" s="539"/>
      <c r="U385" s="567">
        <f>SUM(O385:S385)</f>
        <v>1967.2818428303206</v>
      </c>
      <c r="V385" s="632">
        <f>U385/G385*100</f>
        <v>19.964200000000002</v>
      </c>
      <c r="W385" s="538">
        <f>U385-J385</f>
        <v>0</v>
      </c>
      <c r="X385" s="604"/>
      <c r="Y385" s="534"/>
      <c r="Z385" s="501"/>
      <c r="AA385" s="738"/>
      <c r="AC385" s="738"/>
      <c r="AE385" s="744"/>
    </row>
    <row r="386" spans="1:31">
      <c r="A386" s="6">
        <f>MAX(A$350:A385)+1</f>
        <v>182</v>
      </c>
      <c r="B386" s="58"/>
      <c r="C386" s="10" t="s">
        <v>270</v>
      </c>
      <c r="D386" s="58"/>
      <c r="E386" s="522"/>
      <c r="F386" s="58"/>
      <c r="G386" s="411">
        <f>SUM(G384:G385)</f>
        <v>15631.058960000002</v>
      </c>
      <c r="H386" s="58"/>
      <c r="I386" s="556">
        <f>J386/G386*100</f>
        <v>19.052580680473106</v>
      </c>
      <c r="J386" s="555">
        <f t="shared" ref="J386" si="182">SUM(J384:J385)</f>
        <v>2978.1201195663207</v>
      </c>
      <c r="K386" s="538"/>
      <c r="L386" s="555">
        <f>SUM(L384:L385)</f>
        <v>0</v>
      </c>
      <c r="M386" s="555">
        <f t="shared" ref="M386:O386" si="183">SUM(M384:M385)</f>
        <v>0</v>
      </c>
      <c r="N386" s="555">
        <f t="shared" si="183"/>
        <v>0</v>
      </c>
      <c r="O386" s="555">
        <f t="shared" si="183"/>
        <v>2978.1201195663207</v>
      </c>
      <c r="P386" s="564"/>
      <c r="Q386" s="619">
        <f>SUM(Q384:Q385)</f>
        <v>0</v>
      </c>
      <c r="R386" s="619">
        <f t="shared" ref="R386:S386" si="184">SUM(R384:R385)</f>
        <v>0</v>
      </c>
      <c r="S386" s="619">
        <f t="shared" si="184"/>
        <v>0</v>
      </c>
      <c r="T386" s="564"/>
      <c r="U386" s="554">
        <f>SUM(U384:U385)</f>
        <v>2978.1201195663207</v>
      </c>
      <c r="V386" s="556">
        <f>U386/G386*100</f>
        <v>19.052580680473106</v>
      </c>
      <c r="W386" s="555">
        <f>SUM(W384:W385)</f>
        <v>0</v>
      </c>
      <c r="X386" s="609">
        <f>V386/I386-1</f>
        <v>0</v>
      </c>
      <c r="Y386" s="541"/>
      <c r="Z386" s="501"/>
      <c r="AA386" s="738"/>
      <c r="AC386" s="738"/>
      <c r="AE386" s="744"/>
    </row>
    <row r="387" spans="1:31">
      <c r="A387" s="6"/>
      <c r="B387" s="58"/>
      <c r="C387" s="10"/>
      <c r="D387" s="58"/>
      <c r="E387" s="30"/>
      <c r="F387" s="58"/>
      <c r="G387" s="29"/>
      <c r="H387" s="58"/>
      <c r="I387" s="548"/>
      <c r="J387" s="538"/>
      <c r="K387" s="534"/>
      <c r="L387" s="538"/>
      <c r="M387" s="538"/>
      <c r="N387" s="538"/>
      <c r="O387" s="538"/>
      <c r="P387" s="564"/>
      <c r="Q387" s="538"/>
      <c r="R387" s="538"/>
      <c r="S387" s="538"/>
      <c r="T387" s="539"/>
      <c r="U387" s="539"/>
      <c r="V387" s="548"/>
      <c r="W387" s="534"/>
      <c r="X387" s="604"/>
      <c r="Y387" s="534"/>
      <c r="Z387" s="501"/>
      <c r="AA387" s="738"/>
      <c r="AC387" s="738"/>
      <c r="AE387" s="744"/>
    </row>
    <row r="388" spans="1:31" ht="12.95" thickBot="1">
      <c r="A388" s="6">
        <f>MAX(A$350:A387)+1</f>
        <v>183</v>
      </c>
      <c r="B388" s="58"/>
      <c r="C388" s="10" t="s">
        <v>332</v>
      </c>
      <c r="D388" s="58"/>
      <c r="E388" s="30"/>
      <c r="F388" s="58"/>
      <c r="G388" s="439">
        <f>G360</f>
        <v>929101.10525000002</v>
      </c>
      <c r="H388" s="58"/>
      <c r="I388" s="572">
        <f>J388/G388*100</f>
        <v>1.0422268560496606</v>
      </c>
      <c r="J388" s="628">
        <f t="shared" ref="J388" si="185">J360+J362+J376+J381+J386</f>
        <v>9683.3412387697226</v>
      </c>
      <c r="K388" s="539"/>
      <c r="L388" s="628">
        <f>L360+L362+L376+L381+L386</f>
        <v>67.252376714950017</v>
      </c>
      <c r="M388" s="628">
        <f t="shared" ref="M388:O388" si="186">M360+M362+M376+M381+M386</f>
        <v>40.689596186354336</v>
      </c>
      <c r="N388" s="628">
        <f t="shared" si="186"/>
        <v>166.77869668835763</v>
      </c>
      <c r="O388" s="628">
        <f t="shared" si="186"/>
        <v>9408.6205691800606</v>
      </c>
      <c r="P388" s="564"/>
      <c r="Q388" s="628">
        <f>Q360+Q362+Q376+Q381+Q386</f>
        <v>63.040600164493227</v>
      </c>
      <c r="R388" s="628">
        <f t="shared" ref="R388:S388" si="187">R360+R362+R376+R381+R386</f>
        <v>49.983258894016153</v>
      </c>
      <c r="S388" s="628">
        <f t="shared" si="187"/>
        <v>166.96667014756673</v>
      </c>
      <c r="T388" s="539"/>
      <c r="U388" s="627">
        <f>U360+U362+U376+U381+U386</f>
        <v>9688.6110983861381</v>
      </c>
      <c r="V388" s="572">
        <f>U388/G388*100</f>
        <v>1.0427940558502675</v>
      </c>
      <c r="W388" s="798">
        <f>W365+W376+W381+W386</f>
        <v>5.2698596164142062</v>
      </c>
      <c r="X388" s="615">
        <f>V388/I388-1</f>
        <v>5.4421913743118999E-4</v>
      </c>
      <c r="Y388" s="541"/>
      <c r="Z388" s="501"/>
      <c r="AA388" s="738"/>
      <c r="AC388" s="738"/>
      <c r="AE388" s="744"/>
    </row>
    <row r="389" spans="1:31" ht="12.95" thickTop="1">
      <c r="A389" s="6"/>
      <c r="E389" s="30"/>
      <c r="G389" s="29"/>
      <c r="J389" s="501"/>
      <c r="K389" s="501"/>
      <c r="L389" s="501"/>
      <c r="M389" s="501"/>
      <c r="N389" s="501"/>
      <c r="O389" s="501"/>
      <c r="Q389" s="501"/>
      <c r="R389" s="501"/>
      <c r="S389" s="501"/>
      <c r="W389" s="501"/>
      <c r="X389" s="605"/>
      <c r="Y389" s="501"/>
      <c r="Z389" s="501"/>
      <c r="AC389" s="738"/>
    </row>
    <row r="390" spans="1:31">
      <c r="A390" s="6"/>
      <c r="B390" s="58"/>
      <c r="C390" s="9" t="s">
        <v>143</v>
      </c>
      <c r="D390" s="58"/>
      <c r="E390" s="574"/>
      <c r="F390" s="58"/>
      <c r="G390" s="29"/>
      <c r="H390" s="58"/>
      <c r="I390" s="58"/>
      <c r="J390" s="501"/>
      <c r="K390" s="501"/>
      <c r="L390" s="501"/>
      <c r="M390" s="501"/>
      <c r="N390" s="501"/>
      <c r="O390" s="501"/>
      <c r="P390" s="58"/>
      <c r="Q390" s="501"/>
      <c r="R390" s="501"/>
      <c r="S390" s="501"/>
      <c r="T390" s="58"/>
      <c r="U390" s="58"/>
      <c r="V390" s="58"/>
      <c r="W390" s="501"/>
      <c r="X390" s="605"/>
      <c r="Y390" s="501"/>
      <c r="Z390" s="501"/>
      <c r="AC390" s="738"/>
    </row>
    <row r="391" spans="1:31">
      <c r="A391" s="6">
        <f>MAX(A$350:A390)+1</f>
        <v>184</v>
      </c>
      <c r="B391" s="58"/>
      <c r="C391" s="12" t="s">
        <v>258</v>
      </c>
      <c r="D391" s="58"/>
      <c r="E391" s="574" t="s">
        <v>259</v>
      </c>
      <c r="F391" s="58"/>
      <c r="G391" s="29">
        <v>863.99999999999602</v>
      </c>
      <c r="H391" s="58"/>
      <c r="I391" s="29">
        <v>0</v>
      </c>
      <c r="J391" s="538">
        <v>0</v>
      </c>
      <c r="K391" s="538"/>
      <c r="L391" s="29">
        <v>0</v>
      </c>
      <c r="M391" s="29">
        <v>0</v>
      </c>
      <c r="N391" s="29">
        <v>0</v>
      </c>
      <c r="O391" s="538">
        <v>0</v>
      </c>
      <c r="P391" s="564"/>
      <c r="Q391" s="29">
        <v>0</v>
      </c>
      <c r="R391" s="29">
        <v>0</v>
      </c>
      <c r="S391" s="29">
        <v>0</v>
      </c>
      <c r="T391" s="564"/>
      <c r="U391" s="564">
        <v>0</v>
      </c>
      <c r="V391" s="564">
        <v>0</v>
      </c>
      <c r="W391" s="538">
        <v>0</v>
      </c>
      <c r="X391" s="599"/>
      <c r="Y391" s="541"/>
      <c r="Z391" s="501"/>
      <c r="AA391" s="738"/>
      <c r="AC391" s="738"/>
      <c r="AE391" s="739"/>
    </row>
    <row r="392" spans="1:31">
      <c r="A392" s="6">
        <f>MAX(A$350:A391)+1</f>
        <v>185</v>
      </c>
      <c r="B392" s="58"/>
      <c r="C392" s="12" t="s">
        <v>333</v>
      </c>
      <c r="D392" s="58"/>
      <c r="E392" s="522" t="s">
        <v>262</v>
      </c>
      <c r="F392" s="58"/>
      <c r="G392" s="29">
        <v>126830.75640999997</v>
      </c>
      <c r="H392" s="58"/>
      <c r="I392" s="547">
        <v>1.06E-2</v>
      </c>
      <c r="J392" s="538">
        <f>G392*I392/100</f>
        <v>13.444060179459997</v>
      </c>
      <c r="K392" s="538"/>
      <c r="L392" s="29">
        <v>13.444060179459997</v>
      </c>
      <c r="M392" s="538">
        <v>0</v>
      </c>
      <c r="N392" s="538">
        <v>0</v>
      </c>
      <c r="O392" s="538">
        <f>J392-L392-M392-N392</f>
        <v>0</v>
      </c>
      <c r="P392" s="564"/>
      <c r="Q392" s="29">
        <v>12.602106628185849</v>
      </c>
      <c r="R392" s="29">
        <v>0</v>
      </c>
      <c r="S392" s="29">
        <v>0</v>
      </c>
      <c r="T392" s="539"/>
      <c r="U392" s="538">
        <f>SUM(O392:S392)</f>
        <v>12.602106628185849</v>
      </c>
      <c r="V392" s="680">
        <f>U392/G392*100</f>
        <v>9.9361597966408071E-3</v>
      </c>
      <c r="W392" s="549">
        <f>U392-J392</f>
        <v>-0.84195355127414828</v>
      </c>
      <c r="X392" s="796">
        <f>V392/I392-1</f>
        <v>-6.2626434279169141E-2</v>
      </c>
      <c r="Y392" s="541"/>
      <c r="Z392" s="501"/>
      <c r="AA392" s="738"/>
      <c r="AC392" s="738"/>
      <c r="AE392" s="744"/>
    </row>
    <row r="393" spans="1:31">
      <c r="A393" s="6">
        <f>MAX(A$350:A392)+1</f>
        <v>186</v>
      </c>
      <c r="B393" s="58"/>
      <c r="C393" s="12" t="s">
        <v>480</v>
      </c>
      <c r="D393" s="58"/>
      <c r="E393" s="522" t="s">
        <v>262</v>
      </c>
      <c r="F393" s="58"/>
      <c r="G393" s="29">
        <v>12203.927079999999</v>
      </c>
      <c r="H393" s="58"/>
      <c r="I393" s="547">
        <v>1.06E-2</v>
      </c>
      <c r="J393" s="538">
        <f t="shared" ref="J393" si="188">G393*I393/100</f>
        <v>1.2936162704800001</v>
      </c>
      <c r="K393" s="538"/>
      <c r="L393" s="29">
        <v>1.2936162704800001</v>
      </c>
      <c r="M393" s="538">
        <v>0</v>
      </c>
      <c r="N393" s="538">
        <v>0</v>
      </c>
      <c r="O393" s="538">
        <f t="shared" ref="O393:O394" si="189">J393-L393-M393-N393</f>
        <v>0</v>
      </c>
      <c r="P393" s="564"/>
      <c r="Q393" s="29">
        <v>1.2126016961343202</v>
      </c>
      <c r="R393" s="29">
        <v>0</v>
      </c>
      <c r="S393" s="29">
        <v>0</v>
      </c>
      <c r="T393" s="539"/>
      <c r="U393" s="538">
        <f>SUM(O393:S393)</f>
        <v>1.2126016961343202</v>
      </c>
      <c r="V393" s="680">
        <f>U393/G393*100</f>
        <v>9.9361597966408071E-3</v>
      </c>
      <c r="W393" s="549">
        <f t="shared" ref="W393:W394" si="190">U393-J393</f>
        <v>-8.1014574345679824E-2</v>
      </c>
      <c r="X393" s="796">
        <f>V393/I393-1</f>
        <v>-6.2626434279169141E-2</v>
      </c>
      <c r="Y393" s="541"/>
      <c r="Z393" s="501"/>
      <c r="AA393" s="738"/>
      <c r="AC393" s="738"/>
      <c r="AE393" s="744"/>
    </row>
    <row r="394" spans="1:31">
      <c r="A394" s="6">
        <f>MAX(A$350:A393)+1</f>
        <v>187</v>
      </c>
      <c r="B394" s="58"/>
      <c r="C394" s="12" t="s">
        <v>322</v>
      </c>
      <c r="D394" s="58"/>
      <c r="E394" s="574" t="s">
        <v>259</v>
      </c>
      <c r="F394" s="58"/>
      <c r="G394" s="29">
        <v>167.99999999999986</v>
      </c>
      <c r="H394" s="58"/>
      <c r="I394" s="29">
        <v>0</v>
      </c>
      <c r="J394" s="538">
        <f>G394*I394/100</f>
        <v>0</v>
      </c>
      <c r="K394" s="538"/>
      <c r="L394" s="29">
        <v>0</v>
      </c>
      <c r="M394" s="29">
        <v>0</v>
      </c>
      <c r="N394" s="29">
        <v>0</v>
      </c>
      <c r="O394" s="538">
        <f t="shared" si="189"/>
        <v>0</v>
      </c>
      <c r="P394" s="564"/>
      <c r="Q394" s="538">
        <v>0</v>
      </c>
      <c r="R394" s="29">
        <v>0</v>
      </c>
      <c r="S394" s="29">
        <v>0</v>
      </c>
      <c r="T394" s="539"/>
      <c r="U394" s="564">
        <f>SUM(Q394:S394)</f>
        <v>0</v>
      </c>
      <c r="V394" s="564">
        <v>0</v>
      </c>
      <c r="W394" s="538">
        <f t="shared" si="190"/>
        <v>0</v>
      </c>
      <c r="X394" s="576"/>
      <c r="Y394" s="541"/>
      <c r="Z394" s="501"/>
      <c r="AA394" s="738"/>
      <c r="AC394" s="738"/>
      <c r="AE394" s="744"/>
    </row>
    <row r="395" spans="1:31">
      <c r="A395" s="6">
        <f>MAX(A$350:A394)+1</f>
        <v>188</v>
      </c>
      <c r="B395" s="58"/>
      <c r="C395" s="10" t="s">
        <v>266</v>
      </c>
      <c r="D395" s="58"/>
      <c r="E395" s="574"/>
      <c r="F395" s="58"/>
      <c r="G395" s="411">
        <f>SUM(G391:G394)</f>
        <v>140066.68348999997</v>
      </c>
      <c r="H395" s="58"/>
      <c r="I395" s="566">
        <f>J395/G395*100</f>
        <v>1.0521900056976926E-2</v>
      </c>
      <c r="J395" s="411">
        <f t="shared" ref="J395" si="191">SUM(J392:J394)</f>
        <v>14.737676449939997</v>
      </c>
      <c r="K395" s="29"/>
      <c r="L395" s="411">
        <f>SUM(L392:L394)</f>
        <v>14.737676449939997</v>
      </c>
      <c r="M395" s="411">
        <f t="shared" ref="M395:U395" si="192">SUM(M392:M394)</f>
        <v>0</v>
      </c>
      <c r="N395" s="411">
        <f t="shared" si="192"/>
        <v>0</v>
      </c>
      <c r="O395" s="411">
        <f t="shared" si="192"/>
        <v>0</v>
      </c>
      <c r="P395" s="29"/>
      <c r="Q395" s="411">
        <f t="shared" si="192"/>
        <v>13.814708324320168</v>
      </c>
      <c r="R395" s="411">
        <f t="shared" si="192"/>
        <v>0</v>
      </c>
      <c r="S395" s="411">
        <f t="shared" si="192"/>
        <v>0</v>
      </c>
      <c r="T395" s="29"/>
      <c r="U395" s="411">
        <f t="shared" si="192"/>
        <v>13.814708324320168</v>
      </c>
      <c r="V395" s="592">
        <f>U395/G395*100</f>
        <v>9.8629509745666727E-3</v>
      </c>
      <c r="W395" s="557">
        <f>SUM(W392:W394)</f>
        <v>-0.92296812561982811</v>
      </c>
      <c r="X395" s="795">
        <f>V395/I395-1</f>
        <v>-6.2626434279169252E-2</v>
      </c>
      <c r="Y395" s="541"/>
      <c r="Z395" s="501"/>
      <c r="AA395" s="738"/>
      <c r="AC395" s="738"/>
      <c r="AE395" s="744"/>
    </row>
    <row r="396" spans="1:31">
      <c r="A396" s="6"/>
      <c r="G396" s="129"/>
      <c r="I396" s="632"/>
      <c r="J396" s="538"/>
      <c r="K396" s="538"/>
      <c r="L396" s="538"/>
      <c r="M396" s="538"/>
      <c r="N396" s="538"/>
      <c r="O396" s="538"/>
      <c r="P396" s="64"/>
      <c r="Q396" s="538"/>
      <c r="R396" s="538"/>
      <c r="S396" s="538"/>
      <c r="T396" s="567"/>
      <c r="U396" s="567"/>
      <c r="V396" s="564"/>
      <c r="W396" s="549"/>
      <c r="X396" s="576"/>
      <c r="Y396" s="534"/>
      <c r="Z396" s="501"/>
      <c r="AA396" s="738"/>
      <c r="AC396" s="738"/>
      <c r="AE396" s="744"/>
    </row>
    <row r="397" spans="1:31">
      <c r="A397" s="6">
        <f>MAX(A$350:A396)+1</f>
        <v>189</v>
      </c>
      <c r="B397" s="58"/>
      <c r="C397" s="10" t="s">
        <v>268</v>
      </c>
      <c r="D397" s="58"/>
      <c r="E397" s="522" t="s">
        <v>262</v>
      </c>
      <c r="F397" s="58"/>
      <c r="G397" s="29">
        <v>5702.7569299999996</v>
      </c>
      <c r="H397" s="58"/>
      <c r="I397" s="547">
        <v>1.3650829496412635</v>
      </c>
      <c r="J397" s="538">
        <f>G397*I397/100</f>
        <v>77.847362510915559</v>
      </c>
      <c r="K397" s="538"/>
      <c r="L397" s="29">
        <v>0</v>
      </c>
      <c r="M397" s="29">
        <v>0</v>
      </c>
      <c r="N397" s="29">
        <v>0</v>
      </c>
      <c r="O397" s="538">
        <f>J397-L397-M397-N397</f>
        <v>77.847362510915559</v>
      </c>
      <c r="P397" s="564"/>
      <c r="Q397" s="29">
        <v>0</v>
      </c>
      <c r="R397" s="29">
        <v>0</v>
      </c>
      <c r="S397" s="29">
        <v>0</v>
      </c>
      <c r="T397" s="539"/>
      <c r="U397" s="621">
        <f>SUM(O397:S397)</f>
        <v>77.847362510915559</v>
      </c>
      <c r="V397" s="680">
        <f>U397/G397*100</f>
        <v>1.3650829496412635</v>
      </c>
      <c r="W397" s="538">
        <f>U397-J397</f>
        <v>0</v>
      </c>
      <c r="X397" s="559">
        <f>V397/I397-1</f>
        <v>0</v>
      </c>
      <c r="Y397" s="559"/>
      <c r="Z397" s="501"/>
      <c r="AA397" s="738"/>
      <c r="AC397" s="738"/>
      <c r="AE397" s="744"/>
    </row>
    <row r="398" spans="1:31">
      <c r="A398" s="6"/>
      <c r="B398" s="58"/>
      <c r="D398" s="58"/>
      <c r="E398" s="30"/>
      <c r="F398" s="58"/>
      <c r="G398" s="29"/>
      <c r="H398" s="58"/>
      <c r="I398" s="548"/>
      <c r="J398" s="538"/>
      <c r="K398" s="538"/>
      <c r="L398" s="538"/>
      <c r="M398" s="538"/>
      <c r="N398" s="538"/>
      <c r="O398" s="538"/>
      <c r="P398" s="564"/>
      <c r="Q398" s="538"/>
      <c r="R398" s="538"/>
      <c r="S398" s="538"/>
      <c r="T398" s="539"/>
      <c r="U398" s="621"/>
      <c r="V398" s="539"/>
      <c r="W398" s="549"/>
      <c r="X398" s="604"/>
      <c r="Y398" s="534"/>
      <c r="Z398" s="501"/>
      <c r="AA398" s="738"/>
      <c r="AC398" s="738"/>
    </row>
    <row r="399" spans="1:31">
      <c r="A399" s="6"/>
      <c r="B399" s="58"/>
      <c r="C399" s="10" t="s">
        <v>270</v>
      </c>
      <c r="D399" s="58"/>
      <c r="E399" s="30"/>
      <c r="F399" s="58"/>
      <c r="G399" s="29"/>
      <c r="H399" s="58"/>
      <c r="I399" s="548"/>
      <c r="J399" s="538"/>
      <c r="K399" s="538"/>
      <c r="L399" s="538"/>
      <c r="M399" s="538"/>
      <c r="N399" s="538"/>
      <c r="O399" s="538"/>
      <c r="P399" s="564"/>
      <c r="Q399" s="538"/>
      <c r="R399" s="538"/>
      <c r="S399" s="538"/>
      <c r="T399" s="539"/>
      <c r="U399" s="621"/>
      <c r="V399" s="539"/>
      <c r="W399" s="549"/>
      <c r="X399" s="604"/>
      <c r="Y399" s="534"/>
      <c r="Z399" s="501"/>
      <c r="AA399" s="738"/>
      <c r="AC399" s="738"/>
    </row>
    <row r="400" spans="1:31">
      <c r="A400" s="6">
        <f>MAX(A$350:A399)+1</f>
        <v>190</v>
      </c>
      <c r="B400" s="58"/>
      <c r="C400" s="12" t="s">
        <v>306</v>
      </c>
      <c r="D400" s="58"/>
      <c r="E400" s="522" t="s">
        <v>262</v>
      </c>
      <c r="F400" s="58"/>
      <c r="G400" s="29">
        <v>5109.6999900000001</v>
      </c>
      <c r="H400" s="58"/>
      <c r="I400" s="547">
        <v>21.204478924585242</v>
      </c>
      <c r="J400" s="538">
        <f>G400*I400/100</f>
        <v>1083.4852574890842</v>
      </c>
      <c r="K400" s="29"/>
      <c r="L400" s="29">
        <v>0</v>
      </c>
      <c r="M400" s="29">
        <v>0</v>
      </c>
      <c r="N400" s="29">
        <v>0</v>
      </c>
      <c r="O400" s="29">
        <v>1083.4852574890842</v>
      </c>
      <c r="P400" s="564"/>
      <c r="Q400" s="29">
        <v>0</v>
      </c>
      <c r="R400" s="29">
        <v>0</v>
      </c>
      <c r="S400" s="29">
        <v>0</v>
      </c>
      <c r="T400" s="539"/>
      <c r="U400" s="621">
        <f t="shared" ref="U400:U401" si="193">SUM(O400:S400)</f>
        <v>1083.4852574890842</v>
      </c>
      <c r="V400" s="680">
        <f>U400/G400*100</f>
        <v>21.204478924585242</v>
      </c>
      <c r="W400" s="538">
        <f>U400-J400</f>
        <v>0</v>
      </c>
      <c r="X400" s="604"/>
      <c r="Y400" s="534"/>
      <c r="Z400" s="501"/>
      <c r="AA400" s="738"/>
      <c r="AC400" s="738"/>
      <c r="AE400" s="744"/>
    </row>
    <row r="401" spans="1:35">
      <c r="A401" s="6">
        <f>MAX(A$350:A400)+1</f>
        <v>191</v>
      </c>
      <c r="B401" s="58"/>
      <c r="C401" s="12" t="s">
        <v>307</v>
      </c>
      <c r="D401" s="58"/>
      <c r="E401" s="522" t="s">
        <v>262</v>
      </c>
      <c r="F401" s="58"/>
      <c r="G401" s="29">
        <v>593.05693999999994</v>
      </c>
      <c r="H401" s="58"/>
      <c r="I401" s="547">
        <v>24.052880223452743</v>
      </c>
      <c r="J401" s="538">
        <f t="shared" ref="J401" si="194">G401*I401/100</f>
        <v>142.64727543507399</v>
      </c>
      <c r="K401" s="29"/>
      <c r="L401" s="29">
        <v>0</v>
      </c>
      <c r="M401" s="29">
        <v>0</v>
      </c>
      <c r="N401" s="29">
        <v>0</v>
      </c>
      <c r="O401" s="29">
        <v>142.64727543507399</v>
      </c>
      <c r="P401" s="564"/>
      <c r="Q401" s="29">
        <v>0</v>
      </c>
      <c r="R401" s="29">
        <v>0</v>
      </c>
      <c r="S401" s="29">
        <v>0</v>
      </c>
      <c r="T401" s="539"/>
      <c r="U401" s="621">
        <f t="shared" si="193"/>
        <v>142.64727543507399</v>
      </c>
      <c r="V401" s="680">
        <f>U401/G401*100</f>
        <v>24.052880223452743</v>
      </c>
      <c r="W401" s="538">
        <f>U401-J401</f>
        <v>0</v>
      </c>
      <c r="X401" s="604"/>
      <c r="Y401" s="534"/>
      <c r="Z401" s="501"/>
      <c r="AA401" s="738"/>
      <c r="AC401" s="738"/>
      <c r="AE401" s="744"/>
    </row>
    <row r="402" spans="1:35">
      <c r="A402" s="6">
        <f>MAX(A$350:A401)+1</f>
        <v>192</v>
      </c>
      <c r="B402" s="58"/>
      <c r="C402" s="10" t="s">
        <v>270</v>
      </c>
      <c r="D402" s="58"/>
      <c r="E402" s="30"/>
      <c r="F402" s="58"/>
      <c r="G402" s="131">
        <f>SUM(G400:G401)</f>
        <v>5702.7569299999996</v>
      </c>
      <c r="H402" s="58"/>
      <c r="I402" s="556">
        <f>J402/G402*100</f>
        <v>21.500697784854705</v>
      </c>
      <c r="J402" s="555">
        <f t="shared" ref="J402" si="195">SUM(J400:J401)</f>
        <v>1226.1325329241581</v>
      </c>
      <c r="K402" s="538"/>
      <c r="L402" s="555">
        <f>SUM(L400:L401)</f>
        <v>0</v>
      </c>
      <c r="M402" s="555">
        <f t="shared" ref="M402:O402" si="196">SUM(M400:M401)</f>
        <v>0</v>
      </c>
      <c r="N402" s="555">
        <f t="shared" si="196"/>
        <v>0</v>
      </c>
      <c r="O402" s="555">
        <f t="shared" si="196"/>
        <v>1226.1325329241581</v>
      </c>
      <c r="P402" s="564"/>
      <c r="Q402" s="619">
        <f>SUM(Q400:Q401)</f>
        <v>0</v>
      </c>
      <c r="R402" s="619">
        <f t="shared" ref="R402:S402" si="197">SUM(R400:R401)</f>
        <v>0</v>
      </c>
      <c r="S402" s="619">
        <f t="shared" si="197"/>
        <v>0</v>
      </c>
      <c r="T402" s="539"/>
      <c r="U402" s="555">
        <f>SUM(U400:U401)</f>
        <v>1226.1325329241581</v>
      </c>
      <c r="V402" s="677">
        <f>U402/G402*100</f>
        <v>21.500697784854705</v>
      </c>
      <c r="W402" s="555">
        <f>SUM(W400:W401)</f>
        <v>0</v>
      </c>
      <c r="X402" s="609">
        <f>V402/I402-1</f>
        <v>0</v>
      </c>
      <c r="Y402" s="541"/>
      <c r="Z402" s="501"/>
      <c r="AA402" s="738"/>
      <c r="AC402" s="738"/>
      <c r="AE402" s="744"/>
    </row>
    <row r="403" spans="1:35">
      <c r="A403" s="6"/>
      <c r="B403" s="58"/>
      <c r="D403" s="58"/>
      <c r="E403" s="574"/>
      <c r="F403" s="58"/>
      <c r="G403" s="132"/>
      <c r="H403" s="58"/>
      <c r="I403" s="548"/>
      <c r="J403" s="538"/>
      <c r="K403" s="538"/>
      <c r="L403" s="538"/>
      <c r="M403" s="538"/>
      <c r="N403" s="538"/>
      <c r="O403" s="538"/>
      <c r="P403" s="564"/>
      <c r="Q403" s="538"/>
      <c r="R403" s="538"/>
      <c r="S403" s="538"/>
      <c r="T403" s="539"/>
      <c r="U403" s="539"/>
      <c r="V403" s="539"/>
      <c r="W403" s="534"/>
      <c r="X403" s="604"/>
      <c r="Y403" s="534"/>
      <c r="Z403" s="501"/>
      <c r="AA403" s="738"/>
      <c r="AC403" s="738"/>
    </row>
    <row r="404" spans="1:35" ht="13.5" thickBot="1">
      <c r="A404" s="6">
        <f>MAX(A$350:A403)+1</f>
        <v>193</v>
      </c>
      <c r="B404" s="58"/>
      <c r="C404" s="10" t="s">
        <v>335</v>
      </c>
      <c r="D404" s="58"/>
      <c r="E404" s="128"/>
      <c r="F404" s="58"/>
      <c r="G404" s="439">
        <f>G392</f>
        <v>126830.75640999997</v>
      </c>
      <c r="H404" s="58"/>
      <c r="I404" s="572">
        <f>J404/G404*100</f>
        <v>1.0397458859443021</v>
      </c>
      <c r="J404" s="628">
        <f t="shared" ref="J404" si="198">J392+J393+J394+J397+J402</f>
        <v>1318.7175718850137</v>
      </c>
      <c r="K404" s="564"/>
      <c r="L404" s="628">
        <f>L392+L393+L394+L397+L402</f>
        <v>14.737676449939997</v>
      </c>
      <c r="M404" s="628">
        <f t="shared" ref="M404:U404" si="199">M392+M393+M394+M397+M402</f>
        <v>0</v>
      </c>
      <c r="N404" s="628">
        <f t="shared" si="199"/>
        <v>0</v>
      </c>
      <c r="O404" s="628">
        <f t="shared" si="199"/>
        <v>1303.9798954350736</v>
      </c>
      <c r="P404" s="564"/>
      <c r="Q404" s="628">
        <f t="shared" si="199"/>
        <v>13.814708324320168</v>
      </c>
      <c r="R404" s="628">
        <f t="shared" si="199"/>
        <v>0</v>
      </c>
      <c r="S404" s="628">
        <f t="shared" si="199"/>
        <v>0</v>
      </c>
      <c r="T404" s="564"/>
      <c r="U404" s="628">
        <f t="shared" si="199"/>
        <v>1317.7946037593938</v>
      </c>
      <c r="V404" s="651">
        <f>U404/G404*100</f>
        <v>1.0390181696144898</v>
      </c>
      <c r="W404" s="638">
        <f>W395+W397+W402</f>
        <v>-0.92296812561982811</v>
      </c>
      <c r="X404" s="799">
        <f>V404/I404-1</f>
        <v>-6.9989825365013303E-4</v>
      </c>
      <c r="Y404" s="630"/>
      <c r="Z404" s="501"/>
      <c r="AA404" s="738"/>
      <c r="AC404" s="738"/>
      <c r="AE404" s="744"/>
    </row>
    <row r="405" spans="1:35" ht="13.5" thickTop="1">
      <c r="A405" s="6"/>
      <c r="B405" s="58"/>
      <c r="C405" s="10"/>
      <c r="D405" s="58"/>
      <c r="E405" s="128"/>
      <c r="F405" s="58"/>
      <c r="G405" s="132"/>
      <c r="H405" s="58"/>
      <c r="I405" s="548"/>
      <c r="J405" s="564"/>
      <c r="K405" s="564"/>
      <c r="L405" s="564"/>
      <c r="M405" s="564"/>
      <c r="N405" s="564"/>
      <c r="O405" s="564"/>
      <c r="P405" s="564"/>
      <c r="Q405" s="564"/>
      <c r="R405" s="564"/>
      <c r="S405" s="564"/>
      <c r="T405" s="539"/>
      <c r="U405" s="539"/>
      <c r="V405" s="680"/>
      <c r="W405" s="539"/>
      <c r="X405" s="783"/>
      <c r="Y405" s="630"/>
      <c r="Z405" s="501"/>
      <c r="AA405" s="738"/>
      <c r="AC405" s="738"/>
      <c r="AE405" s="744"/>
    </row>
    <row r="406" spans="1:35" ht="12.95">
      <c r="A406" s="6"/>
      <c r="B406" s="58"/>
      <c r="C406" s="10"/>
      <c r="D406" s="58"/>
      <c r="E406" s="128"/>
      <c r="F406" s="58"/>
      <c r="G406" s="132"/>
      <c r="H406" s="58"/>
      <c r="I406" s="548"/>
      <c r="J406" s="564"/>
      <c r="K406" s="564"/>
      <c r="L406" s="564"/>
      <c r="M406" s="564"/>
      <c r="N406" s="564"/>
      <c r="O406" s="564"/>
      <c r="P406" s="564"/>
      <c r="Q406" s="564"/>
      <c r="R406" s="564"/>
      <c r="S406" s="564"/>
      <c r="T406" s="539"/>
      <c r="U406" s="539"/>
      <c r="V406" s="680"/>
      <c r="W406" s="539"/>
      <c r="X406" s="783"/>
      <c r="Y406" s="630"/>
      <c r="Z406" s="501"/>
      <c r="AA406" s="738"/>
      <c r="AC406" s="738"/>
      <c r="AE406" s="744"/>
    </row>
    <row r="407" spans="1:35">
      <c r="J407" s="501"/>
      <c r="K407" s="501"/>
      <c r="L407" s="2"/>
      <c r="M407" s="2"/>
      <c r="N407" s="501"/>
      <c r="O407" s="501"/>
      <c r="Q407" s="501"/>
      <c r="R407" s="501"/>
      <c r="S407" s="501"/>
      <c r="W407" s="538"/>
      <c r="X407" s="522"/>
      <c r="Y407" s="501"/>
      <c r="Z407" s="501"/>
      <c r="AA407" s="738"/>
      <c r="AC407" s="738"/>
      <c r="AE407" s="744"/>
    </row>
    <row r="408" spans="1:35">
      <c r="J408" s="501"/>
      <c r="K408" s="501"/>
      <c r="L408" s="2"/>
      <c r="M408" s="2"/>
      <c r="N408" s="501"/>
      <c r="O408" s="501"/>
      <c r="Q408" s="501"/>
      <c r="R408" s="501"/>
      <c r="S408" s="501"/>
      <c r="W408" s="501"/>
      <c r="X408" s="522"/>
      <c r="Y408" s="501"/>
      <c r="Z408" s="501"/>
      <c r="AA408" s="738"/>
      <c r="AC408" s="738"/>
      <c r="AE408" s="744"/>
    </row>
    <row r="409" spans="1:35" ht="15" customHeight="1">
      <c r="A409" s="1156" t="s">
        <v>279</v>
      </c>
      <c r="B409" s="1156"/>
      <c r="C409" s="1156"/>
      <c r="D409" s="1156"/>
      <c r="E409" s="1156"/>
      <c r="F409" s="1156"/>
      <c r="G409" s="1156"/>
      <c r="H409" s="1156"/>
      <c r="I409" s="1156"/>
      <c r="J409" s="1156"/>
      <c r="K409" s="1156"/>
      <c r="L409" s="1156"/>
      <c r="M409" s="1156"/>
      <c r="N409" s="1156"/>
      <c r="O409" s="1156"/>
      <c r="P409" s="1156"/>
      <c r="Q409" s="1156"/>
      <c r="R409" s="1156"/>
      <c r="S409" s="1156"/>
      <c r="T409" s="1156"/>
      <c r="U409" s="1156"/>
      <c r="V409" s="1156"/>
      <c r="W409" s="1156"/>
      <c r="X409" s="1156"/>
      <c r="Y409" s="779"/>
      <c r="Z409" s="779"/>
      <c r="AA409" s="531"/>
      <c r="AB409" s="531"/>
      <c r="AC409" s="531"/>
      <c r="AD409" s="531"/>
      <c r="AE409" s="531"/>
      <c r="AF409" s="531"/>
      <c r="AG409" s="531"/>
      <c r="AH409" s="531"/>
      <c r="AI409" s="531"/>
    </row>
    <row r="410" spans="1:35" ht="15" customHeight="1">
      <c r="A410" s="1156" t="s">
        <v>499</v>
      </c>
      <c r="B410" s="1156"/>
      <c r="C410" s="1156"/>
      <c r="D410" s="1156"/>
      <c r="E410" s="1156"/>
      <c r="F410" s="1156"/>
      <c r="G410" s="1156"/>
      <c r="H410" s="1156"/>
      <c r="I410" s="1156"/>
      <c r="J410" s="1156"/>
      <c r="K410" s="1156"/>
      <c r="L410" s="1156"/>
      <c r="M410" s="1156"/>
      <c r="N410" s="1156"/>
      <c r="O410" s="1156"/>
      <c r="P410" s="1156"/>
      <c r="Q410" s="1156"/>
      <c r="R410" s="1156"/>
      <c r="S410" s="1156"/>
      <c r="T410" s="1156"/>
      <c r="U410" s="1156"/>
      <c r="V410" s="1156"/>
      <c r="W410" s="1156"/>
      <c r="X410" s="1156"/>
      <c r="Y410" s="779"/>
      <c r="Z410" s="779"/>
      <c r="AA410" s="531"/>
      <c r="AB410" s="531"/>
      <c r="AC410" s="531"/>
      <c r="AD410" s="531"/>
      <c r="AE410" s="531"/>
      <c r="AF410" s="531"/>
      <c r="AG410" s="531"/>
      <c r="AH410" s="531"/>
    </row>
    <row r="411" spans="1:35">
      <c r="J411" s="501"/>
      <c r="K411" s="501"/>
      <c r="L411" s="501"/>
      <c r="M411" s="501"/>
      <c r="N411" s="501"/>
      <c r="O411" s="501"/>
      <c r="Q411" s="501"/>
      <c r="R411" s="501"/>
      <c r="S411" s="501"/>
      <c r="W411" s="501"/>
      <c r="X411" s="522"/>
      <c r="Y411" s="713"/>
      <c r="Z411" s="713"/>
      <c r="AA411" s="738"/>
      <c r="AC411" s="738"/>
      <c r="AE411" s="744"/>
    </row>
    <row r="412" spans="1:35" ht="14.65" customHeight="1">
      <c r="A412" s="57"/>
      <c r="B412" s="57"/>
      <c r="C412" s="57"/>
      <c r="D412" s="57"/>
      <c r="F412" s="57"/>
      <c r="G412" s="1152" t="s">
        <v>231</v>
      </c>
      <c r="H412" s="1152"/>
      <c r="I412" s="1152"/>
      <c r="J412" s="1152"/>
      <c r="K412" s="58"/>
      <c r="L412" s="1152" t="s">
        <v>94</v>
      </c>
      <c r="M412" s="1152"/>
      <c r="N412" s="1152"/>
      <c r="O412" s="58"/>
      <c r="P412" s="3"/>
      <c r="Q412" s="1152" t="s">
        <v>95</v>
      </c>
      <c r="R412" s="1152"/>
      <c r="S412" s="1152"/>
      <c r="T412" s="3"/>
      <c r="U412" s="1152" t="s">
        <v>232</v>
      </c>
      <c r="V412" s="1152"/>
      <c r="W412" s="1152"/>
      <c r="X412" s="1152"/>
      <c r="Y412" s="501"/>
      <c r="Z412" s="501"/>
      <c r="AA412" s="738"/>
      <c r="AC412" s="738"/>
      <c r="AE412" s="744"/>
    </row>
    <row r="413" spans="1:35" ht="37.5">
      <c r="A413" s="5" t="s">
        <v>56</v>
      </c>
      <c r="B413" s="5"/>
      <c r="C413" s="5"/>
      <c r="D413" s="5"/>
      <c r="E413" s="6" t="s">
        <v>233</v>
      </c>
      <c r="F413" s="5"/>
      <c r="G413" s="17" t="s">
        <v>234</v>
      </c>
      <c r="H413" s="5"/>
      <c r="I413" s="17" t="s">
        <v>235</v>
      </c>
      <c r="J413" s="5" t="s">
        <v>101</v>
      </c>
      <c r="K413" s="5"/>
      <c r="L413" s="5" t="s">
        <v>491</v>
      </c>
      <c r="M413" s="5" t="s">
        <v>492</v>
      </c>
      <c r="N413" s="5" t="s">
        <v>493</v>
      </c>
      <c r="O413" s="5" t="s">
        <v>494</v>
      </c>
      <c r="P413" s="5"/>
      <c r="Q413" s="5" t="s">
        <v>491</v>
      </c>
      <c r="R413" s="5" t="s">
        <v>492</v>
      </c>
      <c r="S413" s="5" t="s">
        <v>493</v>
      </c>
      <c r="T413" s="5"/>
      <c r="U413" s="17" t="s">
        <v>113</v>
      </c>
      <c r="V413" s="17" t="s">
        <v>242</v>
      </c>
      <c r="W413" s="17" t="s">
        <v>243</v>
      </c>
      <c r="X413" s="5" t="s">
        <v>244</v>
      </c>
      <c r="Y413" s="6"/>
      <c r="Z413" s="501"/>
      <c r="AA413" s="738"/>
      <c r="AC413" s="738"/>
      <c r="AE413" s="744"/>
    </row>
    <row r="414" spans="1:35" ht="14.45">
      <c r="A414" s="237" t="s">
        <v>57</v>
      </c>
      <c r="B414" s="58"/>
      <c r="C414" s="59" t="s">
        <v>194</v>
      </c>
      <c r="D414" s="58"/>
      <c r="E414" s="237" t="s">
        <v>245</v>
      </c>
      <c r="F414" s="58"/>
      <c r="G414" s="237" t="s">
        <v>246</v>
      </c>
      <c r="H414" s="58"/>
      <c r="I414" s="237" t="s">
        <v>247</v>
      </c>
      <c r="J414" s="237" t="s">
        <v>248</v>
      </c>
      <c r="K414" s="6"/>
      <c r="L414" s="237" t="s">
        <v>248</v>
      </c>
      <c r="M414" s="237" t="s">
        <v>248</v>
      </c>
      <c r="N414" s="237" t="s">
        <v>248</v>
      </c>
      <c r="O414" s="237" t="s">
        <v>248</v>
      </c>
      <c r="P414" s="58"/>
      <c r="Q414" s="237" t="s">
        <v>248</v>
      </c>
      <c r="R414" s="237" t="s">
        <v>248</v>
      </c>
      <c r="S414" s="237" t="s">
        <v>248</v>
      </c>
      <c r="T414" s="58"/>
      <c r="U414" s="237" t="s">
        <v>248</v>
      </c>
      <c r="V414" s="237" t="s">
        <v>247</v>
      </c>
      <c r="W414" s="237" t="s">
        <v>248</v>
      </c>
      <c r="X414" s="237" t="s">
        <v>249</v>
      </c>
      <c r="Y414" s="5"/>
      <c r="Z414" s="501"/>
      <c r="AA414" s="738"/>
      <c r="AC414" s="738"/>
      <c r="AE414" s="744"/>
    </row>
    <row r="415" spans="1:35">
      <c r="A415" s="6"/>
      <c r="B415" s="58"/>
      <c r="C415" s="58"/>
      <c r="D415" s="58"/>
      <c r="E415" s="6"/>
      <c r="F415" s="58"/>
      <c r="G415" s="6" t="s">
        <v>9</v>
      </c>
      <c r="H415" s="6"/>
      <c r="I415" s="6" t="s">
        <v>10</v>
      </c>
      <c r="J415" s="6" t="s">
        <v>58</v>
      </c>
      <c r="K415" s="6"/>
      <c r="L415" s="123" t="s">
        <v>12</v>
      </c>
      <c r="M415" s="123" t="s">
        <v>13</v>
      </c>
      <c r="N415" s="6" t="s">
        <v>115</v>
      </c>
      <c r="O415" s="6" t="s">
        <v>495</v>
      </c>
      <c r="P415" s="6"/>
      <c r="Q415" s="6" t="s">
        <v>210</v>
      </c>
      <c r="R415" s="6" t="s">
        <v>118</v>
      </c>
      <c r="S415" s="6" t="s">
        <v>119</v>
      </c>
      <c r="T415" s="6"/>
      <c r="U415" s="6" t="s">
        <v>496</v>
      </c>
      <c r="V415" s="6" t="s">
        <v>121</v>
      </c>
      <c r="W415" s="6" t="s">
        <v>497</v>
      </c>
      <c r="X415" s="6" t="s">
        <v>498</v>
      </c>
      <c r="Y415" s="6"/>
      <c r="Z415" s="501"/>
      <c r="AA415" s="738"/>
      <c r="AC415" s="738"/>
      <c r="AE415" s="744"/>
    </row>
    <row r="416" spans="1:35" ht="4.3499999999999996" customHeight="1">
      <c r="A416" s="6"/>
      <c r="B416" s="58"/>
      <c r="C416" s="58"/>
      <c r="D416" s="58"/>
      <c r="E416" s="6"/>
      <c r="F416" s="58"/>
      <c r="G416" s="6"/>
      <c r="H416" s="6"/>
      <c r="I416" s="6"/>
      <c r="J416" s="6"/>
      <c r="K416" s="6"/>
      <c r="L416" s="123"/>
      <c r="M416" s="123"/>
      <c r="N416" s="6"/>
      <c r="O416" s="6"/>
      <c r="P416" s="6"/>
      <c r="Q416" s="6"/>
      <c r="R416" s="6"/>
      <c r="S416" s="6"/>
      <c r="T416" s="6"/>
      <c r="U416" s="6"/>
      <c r="V416" s="6"/>
      <c r="W416" s="6"/>
      <c r="X416" s="6"/>
      <c r="Y416" s="501"/>
      <c r="Z416" s="501"/>
      <c r="AC416" s="738"/>
    </row>
    <row r="417" spans="1:31">
      <c r="A417" s="6"/>
      <c r="B417" s="58"/>
      <c r="C417" s="9" t="s">
        <v>129</v>
      </c>
      <c r="D417" s="58"/>
      <c r="E417" s="30"/>
      <c r="F417" s="58"/>
      <c r="G417" s="29"/>
      <c r="H417" s="58"/>
      <c r="I417" s="58"/>
      <c r="J417" s="501"/>
      <c r="K417" s="501"/>
      <c r="L417" s="501"/>
      <c r="M417" s="501"/>
      <c r="N417" s="501"/>
      <c r="O417" s="501"/>
      <c r="P417" s="58"/>
      <c r="Q417" s="501"/>
      <c r="R417" s="501"/>
      <c r="S417" s="501"/>
      <c r="T417" s="58"/>
      <c r="U417" s="58"/>
      <c r="V417" s="58"/>
      <c r="W417" s="501"/>
      <c r="X417" s="522"/>
      <c r="Y417" s="501"/>
      <c r="Z417" s="501"/>
      <c r="AC417" s="738"/>
    </row>
    <row r="418" spans="1:31">
      <c r="A418" s="6">
        <v>194</v>
      </c>
      <c r="B418" s="58"/>
      <c r="C418" s="10" t="s">
        <v>258</v>
      </c>
      <c r="D418" s="58"/>
      <c r="E418" s="30" t="s">
        <v>259</v>
      </c>
      <c r="F418" s="58"/>
      <c r="G418" s="29">
        <v>144.00000000000003</v>
      </c>
      <c r="H418" s="58"/>
      <c r="I418" s="29">
        <v>0</v>
      </c>
      <c r="J418" s="538">
        <v>0</v>
      </c>
      <c r="K418" s="538"/>
      <c r="L418" s="29">
        <v>0</v>
      </c>
      <c r="M418" s="29">
        <v>0</v>
      </c>
      <c r="N418" s="29">
        <v>0</v>
      </c>
      <c r="O418" s="538">
        <v>0</v>
      </c>
      <c r="P418" s="564"/>
      <c r="Q418" s="29">
        <v>0</v>
      </c>
      <c r="R418" s="29">
        <v>0</v>
      </c>
      <c r="S418" s="29">
        <v>0</v>
      </c>
      <c r="T418" s="564"/>
      <c r="U418" s="564">
        <v>0</v>
      </c>
      <c r="V418" s="564">
        <v>0</v>
      </c>
      <c r="W418" s="538">
        <v>0</v>
      </c>
      <c r="X418" s="782"/>
      <c r="Y418" s="541"/>
      <c r="Z418" s="501"/>
      <c r="AA418" s="738"/>
      <c r="AC418" s="738"/>
      <c r="AE418" s="739"/>
    </row>
    <row r="419" spans="1:31">
      <c r="A419" s="6">
        <f>MAX(A$417:A418)+1</f>
        <v>195</v>
      </c>
      <c r="B419" s="58"/>
      <c r="C419" s="521" t="s">
        <v>280</v>
      </c>
      <c r="D419" s="58"/>
      <c r="E419" s="522" t="s">
        <v>281</v>
      </c>
      <c r="F419" s="58"/>
      <c r="G419" s="29">
        <v>42050.04</v>
      </c>
      <c r="H419" s="58"/>
      <c r="I419" s="29">
        <v>0</v>
      </c>
      <c r="J419" s="538">
        <v>0</v>
      </c>
      <c r="K419" s="538"/>
      <c r="L419" s="29">
        <v>0</v>
      </c>
      <c r="M419" s="29">
        <v>0</v>
      </c>
      <c r="N419" s="29">
        <v>0</v>
      </c>
      <c r="O419" s="538">
        <v>0</v>
      </c>
      <c r="P419" s="564"/>
      <c r="Q419" s="29">
        <v>0</v>
      </c>
      <c r="R419" s="29">
        <v>0</v>
      </c>
      <c r="S419" s="29">
        <v>0</v>
      </c>
      <c r="T419" s="564"/>
      <c r="U419" s="564">
        <v>0</v>
      </c>
      <c r="V419" s="564">
        <v>0</v>
      </c>
      <c r="W419" s="538">
        <v>0</v>
      </c>
      <c r="X419" s="782"/>
      <c r="Y419" s="541"/>
      <c r="Z419" s="501"/>
      <c r="AA419" s="738"/>
      <c r="AC419" s="738"/>
    </row>
    <row r="420" spans="1:31">
      <c r="A420" s="6">
        <f>MAX(A$417:A419)+1</f>
        <v>196</v>
      </c>
      <c r="B420" s="58"/>
      <c r="C420" s="521" t="s">
        <v>260</v>
      </c>
      <c r="D420" s="58"/>
      <c r="E420" s="522" t="s">
        <v>262</v>
      </c>
      <c r="F420" s="58"/>
      <c r="G420" s="29">
        <v>1076377.9679700001</v>
      </c>
      <c r="H420" s="58"/>
      <c r="I420" s="547">
        <v>2.0999999999999999E-3</v>
      </c>
      <c r="J420" s="538">
        <f>G420*I420/100</f>
        <v>22.603937327369998</v>
      </c>
      <c r="K420" s="538"/>
      <c r="L420" s="29">
        <v>22.603937327369998</v>
      </c>
      <c r="M420" s="29">
        <v>0</v>
      </c>
      <c r="N420" s="29">
        <v>0</v>
      </c>
      <c r="O420" s="538">
        <f>J420-L420-M420-N420</f>
        <v>0</v>
      </c>
      <c r="P420" s="564"/>
      <c r="Q420" s="29">
        <v>21.188333331886991</v>
      </c>
      <c r="R420" s="29">
        <v>0</v>
      </c>
      <c r="S420" s="29">
        <v>0</v>
      </c>
      <c r="T420" s="539"/>
      <c r="U420" s="538">
        <f>SUM(O420:S420)</f>
        <v>21.188333331886991</v>
      </c>
      <c r="V420" s="680">
        <f>U420/G420*100</f>
        <v>1.9684844880137435E-3</v>
      </c>
      <c r="W420" s="549">
        <f>U420-J420</f>
        <v>-1.4156039954830071</v>
      </c>
      <c r="X420" s="796">
        <f>V420/I420-1</f>
        <v>-6.2626434279169696E-2</v>
      </c>
      <c r="Y420" s="541"/>
      <c r="Z420" s="501"/>
      <c r="AA420" s="738"/>
      <c r="AC420" s="738"/>
      <c r="AE420" s="744"/>
    </row>
    <row r="421" spans="1:31">
      <c r="A421" s="6">
        <f>MAX(A$417:A420)+1</f>
        <v>197</v>
      </c>
      <c r="B421" s="58"/>
      <c r="C421" s="521" t="s">
        <v>321</v>
      </c>
      <c r="D421" s="58"/>
      <c r="E421" s="522" t="s">
        <v>262</v>
      </c>
      <c r="F421" s="58"/>
      <c r="G421" s="29">
        <v>28099.753000000001</v>
      </c>
      <c r="H421" s="58"/>
      <c r="I421" s="547">
        <v>2.0999999999999999E-3</v>
      </c>
      <c r="J421" s="538">
        <f>G421*I421/100</f>
        <v>0.590094813</v>
      </c>
      <c r="K421" s="538"/>
      <c r="L421" s="29">
        <v>0.590094813</v>
      </c>
      <c r="M421" s="29">
        <v>0</v>
      </c>
      <c r="N421" s="29">
        <v>0</v>
      </c>
      <c r="O421" s="538">
        <f t="shared" ref="O421:O422" si="200">J421-L421-M421-N421</f>
        <v>0</v>
      </c>
      <c r="P421" s="564"/>
      <c r="Q421" s="29">
        <v>0.55313927897517656</v>
      </c>
      <c r="R421" s="29">
        <v>0</v>
      </c>
      <c r="S421" s="29">
        <v>0</v>
      </c>
      <c r="T421" s="539"/>
      <c r="U421" s="538">
        <f t="shared" ref="U421:U422" si="201">SUM(O421:S421)</f>
        <v>0.55313927897517656</v>
      </c>
      <c r="V421" s="680">
        <f>U421/G421*100</f>
        <v>1.9684844880137435E-3</v>
      </c>
      <c r="W421" s="534">
        <f>U421-J421</f>
        <v>-3.6955534024823433E-2</v>
      </c>
      <c r="X421" s="796">
        <f>V421/I421-1</f>
        <v>-6.2626434279169696E-2</v>
      </c>
      <c r="Y421" s="541"/>
      <c r="Z421" s="501"/>
      <c r="AA421" s="738"/>
      <c r="AC421" s="738"/>
      <c r="AE421" s="744"/>
    </row>
    <row r="422" spans="1:31">
      <c r="A422" s="6">
        <f>MAX(A$417:A421)+1</f>
        <v>198</v>
      </c>
      <c r="B422" s="58"/>
      <c r="C422" s="521" t="s">
        <v>322</v>
      </c>
      <c r="D422" s="58"/>
      <c r="E422" s="30" t="s">
        <v>259</v>
      </c>
      <c r="F422" s="58"/>
      <c r="G422" s="29">
        <v>143.99999999999989</v>
      </c>
      <c r="H422" s="58"/>
      <c r="I422" s="29">
        <v>0</v>
      </c>
      <c r="J422" s="538">
        <f t="shared" ref="J422" si="202">G422*I433/100</f>
        <v>0</v>
      </c>
      <c r="K422" s="538"/>
      <c r="L422" s="29">
        <v>0</v>
      </c>
      <c r="M422" s="29">
        <v>0</v>
      </c>
      <c r="N422" s="29">
        <v>0</v>
      </c>
      <c r="O422" s="538">
        <f t="shared" si="200"/>
        <v>0</v>
      </c>
      <c r="P422" s="564"/>
      <c r="Q422" s="29">
        <v>0</v>
      </c>
      <c r="R422" s="29">
        <v>0</v>
      </c>
      <c r="S422" s="29">
        <v>0</v>
      </c>
      <c r="T422" s="539"/>
      <c r="U422" s="538">
        <f t="shared" si="201"/>
        <v>0</v>
      </c>
      <c r="V422" s="540"/>
      <c r="W422" s="534"/>
      <c r="X422" s="599"/>
      <c r="Y422" s="541"/>
      <c r="Z422" s="501"/>
      <c r="AA422" s="738"/>
      <c r="AC422" s="738"/>
    </row>
    <row r="423" spans="1:31">
      <c r="A423" s="6"/>
      <c r="B423" s="58"/>
      <c r="C423" s="10"/>
      <c r="D423" s="58"/>
      <c r="E423" s="30"/>
      <c r="F423" s="58"/>
      <c r="G423" s="132"/>
      <c r="H423" s="58"/>
      <c r="I423" s="58"/>
      <c r="J423" s="538"/>
      <c r="K423" s="538"/>
      <c r="L423" s="538"/>
      <c r="M423" s="538"/>
      <c r="N423" s="538"/>
      <c r="O423" s="538"/>
      <c r="P423" s="564"/>
      <c r="Q423" s="538"/>
      <c r="R423" s="538"/>
      <c r="S423" s="538"/>
      <c r="T423" s="539"/>
      <c r="U423" s="539"/>
      <c r="V423" s="680"/>
      <c r="W423" s="534"/>
      <c r="X423" s="599"/>
      <c r="Y423" s="541"/>
      <c r="Z423" s="501"/>
      <c r="AA423" s="738"/>
      <c r="AC423" s="738"/>
    </row>
    <row r="424" spans="1:31">
      <c r="A424" s="6">
        <f>MAX(A$417:A423)+1</f>
        <v>199</v>
      </c>
      <c r="B424" s="58"/>
      <c r="C424" s="10" t="s">
        <v>266</v>
      </c>
      <c r="D424" s="58"/>
      <c r="E424" s="30"/>
      <c r="F424" s="58"/>
      <c r="G424" s="411">
        <f>SUM(G418:G423)</f>
        <v>1146815.7609700002</v>
      </c>
      <c r="H424" s="58"/>
      <c r="I424" s="556">
        <f>J424/G424*100</f>
        <v>2.0224723909228466E-3</v>
      </c>
      <c r="J424" s="555">
        <f t="shared" ref="J424" si="203">SUM(J420:J423)</f>
        <v>23.194032140369998</v>
      </c>
      <c r="K424" s="538"/>
      <c r="L424" s="555">
        <f>SUM(L420:L423)</f>
        <v>23.194032140369998</v>
      </c>
      <c r="M424" s="555">
        <f t="shared" ref="M424:U424" si="204">SUM(M420:M423)</f>
        <v>0</v>
      </c>
      <c r="N424" s="555">
        <f t="shared" si="204"/>
        <v>0</v>
      </c>
      <c r="O424" s="555">
        <f t="shared" si="204"/>
        <v>0</v>
      </c>
      <c r="P424" s="538"/>
      <c r="Q424" s="555">
        <f t="shared" si="204"/>
        <v>21.741472610862168</v>
      </c>
      <c r="R424" s="555">
        <f t="shared" si="204"/>
        <v>0</v>
      </c>
      <c r="S424" s="555">
        <f t="shared" si="204"/>
        <v>0</v>
      </c>
      <c r="T424" s="538"/>
      <c r="U424" s="555">
        <f t="shared" si="204"/>
        <v>21.741472610862168</v>
      </c>
      <c r="V424" s="677">
        <f>U424/G424*100</f>
        <v>1.8958121566512818E-3</v>
      </c>
      <c r="W424" s="557">
        <f>SUM(W420:W423)</f>
        <v>-1.4525595295078304</v>
      </c>
      <c r="X424" s="795">
        <f>V424/I424-1</f>
        <v>-6.2626434279169696E-2</v>
      </c>
      <c r="Y424" s="541"/>
      <c r="Z424" s="501"/>
      <c r="AA424" s="738"/>
      <c r="AC424" s="738"/>
    </row>
    <row r="425" spans="1:31">
      <c r="A425" s="6"/>
      <c r="B425" s="58"/>
      <c r="C425" s="10"/>
      <c r="D425" s="58"/>
      <c r="E425" s="30"/>
      <c r="F425" s="58"/>
      <c r="G425" s="132"/>
      <c r="H425" s="58"/>
      <c r="I425" s="58"/>
      <c r="J425" s="538">
        <f>C425*E425/100</f>
        <v>0</v>
      </c>
      <c r="K425" s="538"/>
      <c r="L425" s="534"/>
      <c r="M425" s="534"/>
      <c r="N425" s="534"/>
      <c r="O425" s="538">
        <f>G425*I425/100</f>
        <v>0</v>
      </c>
      <c r="P425" s="539"/>
      <c r="Q425" s="534"/>
      <c r="R425" s="534"/>
      <c r="S425" s="534"/>
      <c r="T425" s="539"/>
      <c r="U425" s="539"/>
      <c r="V425" s="539"/>
      <c r="W425" s="534"/>
      <c r="X425" s="604"/>
      <c r="Y425" s="534"/>
      <c r="Z425" s="501"/>
      <c r="AC425" s="738"/>
    </row>
    <row r="426" spans="1:31">
      <c r="A426" s="6"/>
      <c r="C426" s="501" t="s">
        <v>323</v>
      </c>
      <c r="G426" s="129"/>
      <c r="J426" s="538"/>
      <c r="K426" s="538"/>
      <c r="L426" s="534"/>
      <c r="M426" s="534"/>
      <c r="N426" s="534"/>
      <c r="O426" s="538"/>
      <c r="P426" s="567"/>
      <c r="Q426" s="534"/>
      <c r="R426" s="534"/>
      <c r="S426" s="534"/>
      <c r="T426" s="567"/>
      <c r="U426" s="567"/>
      <c r="V426" s="567"/>
      <c r="W426" s="534"/>
      <c r="X426" s="604"/>
      <c r="Y426" s="534"/>
      <c r="Z426" s="501"/>
      <c r="AC426" s="738"/>
    </row>
    <row r="427" spans="1:31">
      <c r="A427" s="6">
        <f>MAX(A$417:A426)+1</f>
        <v>200</v>
      </c>
      <c r="B427" s="58"/>
      <c r="C427" s="526" t="s">
        <v>306</v>
      </c>
      <c r="D427" s="58"/>
      <c r="E427" s="522" t="s">
        <v>281</v>
      </c>
      <c r="F427" s="58"/>
      <c r="G427" s="130">
        <v>0</v>
      </c>
      <c r="H427" s="564"/>
      <c r="I427" s="547">
        <v>65.260999999999996</v>
      </c>
      <c r="J427" s="29">
        <v>0</v>
      </c>
      <c r="K427" s="538"/>
      <c r="L427" s="29">
        <v>0</v>
      </c>
      <c r="M427" s="29">
        <v>0</v>
      </c>
      <c r="N427" s="29">
        <v>0</v>
      </c>
      <c r="O427" s="538">
        <f>G427*I427/100</f>
        <v>0</v>
      </c>
      <c r="P427" s="564"/>
      <c r="Q427" s="29">
        <v>0</v>
      </c>
      <c r="R427" s="29">
        <v>0</v>
      </c>
      <c r="S427" s="29">
        <v>0</v>
      </c>
      <c r="T427" s="564"/>
      <c r="U427" s="564">
        <f>SUM(Q427:S427)</f>
        <v>0</v>
      </c>
      <c r="V427" s="547">
        <v>65.260999999999996</v>
      </c>
      <c r="W427" s="538">
        <f>U427-O427</f>
        <v>0</v>
      </c>
      <c r="X427" s="576"/>
      <c r="Y427" s="538"/>
      <c r="Z427" s="501"/>
      <c r="AC427" s="738"/>
    </row>
    <row r="428" spans="1:31">
      <c r="A428" s="6">
        <f>MAX(A$417:A427)+1</f>
        <v>201</v>
      </c>
      <c r="B428" s="58"/>
      <c r="C428" s="526" t="s">
        <v>307</v>
      </c>
      <c r="D428" s="58"/>
      <c r="E428" s="522" t="s">
        <v>281</v>
      </c>
      <c r="F428" s="58"/>
      <c r="G428" s="29">
        <v>0</v>
      </c>
      <c r="H428" s="564"/>
      <c r="I428" s="547">
        <v>105.5497</v>
      </c>
      <c r="J428" s="29">
        <v>0</v>
      </c>
      <c r="K428" s="538"/>
      <c r="L428" s="29">
        <v>0</v>
      </c>
      <c r="M428" s="29">
        <v>0</v>
      </c>
      <c r="N428" s="29">
        <v>0</v>
      </c>
      <c r="O428" s="538">
        <f>G428*I428/100</f>
        <v>0</v>
      </c>
      <c r="P428" s="564"/>
      <c r="Q428" s="29">
        <v>0</v>
      </c>
      <c r="R428" s="29">
        <v>0</v>
      </c>
      <c r="S428" s="29">
        <v>0</v>
      </c>
      <c r="T428" s="564"/>
      <c r="U428" s="564">
        <f>SUM(Q428:S428)</f>
        <v>0</v>
      </c>
      <c r="V428" s="547">
        <v>105.5497</v>
      </c>
      <c r="W428" s="538">
        <f>U428-O428</f>
        <v>0</v>
      </c>
      <c r="X428" s="576"/>
      <c r="Y428" s="538"/>
      <c r="Z428" s="501"/>
      <c r="AC428" s="738"/>
    </row>
    <row r="429" spans="1:31">
      <c r="A429" s="6"/>
      <c r="B429" s="58"/>
      <c r="C429" s="501" t="s">
        <v>324</v>
      </c>
      <c r="D429" s="58"/>
      <c r="E429" s="30"/>
      <c r="F429" s="58"/>
      <c r="G429" s="29"/>
      <c r="H429" s="564"/>
      <c r="I429" s="547"/>
      <c r="J429" s="538"/>
      <c r="K429" s="538"/>
      <c r="L429" s="538"/>
      <c r="M429" s="538"/>
      <c r="N429" s="538"/>
      <c r="O429" s="538"/>
      <c r="P429" s="564"/>
      <c r="Q429" s="538"/>
      <c r="R429" s="538"/>
      <c r="S429" s="538"/>
      <c r="T429" s="564"/>
      <c r="U429" s="564"/>
      <c r="V429" s="547"/>
      <c r="W429" s="538"/>
      <c r="X429" s="576"/>
      <c r="Y429" s="538"/>
      <c r="Z429" s="501"/>
      <c r="AC429" s="738"/>
    </row>
    <row r="430" spans="1:31">
      <c r="A430" s="6">
        <f>MAX(A$417:A429)+1</f>
        <v>202</v>
      </c>
      <c r="B430" s="58"/>
      <c r="C430" s="526" t="s">
        <v>306</v>
      </c>
      <c r="D430" s="58"/>
      <c r="E430" s="522" t="s">
        <v>262</v>
      </c>
      <c r="F430" s="58"/>
      <c r="G430" s="132">
        <v>0</v>
      </c>
      <c r="H430" s="564"/>
      <c r="I430" s="547">
        <v>3.9009000000000005</v>
      </c>
      <c r="J430" s="29">
        <v>0</v>
      </c>
      <c r="K430" s="538"/>
      <c r="L430" s="29">
        <v>0</v>
      </c>
      <c r="M430" s="29">
        <v>0</v>
      </c>
      <c r="N430" s="29">
        <v>0</v>
      </c>
      <c r="O430" s="538">
        <f>G430*I430/100</f>
        <v>0</v>
      </c>
      <c r="P430" s="564"/>
      <c r="Q430" s="29">
        <v>0</v>
      </c>
      <c r="R430" s="29">
        <v>0</v>
      </c>
      <c r="S430" s="29">
        <v>0</v>
      </c>
      <c r="T430" s="564"/>
      <c r="U430" s="564">
        <f>SUM(Q430:S430)</f>
        <v>0</v>
      </c>
      <c r="V430" s="547">
        <v>3.9009000000000005</v>
      </c>
      <c r="W430" s="538">
        <f>U430-O430</f>
        <v>0</v>
      </c>
      <c r="X430" s="576"/>
      <c r="Y430" s="538"/>
      <c r="Z430" s="501"/>
      <c r="AC430" s="738"/>
    </row>
    <row r="431" spans="1:31">
      <c r="A431" s="6">
        <f>MAX(A$417:A430)+1</f>
        <v>203</v>
      </c>
      <c r="C431" s="526" t="s">
        <v>307</v>
      </c>
      <c r="E431" s="522" t="s">
        <v>262</v>
      </c>
      <c r="G431" s="29">
        <v>0</v>
      </c>
      <c r="H431" s="64"/>
      <c r="I431" s="547">
        <v>6.2685000000000004</v>
      </c>
      <c r="J431" s="29">
        <v>0</v>
      </c>
      <c r="K431" s="538"/>
      <c r="L431" s="29">
        <v>0</v>
      </c>
      <c r="M431" s="29">
        <v>0</v>
      </c>
      <c r="N431" s="29">
        <v>0</v>
      </c>
      <c r="O431" s="538">
        <f>G431*I431/100</f>
        <v>0</v>
      </c>
      <c r="P431" s="64"/>
      <c r="Q431" s="29">
        <v>0</v>
      </c>
      <c r="R431" s="29">
        <v>0</v>
      </c>
      <c r="S431" s="29">
        <v>0</v>
      </c>
      <c r="T431" s="564"/>
      <c r="U431" s="564">
        <f>SUM(Q431:S431)</f>
        <v>0</v>
      </c>
      <c r="V431" s="547">
        <v>6.2685000000000004</v>
      </c>
      <c r="W431" s="538">
        <f>U431-O431</f>
        <v>0</v>
      </c>
      <c r="X431" s="576"/>
      <c r="Y431" s="538"/>
      <c r="Z431" s="501"/>
      <c r="AC431" s="738"/>
    </row>
    <row r="432" spans="1:31">
      <c r="A432" s="6"/>
      <c r="B432" s="58"/>
      <c r="C432" s="501" t="s">
        <v>325</v>
      </c>
      <c r="D432" s="58"/>
      <c r="E432" s="574"/>
      <c r="F432" s="58"/>
      <c r="G432" s="29"/>
      <c r="H432" s="564"/>
      <c r="I432" s="564"/>
      <c r="J432" s="538"/>
      <c r="K432" s="538"/>
      <c r="L432" s="538"/>
      <c r="M432" s="538"/>
      <c r="N432" s="538"/>
      <c r="O432" s="538"/>
      <c r="P432" s="564"/>
      <c r="Q432" s="538"/>
      <c r="R432" s="538"/>
      <c r="S432" s="538"/>
      <c r="T432" s="564"/>
      <c r="U432" s="564">
        <f>SUM(Q432:S432)</f>
        <v>0</v>
      </c>
      <c r="V432" s="132"/>
      <c r="W432" s="538"/>
      <c r="X432" s="576"/>
      <c r="Y432" s="538"/>
      <c r="Z432" s="501"/>
      <c r="AC432" s="738"/>
    </row>
    <row r="433" spans="1:31">
      <c r="A433" s="6">
        <f>MAX(A$417:A432)+1</f>
        <v>204</v>
      </c>
      <c r="B433" s="58"/>
      <c r="C433" s="526" t="s">
        <v>306</v>
      </c>
      <c r="D433" s="58"/>
      <c r="E433" s="522" t="s">
        <v>262</v>
      </c>
      <c r="F433" s="58"/>
      <c r="G433" s="29">
        <v>0</v>
      </c>
      <c r="H433" s="564"/>
      <c r="I433" s="564">
        <v>0</v>
      </c>
      <c r="J433" s="29">
        <v>0</v>
      </c>
      <c r="K433" s="538"/>
      <c r="L433" s="29">
        <v>0</v>
      </c>
      <c r="M433" s="29">
        <v>0</v>
      </c>
      <c r="N433" s="29">
        <v>0</v>
      </c>
      <c r="O433" s="538">
        <f>G433*I433/100</f>
        <v>0</v>
      </c>
      <c r="P433" s="564"/>
      <c r="Q433" s="29">
        <v>0</v>
      </c>
      <c r="R433" s="29">
        <v>0</v>
      </c>
      <c r="S433" s="29">
        <v>0</v>
      </c>
      <c r="T433" s="564"/>
      <c r="U433" s="564">
        <f>SUM(Q433:S433)</f>
        <v>0</v>
      </c>
      <c r="V433" s="132" t="str">
        <f>IFERROR(U433/G433*1000,"-")</f>
        <v>-</v>
      </c>
      <c r="W433" s="538">
        <f>U433-O433</f>
        <v>0</v>
      </c>
      <c r="X433" s="576"/>
      <c r="Y433" s="538"/>
      <c r="Z433" s="501"/>
      <c r="AC433" s="738"/>
    </row>
    <row r="434" spans="1:31">
      <c r="A434" s="6">
        <f>MAX(A$417:A433)+1</f>
        <v>205</v>
      </c>
      <c r="B434" s="58"/>
      <c r="C434" s="526" t="s">
        <v>307</v>
      </c>
      <c r="D434" s="58"/>
      <c r="E434" s="522" t="s">
        <v>262</v>
      </c>
      <c r="F434" s="58"/>
      <c r="G434" s="29">
        <v>0</v>
      </c>
      <c r="H434" s="564"/>
      <c r="I434" s="564">
        <v>0</v>
      </c>
      <c r="J434" s="29">
        <v>0</v>
      </c>
      <c r="K434" s="538"/>
      <c r="L434" s="29">
        <v>0</v>
      </c>
      <c r="M434" s="29">
        <v>0</v>
      </c>
      <c r="N434" s="29">
        <v>0</v>
      </c>
      <c r="O434" s="538">
        <f>G434*I434/100</f>
        <v>0</v>
      </c>
      <c r="P434" s="564"/>
      <c r="Q434" s="29">
        <v>0</v>
      </c>
      <c r="R434" s="29">
        <v>0</v>
      </c>
      <c r="S434" s="29">
        <v>0</v>
      </c>
      <c r="T434" s="564"/>
      <c r="U434" s="564">
        <f>SUM(Q434:S434)</f>
        <v>0</v>
      </c>
      <c r="V434" s="132" t="str">
        <f>IFERROR(U434/G434*1000,"-")</f>
        <v>-</v>
      </c>
      <c r="W434" s="538">
        <f>U434-O434</f>
        <v>0</v>
      </c>
      <c r="X434" s="576"/>
      <c r="Y434" s="538"/>
      <c r="Z434" s="501"/>
    </row>
    <row r="435" spans="1:31">
      <c r="A435" s="6">
        <f>MAX(A$417:A434)+1</f>
        <v>206</v>
      </c>
      <c r="B435" s="58"/>
      <c r="C435" s="501" t="s">
        <v>326</v>
      </c>
      <c r="D435" s="58"/>
      <c r="E435" s="574"/>
      <c r="F435" s="58"/>
      <c r="G435" s="411">
        <f>SUM(G427:G434)</f>
        <v>0</v>
      </c>
      <c r="H435" s="411"/>
      <c r="I435" s="411">
        <v>0</v>
      </c>
      <c r="J435" s="555">
        <f t="shared" ref="J435" si="205">SUM(J427:J434)</f>
        <v>0</v>
      </c>
      <c r="K435" s="538"/>
      <c r="L435" s="555">
        <f>SUM(L427:L434)</f>
        <v>0</v>
      </c>
      <c r="M435" s="555">
        <f t="shared" ref="M435:O435" si="206">SUM(M427:M434)</f>
        <v>0</v>
      </c>
      <c r="N435" s="555">
        <f t="shared" si="206"/>
        <v>0</v>
      </c>
      <c r="O435" s="555">
        <f t="shared" si="206"/>
        <v>0</v>
      </c>
      <c r="P435" s="538"/>
      <c r="Q435" s="555">
        <f>SUM(Q427:Q434)</f>
        <v>0</v>
      </c>
      <c r="R435" s="555">
        <f t="shared" ref="R435:S435" si="207">SUM(R427:R434)</f>
        <v>0</v>
      </c>
      <c r="S435" s="555">
        <f t="shared" si="207"/>
        <v>0</v>
      </c>
      <c r="T435" s="538"/>
      <c r="U435" s="555">
        <f t="shared" ref="U435:W435" si="208">SUM(U427:U434)</f>
        <v>0</v>
      </c>
      <c r="V435" s="555">
        <f t="shared" si="208"/>
        <v>180.98009999999999</v>
      </c>
      <c r="W435" s="555">
        <f t="shared" si="208"/>
        <v>0</v>
      </c>
      <c r="X435" s="598"/>
      <c r="Y435" s="538"/>
      <c r="Z435" s="501"/>
      <c r="AA435" s="738"/>
      <c r="AC435" s="738"/>
      <c r="AE435" s="738"/>
    </row>
    <row r="436" spans="1:31">
      <c r="A436" s="6"/>
      <c r="B436" s="58"/>
      <c r="C436" s="526"/>
      <c r="D436" s="58"/>
      <c r="E436" s="574"/>
      <c r="F436" s="58"/>
      <c r="G436" s="29"/>
      <c r="H436" s="58"/>
      <c r="I436" s="58"/>
      <c r="J436" s="501"/>
      <c r="K436" s="501"/>
      <c r="L436" s="501"/>
      <c r="M436" s="501"/>
      <c r="N436" s="501"/>
      <c r="O436" s="501"/>
      <c r="P436" s="58"/>
      <c r="Q436" s="501"/>
      <c r="R436" s="501"/>
      <c r="S436" s="501"/>
      <c r="T436" s="58"/>
      <c r="U436" s="58"/>
      <c r="V436" s="58"/>
      <c r="W436" s="501"/>
      <c r="X436" s="605"/>
      <c r="Y436" s="501"/>
      <c r="Z436" s="501"/>
      <c r="AA436" s="738"/>
      <c r="AC436" s="738"/>
    </row>
    <row r="437" spans="1:31">
      <c r="A437" s="6"/>
      <c r="B437" s="58"/>
      <c r="C437" s="501" t="s">
        <v>327</v>
      </c>
      <c r="D437" s="58"/>
      <c r="E437" s="30"/>
      <c r="F437" s="58"/>
      <c r="G437" s="132"/>
      <c r="H437" s="58"/>
      <c r="I437" s="58"/>
      <c r="J437" s="501"/>
      <c r="K437" s="501"/>
      <c r="L437" s="501"/>
      <c r="M437" s="501"/>
      <c r="N437" s="501"/>
      <c r="O437" s="501"/>
      <c r="P437" s="58"/>
      <c r="Q437" s="501"/>
      <c r="R437" s="501"/>
      <c r="S437" s="501"/>
      <c r="T437" s="58"/>
      <c r="U437" s="58"/>
      <c r="V437" s="58"/>
      <c r="W437" s="501"/>
      <c r="X437" s="605"/>
      <c r="Y437" s="501"/>
      <c r="Z437" s="501"/>
      <c r="AA437" s="738"/>
      <c r="AC437" s="738"/>
    </row>
    <row r="438" spans="1:31">
      <c r="A438" s="6">
        <f>MAX(A$417:A437)+1</f>
        <v>207</v>
      </c>
      <c r="C438" s="526" t="s">
        <v>328</v>
      </c>
      <c r="E438" s="522" t="s">
        <v>329</v>
      </c>
      <c r="G438" s="130">
        <v>0</v>
      </c>
      <c r="H438" s="64"/>
      <c r="I438" s="547">
        <v>10.949000000000002</v>
      </c>
      <c r="J438" s="538">
        <f>G438*I438/100</f>
        <v>0</v>
      </c>
      <c r="K438" s="538"/>
      <c r="L438" s="29">
        <v>0</v>
      </c>
      <c r="M438" s="29">
        <v>0</v>
      </c>
      <c r="N438" s="29">
        <v>0</v>
      </c>
      <c r="O438" s="538">
        <f>G438*I438/100</f>
        <v>0</v>
      </c>
      <c r="P438" s="64"/>
      <c r="Q438" s="29">
        <v>0</v>
      </c>
      <c r="R438" s="29">
        <v>0</v>
      </c>
      <c r="S438" s="29">
        <v>0</v>
      </c>
      <c r="T438" s="29"/>
      <c r="U438" s="64">
        <f>SUM(Q438:S438)</f>
        <v>0</v>
      </c>
      <c r="V438" s="130" t="str">
        <f>IFERROR(U438/G438*1000,"-")</f>
        <v>-</v>
      </c>
      <c r="W438" s="538">
        <f>U438-O438</f>
        <v>0</v>
      </c>
      <c r="X438" s="576"/>
      <c r="Y438" s="538"/>
      <c r="Z438" s="501"/>
      <c r="AA438" s="738"/>
      <c r="AC438" s="738"/>
    </row>
    <row r="439" spans="1:31">
      <c r="A439" s="6">
        <f>MAX(A$417:A438)+1</f>
        <v>208</v>
      </c>
      <c r="B439" s="58"/>
      <c r="C439" s="526" t="s">
        <v>330</v>
      </c>
      <c r="D439" s="58"/>
      <c r="E439" s="522" t="s">
        <v>331</v>
      </c>
      <c r="F439" s="58"/>
      <c r="G439" s="130">
        <v>0</v>
      </c>
      <c r="H439" s="564"/>
      <c r="I439" s="547">
        <v>9.7000000000000003E-2</v>
      </c>
      <c r="J439" s="538">
        <f>G439*I439/100</f>
        <v>0</v>
      </c>
      <c r="K439" s="538"/>
      <c r="L439" s="29">
        <v>0</v>
      </c>
      <c r="M439" s="29">
        <v>0</v>
      </c>
      <c r="N439" s="29">
        <v>0</v>
      </c>
      <c r="O439" s="538">
        <f>G439*I439/100</f>
        <v>0</v>
      </c>
      <c r="P439" s="564"/>
      <c r="Q439" s="29">
        <v>0</v>
      </c>
      <c r="R439" s="29">
        <v>0</v>
      </c>
      <c r="S439" s="29">
        <v>0</v>
      </c>
      <c r="T439" s="564"/>
      <c r="U439" s="64">
        <f>SUM(Q439:S439)</f>
        <v>0</v>
      </c>
      <c r="V439" s="130" t="str">
        <f>IFERROR(U439/G439*1000,"-")</f>
        <v>-</v>
      </c>
      <c r="W439" s="538">
        <f>U439-O439</f>
        <v>0</v>
      </c>
      <c r="X439" s="576"/>
      <c r="Y439" s="538"/>
      <c r="Z439" s="501"/>
      <c r="AA439" s="738"/>
      <c r="AC439" s="738"/>
    </row>
    <row r="440" spans="1:31">
      <c r="A440" s="6">
        <f>MAX(A$417:A439)+1</f>
        <v>209</v>
      </c>
      <c r="B440" s="58"/>
      <c r="C440" s="501" t="s">
        <v>327</v>
      </c>
      <c r="D440" s="58"/>
      <c r="E440" s="30"/>
      <c r="F440" s="58"/>
      <c r="G440" s="411">
        <f>SUM(G438:G439)</f>
        <v>0</v>
      </c>
      <c r="H440" s="619"/>
      <c r="I440" s="619">
        <v>0</v>
      </c>
      <c r="J440" s="555">
        <f t="shared" ref="J440" si="209">SUM(J438:J439)</f>
        <v>0</v>
      </c>
      <c r="K440" s="538"/>
      <c r="L440" s="555">
        <f>SUM(L438:L439)</f>
        <v>0</v>
      </c>
      <c r="M440" s="555">
        <f t="shared" ref="M440:O440" si="210">SUM(M438:M439)</f>
        <v>0</v>
      </c>
      <c r="N440" s="555">
        <f t="shared" si="210"/>
        <v>0</v>
      </c>
      <c r="O440" s="555">
        <f t="shared" si="210"/>
        <v>0</v>
      </c>
      <c r="P440" s="538"/>
      <c r="Q440" s="555">
        <f>SUM(Q438:Q439)</f>
        <v>0</v>
      </c>
      <c r="R440" s="555">
        <f t="shared" ref="R440:S440" si="211">SUM(R438:R439)</f>
        <v>0</v>
      </c>
      <c r="S440" s="555">
        <f t="shared" si="211"/>
        <v>0</v>
      </c>
      <c r="T440" s="538"/>
      <c r="U440" s="555">
        <f>SUM(U438:U439)</f>
        <v>0</v>
      </c>
      <c r="V440" s="555">
        <f t="shared" ref="V440:W440" si="212">SUM(V438:V439)</f>
        <v>0</v>
      </c>
      <c r="W440" s="555">
        <f t="shared" si="212"/>
        <v>0</v>
      </c>
      <c r="X440" s="598"/>
      <c r="Y440" s="538"/>
      <c r="Z440" s="501"/>
      <c r="AA440" s="738"/>
      <c r="AC440" s="738"/>
    </row>
    <row r="441" spans="1:31">
      <c r="A441" s="6"/>
      <c r="B441" s="58"/>
      <c r="C441" s="10"/>
      <c r="D441" s="58"/>
      <c r="E441" s="30"/>
      <c r="F441" s="58"/>
      <c r="G441" s="132"/>
      <c r="H441" s="564"/>
      <c r="I441" s="564"/>
      <c r="J441" s="538"/>
      <c r="K441" s="538"/>
      <c r="L441" s="538"/>
      <c r="M441" s="538"/>
      <c r="N441" s="538"/>
      <c r="O441" s="538"/>
      <c r="P441" s="564"/>
      <c r="Q441" s="538"/>
      <c r="R441" s="538"/>
      <c r="S441" s="538"/>
      <c r="T441" s="564"/>
      <c r="U441" s="564"/>
      <c r="V441" s="564"/>
      <c r="W441" s="538"/>
      <c r="X441" s="576"/>
      <c r="Y441" s="538"/>
      <c r="Z441" s="501"/>
      <c r="AC441" s="738"/>
    </row>
    <row r="442" spans="1:31" ht="12.95" thickBot="1">
      <c r="A442" s="6">
        <f>MAX(A$417:A441)+1</f>
        <v>210</v>
      </c>
      <c r="B442" s="58"/>
      <c r="C442" s="10" t="s">
        <v>282</v>
      </c>
      <c r="D442" s="58"/>
      <c r="E442" s="591"/>
      <c r="F442" s="58"/>
      <c r="G442" s="439">
        <f>G420</f>
        <v>1076377.9679700001</v>
      </c>
      <c r="H442" s="564"/>
      <c r="I442" s="590">
        <f>J442/G442*100</f>
        <v>2.154822267879831E-3</v>
      </c>
      <c r="J442" s="628">
        <f t="shared" ref="J442" si="213">J420+J421+J422+J435+J440</f>
        <v>23.194032140369998</v>
      </c>
      <c r="K442" s="564"/>
      <c r="L442" s="628">
        <f>L420+L421+L422+L435+L440</f>
        <v>23.194032140369998</v>
      </c>
      <c r="M442" s="628">
        <f t="shared" ref="M442:U442" si="214">M420+M421+M422+M435+M440</f>
        <v>0</v>
      </c>
      <c r="N442" s="628">
        <f t="shared" si="214"/>
        <v>0</v>
      </c>
      <c r="O442" s="628">
        <f t="shared" si="214"/>
        <v>0</v>
      </c>
      <c r="P442" s="564"/>
      <c r="Q442" s="628">
        <f t="shared" si="214"/>
        <v>21.741472610862168</v>
      </c>
      <c r="R442" s="628">
        <f t="shared" si="214"/>
        <v>0</v>
      </c>
      <c r="S442" s="628">
        <f t="shared" si="214"/>
        <v>0</v>
      </c>
      <c r="T442" s="564"/>
      <c r="U442" s="628">
        <f t="shared" si="214"/>
        <v>21.741472610862168</v>
      </c>
      <c r="V442" s="651">
        <f>U442/G442*100</f>
        <v>2.0198734327371635E-3</v>
      </c>
      <c r="W442" s="638">
        <f>W420+W421+W435+W440</f>
        <v>-1.4525595295078304</v>
      </c>
      <c r="X442" s="800">
        <f>V442/I442-1</f>
        <v>-6.2626434279169585E-2</v>
      </c>
      <c r="Y442" s="630"/>
      <c r="Z442" s="501"/>
      <c r="AA442" s="738"/>
      <c r="AC442" s="738"/>
      <c r="AE442" s="744"/>
    </row>
    <row r="443" spans="1:31" ht="12.95" thickTop="1">
      <c r="A443" s="6"/>
      <c r="J443" s="501"/>
      <c r="K443" s="501"/>
      <c r="L443" s="501"/>
      <c r="M443" s="501"/>
      <c r="N443" s="501"/>
      <c r="O443" s="501"/>
      <c r="Q443" s="501"/>
      <c r="R443" s="501"/>
      <c r="S443" s="501"/>
      <c r="W443" s="501"/>
      <c r="X443" s="605"/>
      <c r="Y443" s="501"/>
      <c r="Z443" s="501"/>
    </row>
    <row r="444" spans="1:31">
      <c r="A444" s="6"/>
      <c r="B444" s="581"/>
      <c r="C444" s="652" t="s">
        <v>145</v>
      </c>
      <c r="D444" s="581"/>
      <c r="E444" s="581"/>
      <c r="F444" s="581"/>
      <c r="G444" s="581"/>
      <c r="H444" s="581"/>
      <c r="I444" s="581"/>
      <c r="J444" s="501"/>
      <c r="K444" s="501"/>
      <c r="L444" s="501"/>
      <c r="M444" s="501"/>
      <c r="N444" s="501"/>
      <c r="O444" s="501"/>
      <c r="P444" s="581"/>
      <c r="Q444" s="501"/>
      <c r="R444" s="501"/>
      <c r="S444" s="501"/>
      <c r="T444" s="581"/>
      <c r="U444" s="581"/>
      <c r="V444" s="581"/>
      <c r="W444" s="501"/>
      <c r="X444" s="605"/>
      <c r="Y444" s="501"/>
      <c r="Z444" s="501"/>
    </row>
    <row r="445" spans="1:31">
      <c r="A445" s="6"/>
      <c r="B445" s="57"/>
      <c r="C445" s="9" t="s">
        <v>146</v>
      </c>
      <c r="D445" s="57"/>
      <c r="E445" s="3"/>
      <c r="F445" s="57"/>
      <c r="G445" s="3"/>
      <c r="H445" s="57"/>
      <c r="I445" s="57"/>
      <c r="J445" s="501"/>
      <c r="K445" s="501"/>
      <c r="L445" s="501"/>
      <c r="M445" s="501"/>
      <c r="N445" s="501"/>
      <c r="O445" s="501"/>
      <c r="P445" s="57"/>
      <c r="Q445" s="501"/>
      <c r="R445" s="501"/>
      <c r="S445" s="501"/>
      <c r="T445" s="57"/>
      <c r="U445" s="57"/>
      <c r="V445" s="57"/>
      <c r="W445" s="501"/>
      <c r="X445" s="605"/>
      <c r="Y445" s="501"/>
      <c r="Z445" s="501"/>
    </row>
    <row r="446" spans="1:31">
      <c r="A446" s="6">
        <f>MAX(A$417:A445)+1</f>
        <v>211</v>
      </c>
      <c r="B446" s="3"/>
      <c r="C446" s="10" t="s">
        <v>258</v>
      </c>
      <c r="D446" s="3"/>
      <c r="E446" s="57" t="s">
        <v>259</v>
      </c>
      <c r="F446" s="3"/>
      <c r="G446" s="536">
        <v>14450119.000000004</v>
      </c>
      <c r="H446" s="616"/>
      <c r="I446" s="29">
        <v>0</v>
      </c>
      <c r="J446" s="538">
        <v>0</v>
      </c>
      <c r="K446" s="538"/>
      <c r="L446" s="29">
        <v>0</v>
      </c>
      <c r="M446" s="29">
        <v>0</v>
      </c>
      <c r="N446" s="29">
        <v>0</v>
      </c>
      <c r="O446" s="538">
        <v>0</v>
      </c>
      <c r="P446" s="584"/>
      <c r="Q446" s="29">
        <v>0</v>
      </c>
      <c r="R446" s="29">
        <v>0</v>
      </c>
      <c r="S446" s="29">
        <v>0</v>
      </c>
      <c r="T446" s="584"/>
      <c r="U446" s="132">
        <v>0</v>
      </c>
      <c r="V446" s="132">
        <v>0</v>
      </c>
      <c r="W446" s="538">
        <v>0</v>
      </c>
      <c r="X446" s="599"/>
      <c r="Y446" s="541"/>
      <c r="Z446" s="501"/>
      <c r="AA446" s="738"/>
      <c r="AE446" s="739"/>
    </row>
    <row r="447" spans="1:31">
      <c r="A447" s="6"/>
      <c r="B447" s="5"/>
      <c r="C447" s="521" t="s">
        <v>260</v>
      </c>
      <c r="D447" s="5"/>
      <c r="E447" s="6"/>
      <c r="F447" s="5"/>
      <c r="G447" s="536"/>
      <c r="H447" s="659"/>
      <c r="I447" s="637"/>
      <c r="J447" s="538"/>
      <c r="K447" s="538"/>
      <c r="L447" s="538"/>
      <c r="M447" s="538"/>
      <c r="N447" s="538"/>
      <c r="O447" s="538"/>
      <c r="P447" s="585"/>
      <c r="Q447" s="538"/>
      <c r="R447" s="538"/>
      <c r="S447" s="538"/>
      <c r="T447" s="659"/>
      <c r="U447" s="624"/>
      <c r="V447" s="683"/>
      <c r="W447" s="534"/>
      <c r="X447" s="599"/>
      <c r="Y447" s="541"/>
      <c r="Z447" s="501"/>
      <c r="AA447" s="738"/>
    </row>
    <row r="448" spans="1:31">
      <c r="A448" s="6">
        <f>MAX(A$417:A447)+1</f>
        <v>212</v>
      </c>
      <c r="B448" s="58"/>
      <c r="C448" s="526" t="s">
        <v>336</v>
      </c>
      <c r="D448" s="58"/>
      <c r="E448" s="522" t="s">
        <v>262</v>
      </c>
      <c r="F448" s="58"/>
      <c r="G448" s="536">
        <v>1046589.5733471487</v>
      </c>
      <c r="H448" s="539"/>
      <c r="I448" s="684">
        <v>0.13950000000000001</v>
      </c>
      <c r="J448" s="538">
        <f>G448*I448/100</f>
        <v>1459.9924548192728</v>
      </c>
      <c r="K448" s="538"/>
      <c r="L448" s="29">
        <v>537.13752971477163</v>
      </c>
      <c r="M448" s="29">
        <v>451.94876588582991</v>
      </c>
      <c r="N448" s="29">
        <v>380.18471025926925</v>
      </c>
      <c r="O448" s="538">
        <f>J448-L448-M448-N448</f>
        <v>90.721448959401982</v>
      </c>
      <c r="P448" s="564"/>
      <c r="Q448" s="29">
        <v>503.49852151121399</v>
      </c>
      <c r="R448" s="29">
        <v>555.17562938307719</v>
      </c>
      <c r="S448" s="29">
        <v>380.61321004098534</v>
      </c>
      <c r="T448" s="539"/>
      <c r="U448" s="624">
        <f>SUM(O448:S448)</f>
        <v>1530.0088098946785</v>
      </c>
      <c r="V448" s="680">
        <f>U448/G448*100</f>
        <v>0.14618995343145674</v>
      </c>
      <c r="W448" s="549">
        <f>U448-J448</f>
        <v>70.016355075405727</v>
      </c>
      <c r="X448" s="599"/>
      <c r="Y448" s="541"/>
      <c r="Z448" s="501"/>
      <c r="AA448" s="738"/>
      <c r="AC448" s="738"/>
      <c r="AE448" s="744"/>
    </row>
    <row r="449" spans="1:31">
      <c r="A449" s="6">
        <f>MAX(A$417:A448)+1</f>
        <v>213</v>
      </c>
      <c r="B449" s="58"/>
      <c r="C449" s="526" t="s">
        <v>337</v>
      </c>
      <c r="D449" s="58"/>
      <c r="E449" s="522" t="s">
        <v>262</v>
      </c>
      <c r="F449" s="58"/>
      <c r="G449" s="536">
        <v>935574.92126953974</v>
      </c>
      <c r="H449" s="539"/>
      <c r="I449" s="684">
        <v>0.13950000000000001</v>
      </c>
      <c r="J449" s="538">
        <f t="shared" ref="J449:J450" si="215">G449*I449/100</f>
        <v>1305.127015171008</v>
      </c>
      <c r="K449" s="538"/>
      <c r="L449" s="29">
        <v>480.16186561713903</v>
      </c>
      <c r="M449" s="29">
        <v>404.00930969455555</v>
      </c>
      <c r="N449" s="29">
        <v>339.85746602762833</v>
      </c>
      <c r="O449" s="538">
        <f t="shared" ref="O449:O450" si="216">J449-L449-M449-N449</f>
        <v>81.09837383168508</v>
      </c>
      <c r="P449" s="564"/>
      <c r="Q449" s="29">
        <v>450.09104009670381</v>
      </c>
      <c r="R449" s="29">
        <v>496.28661414014903</v>
      </c>
      <c r="S449" s="29">
        <v>340.24051365179002</v>
      </c>
      <c r="T449" s="539"/>
      <c r="U449" s="624">
        <f t="shared" ref="U449:U450" si="217">SUM(O449:S449)</f>
        <v>1367.7165417203278</v>
      </c>
      <c r="V449" s="680">
        <f>U449/G449*100</f>
        <v>0.14618995343145669</v>
      </c>
      <c r="W449" s="549">
        <f t="shared" ref="W449:W450" si="218">U449-J449</f>
        <v>62.589526549319771</v>
      </c>
      <c r="X449" s="599"/>
      <c r="Y449" s="541"/>
      <c r="Z449" s="501"/>
      <c r="AA449" s="738"/>
      <c r="AC449" s="738"/>
      <c r="AE449" s="744"/>
    </row>
    <row r="450" spans="1:31">
      <c r="A450" s="6">
        <f>MAX(A$417:A449)+1</f>
        <v>214</v>
      </c>
      <c r="B450" s="58"/>
      <c r="C450" s="526" t="s">
        <v>338</v>
      </c>
      <c r="D450" s="58"/>
      <c r="E450" s="522" t="s">
        <v>262</v>
      </c>
      <c r="F450" s="58"/>
      <c r="G450" s="536">
        <v>1256700.005050699</v>
      </c>
      <c r="H450" s="539"/>
      <c r="I450" s="684">
        <v>0.13950000000000001</v>
      </c>
      <c r="J450" s="538">
        <f t="shared" si="215"/>
        <v>1753.0965070457253</v>
      </c>
      <c r="K450" s="538"/>
      <c r="L450" s="29">
        <v>644.97177642106351</v>
      </c>
      <c r="M450" s="29">
        <v>542.68075168659141</v>
      </c>
      <c r="N450" s="29">
        <v>456.50954248953281</v>
      </c>
      <c r="O450" s="538">
        <f t="shared" si="216"/>
        <v>108.93443644853767</v>
      </c>
      <c r="P450" s="564"/>
      <c r="Q450" s="29">
        <v>604.57949385311053</v>
      </c>
      <c r="R450" s="29">
        <v>666.63115515132131</v>
      </c>
      <c r="S450" s="29">
        <v>457.02406670376195</v>
      </c>
      <c r="T450" s="539"/>
      <c r="U450" s="624">
        <f t="shared" si="217"/>
        <v>1837.1691521567313</v>
      </c>
      <c r="V450" s="680">
        <f>U450/G450*100</f>
        <v>0.14618995343145674</v>
      </c>
      <c r="W450" s="549">
        <f t="shared" si="218"/>
        <v>84.072645111006068</v>
      </c>
      <c r="X450" s="599"/>
      <c r="Y450" s="541"/>
      <c r="Z450" s="501"/>
      <c r="AA450" s="738"/>
      <c r="AC450" s="738"/>
      <c r="AE450" s="744"/>
    </row>
    <row r="451" spans="1:31" ht="12.95">
      <c r="A451" s="6">
        <f>MAX(A$417:A450)+1</f>
        <v>215</v>
      </c>
      <c r="B451" s="58"/>
      <c r="C451" s="521" t="s">
        <v>260</v>
      </c>
      <c r="D451" s="58"/>
      <c r="E451" s="128"/>
      <c r="F451" s="58"/>
      <c r="G451" s="550">
        <f>SUM(G448:G450)</f>
        <v>3238864.4996673875</v>
      </c>
      <c r="H451" s="539"/>
      <c r="I451" s="556">
        <f>J451/G451*100</f>
        <v>0.13950000000000001</v>
      </c>
      <c r="J451" s="555">
        <f t="shared" ref="J451" si="219">SUM(J448:J450)</f>
        <v>4518.2159770360058</v>
      </c>
      <c r="K451" s="538"/>
      <c r="L451" s="555">
        <f>SUM(L448:L450)</f>
        <v>1662.2711717529742</v>
      </c>
      <c r="M451" s="555">
        <f t="shared" ref="M451:N451" si="220">SUM(M448:M450)</f>
        <v>1398.6388272669769</v>
      </c>
      <c r="N451" s="555">
        <f t="shared" si="220"/>
        <v>1176.5517187764303</v>
      </c>
      <c r="O451" s="555">
        <f>SUM(O448:O450)</f>
        <v>280.75425923962473</v>
      </c>
      <c r="P451" s="538"/>
      <c r="Q451" s="619">
        <f>SUM(Q448:Q450)</f>
        <v>1558.1690554610284</v>
      </c>
      <c r="R451" s="619">
        <f t="shared" ref="R451:S451" si="221">SUM(R448:R450)</f>
        <v>1718.0933986745476</v>
      </c>
      <c r="S451" s="619">
        <f t="shared" si="221"/>
        <v>1177.8777903965374</v>
      </c>
      <c r="T451" s="539"/>
      <c r="U451" s="554">
        <f>SUM(U448:U450)</f>
        <v>4734.8945037717376</v>
      </c>
      <c r="V451" s="677">
        <f>U451/G451*100</f>
        <v>0.14618995343145672</v>
      </c>
      <c r="W451" s="552">
        <f>SUM(W446:W450)</f>
        <v>216.67852673573157</v>
      </c>
      <c r="X451" s="558">
        <f>V451/I451-1</f>
        <v>4.7956655422628724E-2</v>
      </c>
      <c r="Y451" s="559"/>
      <c r="Z451" s="501"/>
      <c r="AA451" s="738"/>
      <c r="AC451" s="738"/>
      <c r="AE451" s="744"/>
    </row>
    <row r="452" spans="1:31" ht="12.95">
      <c r="A452" s="6"/>
      <c r="B452" s="58"/>
      <c r="C452" s="10"/>
      <c r="D452" s="58"/>
      <c r="E452" s="128"/>
      <c r="F452" s="58"/>
      <c r="G452" s="624"/>
      <c r="H452" s="539"/>
      <c r="I452" s="548"/>
      <c r="J452" s="538"/>
      <c r="K452" s="538"/>
      <c r="L452" s="538"/>
      <c r="M452" s="538"/>
      <c r="N452" s="538"/>
      <c r="O452" s="538"/>
      <c r="P452" s="538"/>
      <c r="Q452" s="564"/>
      <c r="R452" s="564"/>
      <c r="S452" s="564"/>
      <c r="T452" s="539"/>
      <c r="U452" s="539"/>
      <c r="V452" s="680"/>
      <c r="W452" s="534"/>
      <c r="X452" s="559"/>
      <c r="Y452" s="559"/>
      <c r="Z452" s="501"/>
      <c r="AA452" s="738"/>
      <c r="AC452" s="738"/>
      <c r="AE452" s="744"/>
    </row>
    <row r="453" spans="1:31" ht="12.95">
      <c r="A453" s="6">
        <f>MAX(A$417:A452)+1</f>
        <v>216</v>
      </c>
      <c r="B453" s="58"/>
      <c r="C453" s="10" t="s">
        <v>266</v>
      </c>
      <c r="D453" s="58"/>
      <c r="E453" s="128"/>
      <c r="F453" s="58"/>
      <c r="G453" s="550">
        <f>G451</f>
        <v>3238864.4996673875</v>
      </c>
      <c r="H453" s="624"/>
      <c r="I453" s="556">
        <f t="shared" ref="I453:X453" si="222">I451</f>
        <v>0.13950000000000001</v>
      </c>
      <c r="J453" s="555">
        <f t="shared" si="222"/>
        <v>4518.2159770360058</v>
      </c>
      <c r="K453" s="624"/>
      <c r="L453" s="555">
        <f t="shared" si="222"/>
        <v>1662.2711717529742</v>
      </c>
      <c r="M453" s="555">
        <f t="shared" si="222"/>
        <v>1398.6388272669769</v>
      </c>
      <c r="N453" s="555">
        <f t="shared" si="222"/>
        <v>1176.5517187764303</v>
      </c>
      <c r="O453" s="555">
        <f>O451</f>
        <v>280.75425923962473</v>
      </c>
      <c r="P453" s="624"/>
      <c r="Q453" s="555">
        <f t="shared" si="222"/>
        <v>1558.1690554610284</v>
      </c>
      <c r="R453" s="555">
        <f t="shared" si="222"/>
        <v>1718.0933986745476</v>
      </c>
      <c r="S453" s="555">
        <f t="shared" si="222"/>
        <v>1177.8777903965374</v>
      </c>
      <c r="T453" s="624"/>
      <c r="U453" s="550">
        <f t="shared" si="222"/>
        <v>4734.8945037717376</v>
      </c>
      <c r="V453" s="556">
        <f t="shared" si="222"/>
        <v>0.14618995343145672</v>
      </c>
      <c r="W453" s="550">
        <f t="shared" si="222"/>
        <v>216.67852673573157</v>
      </c>
      <c r="X453" s="558">
        <f t="shared" si="222"/>
        <v>4.7956655422628724E-2</v>
      </c>
      <c r="Y453" s="559"/>
      <c r="Z453" s="501"/>
      <c r="AA453" s="738"/>
      <c r="AC453" s="738"/>
      <c r="AE453" s="744"/>
    </row>
    <row r="454" spans="1:31">
      <c r="A454" s="6"/>
      <c r="B454" s="58"/>
      <c r="C454" s="526"/>
      <c r="D454" s="58"/>
      <c r="E454" s="522"/>
      <c r="F454" s="58"/>
      <c r="G454" s="536"/>
      <c r="H454" s="539"/>
      <c r="I454" s="548"/>
      <c r="J454" s="538"/>
      <c r="K454" s="538"/>
      <c r="L454" s="538"/>
      <c r="M454" s="538"/>
      <c r="N454" s="538"/>
      <c r="O454" s="538"/>
      <c r="P454" s="564"/>
      <c r="Q454" s="538"/>
      <c r="R454" s="538"/>
      <c r="S454" s="538"/>
      <c r="T454" s="539"/>
      <c r="U454" s="539"/>
      <c r="V454" s="539"/>
      <c r="W454" s="534"/>
      <c r="X454" s="604"/>
      <c r="Y454" s="534"/>
      <c r="Z454" s="501"/>
      <c r="AA454" s="738"/>
      <c r="AC454" s="738"/>
      <c r="AE454" s="744"/>
    </row>
    <row r="455" spans="1:31">
      <c r="A455" s="6">
        <f>MAX(A$417:A454)+1</f>
        <v>217</v>
      </c>
      <c r="B455" s="58"/>
      <c r="C455" s="521" t="s">
        <v>339</v>
      </c>
      <c r="D455" s="58"/>
      <c r="E455" s="522" t="s">
        <v>262</v>
      </c>
      <c r="F455" s="58"/>
      <c r="G455" s="536">
        <v>3238864.4996673875</v>
      </c>
      <c r="H455" s="539"/>
      <c r="I455" s="684">
        <v>5.0700000000000002E-2</v>
      </c>
      <c r="J455" s="538">
        <f>G455*I455/100</f>
        <v>1642.1043013313654</v>
      </c>
      <c r="K455" s="538"/>
      <c r="L455" s="29">
        <v>0</v>
      </c>
      <c r="M455" s="29">
        <v>634.41530160156981</v>
      </c>
      <c r="N455" s="29">
        <v>1006.5128752333441</v>
      </c>
      <c r="O455" s="538">
        <f>J455-L455-M455-N455</f>
        <v>1.1761244964515072</v>
      </c>
      <c r="P455" s="564"/>
      <c r="Q455" s="29">
        <v>0</v>
      </c>
      <c r="R455" s="29">
        <v>779.31823459361112</v>
      </c>
      <c r="S455" s="29">
        <v>1007.6472989376477</v>
      </c>
      <c r="T455" s="539"/>
      <c r="U455" s="539">
        <f>SUM(O455:S455)</f>
        <v>1788.1416580277105</v>
      </c>
      <c r="V455" s="680">
        <f>U455/G455*100</f>
        <v>5.5208906028990777E-2</v>
      </c>
      <c r="W455" s="534">
        <f>U455-J455</f>
        <v>146.03735669634511</v>
      </c>
      <c r="X455" s="599">
        <f>V455/I455-1</f>
        <v>8.8933057771021229E-2</v>
      </c>
      <c r="Y455" s="541"/>
      <c r="Z455" s="501"/>
      <c r="AA455" s="738"/>
      <c r="AC455" s="738"/>
      <c r="AE455" s="744"/>
    </row>
    <row r="456" spans="1:31">
      <c r="A456" s="6"/>
      <c r="B456" s="58"/>
      <c r="C456" s="10"/>
      <c r="D456" s="58"/>
      <c r="E456" s="30"/>
      <c r="F456" s="58"/>
      <c r="G456" s="624"/>
      <c r="H456" s="539"/>
      <c r="I456" s="548"/>
      <c r="J456" s="538"/>
      <c r="K456" s="538"/>
      <c r="L456" s="538"/>
      <c r="M456" s="538"/>
      <c r="N456" s="538"/>
      <c r="O456" s="538"/>
      <c r="P456" s="564"/>
      <c r="Q456" s="538"/>
      <c r="R456" s="538"/>
      <c r="S456" s="538"/>
      <c r="T456" s="539"/>
      <c r="U456" s="539"/>
      <c r="V456" s="680"/>
      <c r="W456" s="534"/>
      <c r="X456" s="599"/>
      <c r="Y456" s="541"/>
      <c r="Z456" s="501"/>
      <c r="AA456" s="738"/>
      <c r="AC456" s="738"/>
      <c r="AE456" s="744"/>
    </row>
    <row r="457" spans="1:31">
      <c r="A457" s="6">
        <f>MAX(A$417:A456)+1</f>
        <v>218</v>
      </c>
      <c r="B457" s="58"/>
      <c r="C457" s="10" t="s">
        <v>270</v>
      </c>
      <c r="D457" s="58"/>
      <c r="E457" s="522" t="s">
        <v>262</v>
      </c>
      <c r="F457" s="58"/>
      <c r="G457" s="536">
        <v>3057016.7994900364</v>
      </c>
      <c r="H457" s="539"/>
      <c r="I457" s="684">
        <v>20.612300000000001</v>
      </c>
      <c r="J457" s="538">
        <f>G457*I457/100</f>
        <v>630121.47376128484</v>
      </c>
      <c r="K457" s="538"/>
      <c r="L457" s="29">
        <v>0</v>
      </c>
      <c r="M457" s="29">
        <v>0</v>
      </c>
      <c r="N457" s="29">
        <v>0</v>
      </c>
      <c r="O457" s="538">
        <f t="shared" ref="O457" si="223">J457-L457-M457-N457</f>
        <v>630121.47376128484</v>
      </c>
      <c r="P457" s="564"/>
      <c r="Q457" s="29">
        <v>0</v>
      </c>
      <c r="R457" s="29">
        <v>0</v>
      </c>
      <c r="S457" s="29">
        <v>0</v>
      </c>
      <c r="T457" s="539"/>
      <c r="U457" s="539">
        <f>SUM(O457:S457)</f>
        <v>630121.47376128484</v>
      </c>
      <c r="V457" s="680">
        <f>U457/G457*100</f>
        <v>20.612300000000001</v>
      </c>
      <c r="W457" s="538">
        <f t="shared" ref="W457" si="224">U457-J457</f>
        <v>0</v>
      </c>
      <c r="X457" s="599">
        <f>V457/I457-1</f>
        <v>0</v>
      </c>
      <c r="Y457" s="541"/>
      <c r="Z457" s="501"/>
      <c r="AA457" s="738"/>
      <c r="AC457" s="738"/>
      <c r="AE457" s="744"/>
    </row>
    <row r="458" spans="1:31">
      <c r="A458" s="6"/>
      <c r="B458" s="58"/>
      <c r="C458" s="10"/>
      <c r="D458" s="58"/>
      <c r="E458" s="30"/>
      <c r="F458" s="58"/>
      <c r="G458" s="536"/>
      <c r="H458" s="539"/>
      <c r="I458" s="539"/>
      <c r="J458" s="538"/>
      <c r="K458" s="538"/>
      <c r="L458" s="538"/>
      <c r="M458" s="538"/>
      <c r="N458" s="538"/>
      <c r="O458" s="538"/>
      <c r="P458" s="564"/>
      <c r="Q458" s="538"/>
      <c r="R458" s="29"/>
      <c r="S458" s="538"/>
      <c r="T458" s="539"/>
      <c r="U458" s="539"/>
      <c r="V458" s="539"/>
      <c r="W458" s="534"/>
      <c r="X458" s="604"/>
      <c r="Y458" s="534"/>
      <c r="Z458" s="501"/>
      <c r="AA458" s="738"/>
      <c r="AC458" s="738"/>
      <c r="AE458" s="744"/>
    </row>
    <row r="459" spans="1:31" ht="12.95" thickBot="1">
      <c r="A459" s="6">
        <f>MAX(A$417:A458)+1</f>
        <v>219</v>
      </c>
      <c r="B459" s="58"/>
      <c r="C459" s="10" t="s">
        <v>340</v>
      </c>
      <c r="D459" s="58"/>
      <c r="E459" s="30"/>
      <c r="F459" s="58"/>
      <c r="G459" s="588">
        <f>G451</f>
        <v>3238864.4996673875</v>
      </c>
      <c r="H459" s="539"/>
      <c r="I459" s="651">
        <f>J459/G459*100</f>
        <v>19.64521189771893</v>
      </c>
      <c r="J459" s="628">
        <f>J451+J455+J457</f>
        <v>636281.79403965222</v>
      </c>
      <c r="K459" s="564"/>
      <c r="L459" s="628">
        <f>L451+L455+L457</f>
        <v>1662.2711717529742</v>
      </c>
      <c r="M459" s="628">
        <f>M451+M455+M457</f>
        <v>2033.0541288685467</v>
      </c>
      <c r="N459" s="628">
        <f>N451+N455+N457</f>
        <v>2183.0645940097743</v>
      </c>
      <c r="O459" s="628">
        <f>O451+O455+O457</f>
        <v>630403.40414502088</v>
      </c>
      <c r="P459" s="564"/>
      <c r="Q459" s="628">
        <f>Q451+Q455+Q457</f>
        <v>1558.1690554610284</v>
      </c>
      <c r="R459" s="628">
        <f>R451+R455+R457</f>
        <v>2497.4116332681588</v>
      </c>
      <c r="S459" s="628">
        <f>S451+S455+S457</f>
        <v>2185.5250893341854</v>
      </c>
      <c r="T459" s="539"/>
      <c r="U459" s="627">
        <f>U451+U455+U457</f>
        <v>636644.50992308429</v>
      </c>
      <c r="V459" s="651">
        <f>U459/G459*100</f>
        <v>19.656410757179373</v>
      </c>
      <c r="W459" s="627">
        <f>W453+W455+W457</f>
        <v>362.71588343207668</v>
      </c>
      <c r="X459" s="799">
        <f>V459/I459-1</f>
        <v>5.7005541700183571E-4</v>
      </c>
      <c r="Y459" s="630"/>
      <c r="Z459" s="501"/>
      <c r="AA459" s="738"/>
      <c r="AC459" s="738"/>
      <c r="AE459" s="744"/>
    </row>
    <row r="460" spans="1:31" ht="13.5" thickTop="1">
      <c r="A460" s="6"/>
      <c r="B460" s="58"/>
      <c r="C460" s="10"/>
      <c r="D460" s="58"/>
      <c r="E460" s="128"/>
      <c r="F460" s="58"/>
      <c r="G460" s="132"/>
      <c r="H460" s="58"/>
      <c r="I460" s="548"/>
      <c r="J460" s="564"/>
      <c r="K460" s="564"/>
      <c r="L460" s="564"/>
      <c r="M460" s="564"/>
      <c r="N460" s="564"/>
      <c r="O460" s="564"/>
      <c r="P460" s="564"/>
      <c r="Q460" s="564"/>
      <c r="R460" s="564"/>
      <c r="S460" s="564"/>
      <c r="T460" s="539"/>
      <c r="U460" s="539"/>
      <c r="V460" s="680"/>
      <c r="W460" s="539"/>
      <c r="X460" s="783"/>
      <c r="Y460" s="630"/>
      <c r="Z460" s="501"/>
      <c r="AA460" s="738"/>
      <c r="AC460" s="738"/>
      <c r="AE460" s="744"/>
    </row>
    <row r="461" spans="1:31">
      <c r="J461" s="501"/>
      <c r="K461" s="501"/>
      <c r="L461" s="2"/>
      <c r="M461" s="2"/>
      <c r="N461" s="501"/>
      <c r="O461" s="501"/>
      <c r="Q461" s="501"/>
      <c r="R461" s="501"/>
      <c r="S461" s="501"/>
      <c r="W461" s="534"/>
      <c r="X461" s="522"/>
      <c r="Y461" s="501"/>
      <c r="Z461" s="501"/>
      <c r="AA461" s="738"/>
      <c r="AC461" s="738"/>
      <c r="AE461" s="744"/>
    </row>
    <row r="462" spans="1:31">
      <c r="J462" s="501"/>
      <c r="K462" s="501"/>
      <c r="L462" s="2"/>
      <c r="M462" s="2"/>
      <c r="N462" s="501"/>
      <c r="O462" s="501"/>
      <c r="Q462" s="501"/>
      <c r="R462" s="501"/>
      <c r="S462" s="501"/>
      <c r="W462" s="501"/>
      <c r="X462" s="522"/>
      <c r="Y462" s="501"/>
      <c r="Z462" s="501"/>
      <c r="AA462" s="738"/>
      <c r="AC462" s="738"/>
      <c r="AE462" s="744"/>
    </row>
    <row r="463" spans="1:31">
      <c r="J463" s="501"/>
      <c r="K463" s="501"/>
      <c r="L463" s="2"/>
      <c r="M463" s="2"/>
      <c r="N463" s="501"/>
      <c r="O463" s="501"/>
      <c r="Q463" s="501"/>
      <c r="R463" s="501"/>
      <c r="S463" s="501"/>
      <c r="W463" s="501"/>
      <c r="X463" s="522"/>
      <c r="Y463" s="501"/>
      <c r="Z463" s="501"/>
      <c r="AA463" s="738"/>
      <c r="AC463" s="738"/>
      <c r="AE463" s="744"/>
    </row>
    <row r="464" spans="1:31">
      <c r="A464" s="1156" t="s">
        <v>279</v>
      </c>
      <c r="B464" s="1156"/>
      <c r="C464" s="1156"/>
      <c r="D464" s="1156"/>
      <c r="E464" s="1156"/>
      <c r="F464" s="1156"/>
      <c r="G464" s="1156"/>
      <c r="H464" s="1156"/>
      <c r="I464" s="1156"/>
      <c r="J464" s="1156"/>
      <c r="K464" s="1156"/>
      <c r="L464" s="1156"/>
      <c r="M464" s="1156"/>
      <c r="N464" s="1156"/>
      <c r="O464" s="1156"/>
      <c r="P464" s="1156"/>
      <c r="Q464" s="1156"/>
      <c r="R464" s="1156"/>
      <c r="S464" s="1156"/>
      <c r="T464" s="1156"/>
      <c r="U464" s="1156"/>
      <c r="V464" s="1156"/>
      <c r="W464" s="1156"/>
      <c r="X464" s="1156"/>
      <c r="Y464" s="779"/>
      <c r="Z464" s="501"/>
      <c r="AA464" s="738"/>
      <c r="AC464" s="738"/>
      <c r="AE464" s="744"/>
    </row>
    <row r="465" spans="1:31">
      <c r="A465" s="1156" t="s">
        <v>499</v>
      </c>
      <c r="B465" s="1156"/>
      <c r="C465" s="1156"/>
      <c r="D465" s="1156"/>
      <c r="E465" s="1156"/>
      <c r="F465" s="1156"/>
      <c r="G465" s="1156"/>
      <c r="H465" s="1156"/>
      <c r="I465" s="1156"/>
      <c r="J465" s="1156"/>
      <c r="K465" s="1156"/>
      <c r="L465" s="1156"/>
      <c r="M465" s="1156"/>
      <c r="N465" s="1156"/>
      <c r="O465" s="1156"/>
      <c r="P465" s="1156"/>
      <c r="Q465" s="1156"/>
      <c r="R465" s="1156"/>
      <c r="S465" s="1156"/>
      <c r="T465" s="1156"/>
      <c r="U465" s="1156"/>
      <c r="V465" s="1156"/>
      <c r="W465" s="1156"/>
      <c r="X465" s="1156"/>
      <c r="Y465" s="713"/>
      <c r="Z465" s="713"/>
      <c r="AA465" s="738"/>
      <c r="AC465" s="738"/>
      <c r="AE465" s="744"/>
    </row>
    <row r="466" spans="1:31">
      <c r="A466" s="57"/>
      <c r="B466" s="57"/>
      <c r="C466" s="57"/>
      <c r="D466" s="57"/>
      <c r="E466" s="3"/>
      <c r="F466" s="57"/>
      <c r="G466" s="3"/>
      <c r="H466" s="57"/>
      <c r="I466" s="57"/>
      <c r="J466" s="501"/>
      <c r="K466" s="501"/>
      <c r="L466" s="4"/>
      <c r="M466" s="4"/>
      <c r="N466" s="501"/>
      <c r="O466" s="501"/>
      <c r="P466" s="57"/>
      <c r="Q466" s="501"/>
      <c r="R466" s="501"/>
      <c r="S466" s="501"/>
      <c r="T466" s="57"/>
      <c r="U466" s="57"/>
      <c r="V466" s="57"/>
      <c r="W466" s="501"/>
      <c r="X466" s="522"/>
      <c r="Y466" s="501"/>
      <c r="Z466" s="501"/>
      <c r="AA466" s="738"/>
      <c r="AC466" s="738"/>
      <c r="AE466" s="744"/>
    </row>
    <row r="467" spans="1:31">
      <c r="A467" s="3"/>
      <c r="B467" s="3"/>
      <c r="C467" s="3"/>
      <c r="D467" s="3"/>
      <c r="E467" s="58"/>
      <c r="F467" s="58"/>
      <c r="G467" s="1152" t="s">
        <v>231</v>
      </c>
      <c r="H467" s="1152"/>
      <c r="I467" s="1152"/>
      <c r="J467" s="1152"/>
      <c r="K467" s="58"/>
      <c r="L467" s="1152" t="s">
        <v>94</v>
      </c>
      <c r="M467" s="1152"/>
      <c r="N467" s="1152"/>
      <c r="O467" s="58"/>
      <c r="P467" s="3"/>
      <c r="Q467" s="1152" t="s">
        <v>95</v>
      </c>
      <c r="R467" s="1152"/>
      <c r="S467" s="1152"/>
      <c r="T467" s="3"/>
      <c r="U467" s="1152" t="s">
        <v>232</v>
      </c>
      <c r="V467" s="1152"/>
      <c r="W467" s="1152"/>
      <c r="X467" s="1152"/>
      <c r="Y467" s="6"/>
      <c r="Z467" s="501"/>
      <c r="AA467" s="738"/>
      <c r="AC467" s="738"/>
      <c r="AE467" s="744"/>
    </row>
    <row r="468" spans="1:31" ht="37.5">
      <c r="A468" s="5" t="s">
        <v>56</v>
      </c>
      <c r="B468" s="5"/>
      <c r="C468" s="5"/>
      <c r="D468" s="5"/>
      <c r="E468" s="6" t="s">
        <v>233</v>
      </c>
      <c r="F468" s="5"/>
      <c r="G468" s="17" t="s">
        <v>234</v>
      </c>
      <c r="H468" s="5"/>
      <c r="I468" s="17" t="s">
        <v>235</v>
      </c>
      <c r="J468" s="5" t="s">
        <v>101</v>
      </c>
      <c r="K468" s="5"/>
      <c r="L468" s="5" t="s">
        <v>491</v>
      </c>
      <c r="M468" s="5" t="s">
        <v>492</v>
      </c>
      <c r="N468" s="5" t="s">
        <v>493</v>
      </c>
      <c r="O468" s="5" t="s">
        <v>494</v>
      </c>
      <c r="P468" s="5"/>
      <c r="Q468" s="5" t="s">
        <v>491</v>
      </c>
      <c r="R468" s="5" t="s">
        <v>492</v>
      </c>
      <c r="S468" s="5" t="s">
        <v>493</v>
      </c>
      <c r="T468" s="5"/>
      <c r="U468" s="17" t="s">
        <v>113</v>
      </c>
      <c r="V468" s="17" t="s">
        <v>242</v>
      </c>
      <c r="W468" s="17" t="s">
        <v>243</v>
      </c>
      <c r="X468" s="5" t="s">
        <v>244</v>
      </c>
      <c r="Y468" s="5"/>
      <c r="Z468" s="501"/>
      <c r="AA468" s="738"/>
      <c r="AC468" s="738"/>
      <c r="AE468" s="744"/>
    </row>
    <row r="469" spans="1:31" ht="14.45">
      <c r="A469" s="237" t="s">
        <v>57</v>
      </c>
      <c r="B469" s="58"/>
      <c r="C469" s="59" t="s">
        <v>194</v>
      </c>
      <c r="D469" s="58"/>
      <c r="E469" s="237" t="s">
        <v>245</v>
      </c>
      <c r="F469" s="58"/>
      <c r="G469" s="237" t="s">
        <v>246</v>
      </c>
      <c r="H469" s="58"/>
      <c r="I469" s="237" t="s">
        <v>247</v>
      </c>
      <c r="J469" s="237" t="s">
        <v>248</v>
      </c>
      <c r="K469" s="6"/>
      <c r="L469" s="237" t="s">
        <v>248</v>
      </c>
      <c r="M469" s="237" t="s">
        <v>248</v>
      </c>
      <c r="N469" s="237" t="s">
        <v>248</v>
      </c>
      <c r="O469" s="237" t="s">
        <v>248</v>
      </c>
      <c r="P469" s="58"/>
      <c r="Q469" s="237" t="s">
        <v>248</v>
      </c>
      <c r="R469" s="237" t="s">
        <v>248</v>
      </c>
      <c r="S469" s="237" t="s">
        <v>248</v>
      </c>
      <c r="T469" s="58"/>
      <c r="U469" s="237" t="s">
        <v>248</v>
      </c>
      <c r="V469" s="237" t="s">
        <v>247</v>
      </c>
      <c r="W469" s="237" t="s">
        <v>248</v>
      </c>
      <c r="X469" s="237" t="s">
        <v>249</v>
      </c>
      <c r="Y469" s="6"/>
      <c r="Z469" s="501"/>
      <c r="AA469" s="738"/>
      <c r="AC469" s="738"/>
      <c r="AE469" s="744"/>
    </row>
    <row r="470" spans="1:31">
      <c r="A470" s="6"/>
      <c r="B470" s="58"/>
      <c r="C470" s="58"/>
      <c r="D470" s="58"/>
      <c r="E470" s="6"/>
      <c r="F470" s="58"/>
      <c r="G470" s="6" t="s">
        <v>9</v>
      </c>
      <c r="H470" s="6"/>
      <c r="I470" s="6" t="s">
        <v>10</v>
      </c>
      <c r="J470" s="6" t="s">
        <v>58</v>
      </c>
      <c r="K470" s="6"/>
      <c r="L470" s="123" t="s">
        <v>12</v>
      </c>
      <c r="M470" s="123" t="s">
        <v>13</v>
      </c>
      <c r="N470" s="6" t="s">
        <v>115</v>
      </c>
      <c r="O470" s="6" t="s">
        <v>495</v>
      </c>
      <c r="P470" s="6"/>
      <c r="Q470" s="6" t="s">
        <v>210</v>
      </c>
      <c r="R470" s="6" t="s">
        <v>118</v>
      </c>
      <c r="S470" s="6" t="s">
        <v>119</v>
      </c>
      <c r="T470" s="6"/>
      <c r="U470" s="6" t="s">
        <v>496</v>
      </c>
      <c r="V470" s="6" t="s">
        <v>121</v>
      </c>
      <c r="W470" s="6" t="s">
        <v>497</v>
      </c>
      <c r="X470" s="6" t="s">
        <v>498</v>
      </c>
      <c r="Y470" s="501"/>
      <c r="Z470" s="501"/>
      <c r="AA470" s="738"/>
      <c r="AC470" s="738"/>
      <c r="AE470" s="744"/>
    </row>
    <row r="471" spans="1:31">
      <c r="A471" s="6"/>
      <c r="B471" s="58"/>
      <c r="C471" s="526"/>
      <c r="D471" s="58"/>
      <c r="E471" s="30"/>
      <c r="F471" s="58"/>
      <c r="G471" s="29"/>
      <c r="H471" s="58"/>
      <c r="I471" s="58"/>
      <c r="J471" s="538"/>
      <c r="K471" s="538"/>
      <c r="L471" s="538"/>
      <c r="M471" s="538"/>
      <c r="N471" s="538"/>
      <c r="O471" s="538"/>
      <c r="P471" s="564"/>
      <c r="Q471" s="538"/>
      <c r="R471" s="538"/>
      <c r="S471" s="538"/>
      <c r="T471" s="58"/>
      <c r="U471" s="58"/>
      <c r="V471" s="58"/>
      <c r="W471" s="501"/>
      <c r="X471" s="522"/>
      <c r="Y471" s="501"/>
      <c r="Z471" s="501"/>
    </row>
    <row r="472" spans="1:31">
      <c r="A472" s="6"/>
      <c r="B472" s="58"/>
      <c r="C472" s="9" t="s">
        <v>147</v>
      </c>
      <c r="D472" s="58"/>
      <c r="E472" s="30"/>
      <c r="F472" s="58"/>
      <c r="G472" s="132"/>
      <c r="H472" s="58"/>
      <c r="I472" s="58"/>
      <c r="J472" s="538"/>
      <c r="K472" s="538"/>
      <c r="L472" s="538"/>
      <c r="M472" s="538"/>
      <c r="N472" s="538"/>
      <c r="O472" s="538"/>
      <c r="P472" s="564"/>
      <c r="Q472" s="538"/>
      <c r="R472" s="538"/>
      <c r="S472" s="538"/>
      <c r="T472" s="58"/>
      <c r="U472" s="58"/>
      <c r="V472" s="58"/>
      <c r="W472" s="501"/>
      <c r="X472" s="522"/>
      <c r="Y472" s="501"/>
      <c r="Z472" s="501"/>
    </row>
    <row r="473" spans="1:31">
      <c r="A473" s="6">
        <v>220</v>
      </c>
      <c r="B473" s="58"/>
      <c r="C473" s="10" t="s">
        <v>258</v>
      </c>
      <c r="D473" s="58"/>
      <c r="E473" s="57" t="s">
        <v>259</v>
      </c>
      <c r="F473" s="58"/>
      <c r="G473" s="536">
        <v>96924.000000000073</v>
      </c>
      <c r="H473" s="616"/>
      <c r="I473" s="537"/>
      <c r="J473" s="538"/>
      <c r="K473" s="538"/>
      <c r="L473" s="29"/>
      <c r="M473" s="29"/>
      <c r="N473" s="29"/>
      <c r="O473" s="538"/>
      <c r="P473" s="584"/>
      <c r="Q473" s="29"/>
      <c r="R473" s="29"/>
      <c r="S473" s="29"/>
      <c r="T473" s="616"/>
      <c r="U473" s="624"/>
      <c r="V473" s="682"/>
      <c r="W473" s="534"/>
      <c r="X473" s="782"/>
      <c r="Y473" s="541"/>
      <c r="Z473" s="501"/>
      <c r="AA473" s="738"/>
      <c r="AE473" s="739"/>
    </row>
    <row r="474" spans="1:31">
      <c r="A474" s="6"/>
      <c r="B474" s="58"/>
      <c r="C474" s="521" t="s">
        <v>260</v>
      </c>
      <c r="D474" s="58"/>
      <c r="E474" s="30"/>
      <c r="F474" s="58"/>
      <c r="G474" s="536"/>
      <c r="H474" s="659"/>
      <c r="I474" s="637"/>
      <c r="J474" s="538"/>
      <c r="K474" s="538"/>
      <c r="L474" s="538"/>
      <c r="M474" s="538"/>
      <c r="N474" s="538"/>
      <c r="O474" s="538"/>
      <c r="P474" s="585"/>
      <c r="Q474" s="538"/>
      <c r="R474" s="538"/>
      <c r="S474" s="538"/>
      <c r="T474" s="659"/>
      <c r="U474" s="624"/>
      <c r="V474" s="683"/>
      <c r="W474" s="534"/>
      <c r="X474" s="782"/>
      <c r="Y474" s="541"/>
      <c r="Z474" s="501"/>
      <c r="AA474" s="738"/>
      <c r="AE474" s="744"/>
    </row>
    <row r="475" spans="1:31">
      <c r="A475" s="6">
        <f>MAX(A$472:A474)+1</f>
        <v>221</v>
      </c>
      <c r="B475" s="58"/>
      <c r="C475" s="526" t="s">
        <v>341</v>
      </c>
      <c r="D475" s="58"/>
      <c r="E475" s="522" t="s">
        <v>262</v>
      </c>
      <c r="F475" s="58"/>
      <c r="G475" s="536">
        <v>89658.492055731243</v>
      </c>
      <c r="H475" s="539"/>
      <c r="I475" s="684">
        <v>9.8400000000000001E-2</v>
      </c>
      <c r="J475" s="538">
        <f>G475*I475/100</f>
        <v>88.223956182839544</v>
      </c>
      <c r="K475" s="538"/>
      <c r="L475" s="29">
        <v>11.959678475053126</v>
      </c>
      <c r="M475" s="29">
        <v>35.629899893952611</v>
      </c>
      <c r="N475" s="29">
        <v>33.427483437050917</v>
      </c>
      <c r="O475" s="538">
        <f>J475-L475-M475-N475</f>
        <v>7.2068943767828912</v>
      </c>
      <c r="P475" s="564"/>
      <c r="Q475" s="29">
        <v>11.21068645703521</v>
      </c>
      <c r="R475" s="29">
        <v>43.767908204617527</v>
      </c>
      <c r="S475" s="29">
        <v>33.465158990458427</v>
      </c>
      <c r="T475" s="539"/>
      <c r="U475" s="624">
        <f>SUM(O475:S475)</f>
        <v>95.650648028894054</v>
      </c>
      <c r="V475" s="680">
        <f>U475/G475*100</f>
        <v>0.10668331112399047</v>
      </c>
      <c r="W475" s="549">
        <f>U475-J475</f>
        <v>7.4266918460545099</v>
      </c>
      <c r="X475" s="599"/>
      <c r="Y475" s="541"/>
      <c r="Z475" s="501"/>
      <c r="AA475" s="738"/>
      <c r="AC475" s="738"/>
      <c r="AE475" s="744"/>
    </row>
    <row r="476" spans="1:31">
      <c r="A476" s="6">
        <f>MAX(A$472:A475)+1</f>
        <v>222</v>
      </c>
      <c r="B476" s="58"/>
      <c r="C476" s="526" t="s">
        <v>342</v>
      </c>
      <c r="D476" s="58"/>
      <c r="E476" s="522" t="s">
        <v>262</v>
      </c>
      <c r="F476" s="58"/>
      <c r="G476" s="536">
        <v>391300.86243960465</v>
      </c>
      <c r="H476" s="539"/>
      <c r="I476" s="684">
        <v>9.8400000000000001E-2</v>
      </c>
      <c r="J476" s="538">
        <f t="shared" ref="J476:J478" si="225">G476*I476/100</f>
        <v>385.04004864057094</v>
      </c>
      <c r="K476" s="538"/>
      <c r="L476" s="29">
        <v>52.196199093775803</v>
      </c>
      <c r="M476" s="29">
        <v>155.50128311854894</v>
      </c>
      <c r="N476" s="29">
        <v>145.88917121172457</v>
      </c>
      <c r="O476" s="538">
        <f t="shared" ref="O476:O478" si="226">J476-L476-M476-N476</f>
        <v>31.453395216521614</v>
      </c>
      <c r="P476" s="564"/>
      <c r="Q476" s="29">
        <v>48.927337261607001</v>
      </c>
      <c r="R476" s="29">
        <v>191.01838359046451</v>
      </c>
      <c r="S476" s="29">
        <v>146.05360043870829</v>
      </c>
      <c r="T476" s="539"/>
      <c r="U476" s="624">
        <f t="shared" ref="U476:U478" si="227">SUM(O476:S476)</f>
        <v>417.45271650730137</v>
      </c>
      <c r="V476" s="680">
        <f>U476/G476*100</f>
        <v>0.10668331112399046</v>
      </c>
      <c r="W476" s="549">
        <f t="shared" ref="W476:W478" si="228">U476-J476</f>
        <v>32.41266786673043</v>
      </c>
      <c r="X476" s="599"/>
      <c r="Y476" s="541"/>
      <c r="Z476" s="501"/>
      <c r="AA476" s="738"/>
      <c r="AC476" s="738"/>
      <c r="AE476" s="744"/>
    </row>
    <row r="477" spans="1:31">
      <c r="A477" s="6">
        <f>MAX(A$472:A476)+1</f>
        <v>223</v>
      </c>
      <c r="B477" s="58"/>
      <c r="C477" s="526" t="s">
        <v>343</v>
      </c>
      <c r="D477" s="58"/>
      <c r="E477" s="522" t="s">
        <v>262</v>
      </c>
      <c r="F477" s="58"/>
      <c r="G477" s="536">
        <v>373385.94021697668</v>
      </c>
      <c r="H477" s="539"/>
      <c r="I477" s="684">
        <v>9.8400000000000001E-2</v>
      </c>
      <c r="J477" s="538">
        <f t="shared" si="225"/>
        <v>367.41176517350505</v>
      </c>
      <c r="K477" s="538"/>
      <c r="L477" s="29">
        <v>49.806501199291546</v>
      </c>
      <c r="M477" s="29">
        <v>148.38196992506568</v>
      </c>
      <c r="N477" s="29">
        <v>139.20992921085855</v>
      </c>
      <c r="O477" s="538">
        <f t="shared" si="226"/>
        <v>30.013364838289249</v>
      </c>
      <c r="P477" s="564"/>
      <c r="Q477" s="29">
        <v>46.687297625258736</v>
      </c>
      <c r="R477" s="29">
        <v>182.27299145465375</v>
      </c>
      <c r="S477" s="29">
        <v>139.36683037671258</v>
      </c>
      <c r="T477" s="539"/>
      <c r="U477" s="624">
        <f t="shared" si="227"/>
        <v>398.34048429491435</v>
      </c>
      <c r="V477" s="680">
        <f>U477/G477*100</f>
        <v>0.10668331112399047</v>
      </c>
      <c r="W477" s="549">
        <f t="shared" si="228"/>
        <v>30.928719121409301</v>
      </c>
      <c r="X477" s="599"/>
      <c r="Y477" s="541"/>
      <c r="Z477" s="501"/>
      <c r="AA477" s="738"/>
      <c r="AC477" s="738"/>
      <c r="AE477" s="744"/>
    </row>
    <row r="478" spans="1:31">
      <c r="A478" s="6">
        <f>MAX(A$472:A477)+1</f>
        <v>224</v>
      </c>
      <c r="B478" s="58"/>
      <c r="C478" s="526" t="s">
        <v>344</v>
      </c>
      <c r="D478" s="58"/>
      <c r="E478" s="522" t="s">
        <v>262</v>
      </c>
      <c r="F478" s="58"/>
      <c r="G478" s="536">
        <v>488968.96402614162</v>
      </c>
      <c r="H478" s="539"/>
      <c r="I478" s="684">
        <v>9.8400000000000001E-2</v>
      </c>
      <c r="J478" s="538">
        <f t="shared" si="225"/>
        <v>481.14546060172341</v>
      </c>
      <c r="K478" s="538"/>
      <c r="L478" s="29">
        <v>65.22429119594652</v>
      </c>
      <c r="M478" s="29">
        <v>194.31416745969554</v>
      </c>
      <c r="N478" s="29">
        <v>182.3028870043434</v>
      </c>
      <c r="O478" s="538">
        <f t="shared" si="226"/>
        <v>39.304114941737936</v>
      </c>
      <c r="P478" s="564"/>
      <c r="Q478" s="29">
        <v>61.139526409958151</v>
      </c>
      <c r="R478" s="29">
        <v>238.69628232315412</v>
      </c>
      <c r="S478" s="29">
        <v>182.50835751691162</v>
      </c>
      <c r="T478" s="539"/>
      <c r="U478" s="624">
        <f t="shared" si="227"/>
        <v>521.64828119176184</v>
      </c>
      <c r="V478" s="680">
        <f>U478/G478*100</f>
        <v>0.1066833111239905</v>
      </c>
      <c r="W478" s="549">
        <f t="shared" si="228"/>
        <v>40.502820590038425</v>
      </c>
      <c r="X478" s="599"/>
      <c r="Y478" s="541"/>
      <c r="Z478" s="501"/>
      <c r="AA478" s="738"/>
      <c r="AC478" s="738"/>
      <c r="AE478" s="744"/>
    </row>
    <row r="479" spans="1:31">
      <c r="A479" s="6">
        <f>MAX(A$472:A478)+1</f>
        <v>225</v>
      </c>
      <c r="C479" s="521" t="s">
        <v>260</v>
      </c>
      <c r="G479" s="550">
        <f>SUM(G475:G478)</f>
        <v>1343314.2587384542</v>
      </c>
      <c r="H479" s="539"/>
      <c r="I479" s="556">
        <f>J479/G479*100</f>
        <v>9.8400000000000001E-2</v>
      </c>
      <c r="J479" s="555">
        <f t="shared" ref="J479" si="229">SUM(J475:J478)</f>
        <v>1321.821230598639</v>
      </c>
      <c r="K479" s="538"/>
      <c r="L479" s="555">
        <f>SUM(L475:L478)</f>
        <v>179.18666996406699</v>
      </c>
      <c r="M479" s="555">
        <f t="shared" ref="M479:O479" si="230">SUM(M475:M478)</f>
        <v>533.82732039726272</v>
      </c>
      <c r="N479" s="555">
        <f t="shared" si="230"/>
        <v>500.82947086397741</v>
      </c>
      <c r="O479" s="555">
        <f t="shared" si="230"/>
        <v>107.97776937333168</v>
      </c>
      <c r="P479" s="538"/>
      <c r="Q479" s="555">
        <f>SUM(Q475:Q478)</f>
        <v>167.96484775385909</v>
      </c>
      <c r="R479" s="555">
        <f t="shared" ref="R479:S479" si="231">SUM(R475:R478)</f>
        <v>655.75556557288996</v>
      </c>
      <c r="S479" s="555">
        <f t="shared" si="231"/>
        <v>501.39394732279095</v>
      </c>
      <c r="T479" s="538"/>
      <c r="U479" s="554">
        <f>SUM(U475:U478)</f>
        <v>1433.0921300228715</v>
      </c>
      <c r="V479" s="677">
        <f>U479/G479*100</f>
        <v>0.10668331112399047</v>
      </c>
      <c r="W479" s="557">
        <f>SUM(W475:W478)</f>
        <v>111.27089942423267</v>
      </c>
      <c r="X479" s="558">
        <f>V479/I479-1</f>
        <v>8.4179991097464102E-2</v>
      </c>
      <c r="Y479" s="559"/>
      <c r="Z479" s="501"/>
      <c r="AA479" s="738"/>
      <c r="AC479" s="738"/>
      <c r="AE479" s="744"/>
    </row>
    <row r="480" spans="1:31">
      <c r="A480" s="6"/>
      <c r="C480" s="10"/>
      <c r="G480" s="624"/>
      <c r="H480" s="539"/>
      <c r="I480" s="548"/>
      <c r="J480" s="538"/>
      <c r="K480" s="538"/>
      <c r="L480" s="538"/>
      <c r="M480" s="538"/>
      <c r="N480" s="538"/>
      <c r="O480" s="538"/>
      <c r="P480" s="538"/>
      <c r="Q480" s="538"/>
      <c r="R480" s="538"/>
      <c r="S480" s="538"/>
      <c r="T480" s="538"/>
      <c r="U480" s="539"/>
      <c r="V480" s="680"/>
      <c r="W480" s="549"/>
      <c r="X480" s="559"/>
      <c r="Y480" s="559"/>
      <c r="Z480" s="501"/>
      <c r="AA480" s="738"/>
      <c r="AC480" s="738"/>
      <c r="AE480" s="744"/>
    </row>
    <row r="481" spans="1:31">
      <c r="A481" s="6">
        <f>MAX(A$472:A480)+1</f>
        <v>226</v>
      </c>
      <c r="C481" s="10" t="s">
        <v>266</v>
      </c>
      <c r="G481" s="550">
        <f>G479</f>
        <v>1343314.2587384542</v>
      </c>
      <c r="H481" s="624"/>
      <c r="I481" s="556">
        <f t="shared" ref="I481:X481" si="232">I479</f>
        <v>9.8400000000000001E-2</v>
      </c>
      <c r="J481" s="555">
        <f t="shared" si="232"/>
        <v>1321.821230598639</v>
      </c>
      <c r="K481" s="624"/>
      <c r="L481" s="555">
        <f t="shared" si="232"/>
        <v>179.18666996406699</v>
      </c>
      <c r="M481" s="555">
        <f t="shared" si="232"/>
        <v>533.82732039726272</v>
      </c>
      <c r="N481" s="555">
        <f t="shared" si="232"/>
        <v>500.82947086397741</v>
      </c>
      <c r="O481" s="555">
        <f t="shared" si="232"/>
        <v>107.97776937333168</v>
      </c>
      <c r="P481" s="624"/>
      <c r="Q481" s="555">
        <f t="shared" si="232"/>
        <v>167.96484775385909</v>
      </c>
      <c r="R481" s="555">
        <f t="shared" si="232"/>
        <v>655.75556557288996</v>
      </c>
      <c r="S481" s="555">
        <f t="shared" si="232"/>
        <v>501.39394732279095</v>
      </c>
      <c r="T481" s="624"/>
      <c r="U481" s="550">
        <f t="shared" si="232"/>
        <v>1433.0921300228715</v>
      </c>
      <c r="V481" s="556">
        <f t="shared" si="232"/>
        <v>0.10668331112399047</v>
      </c>
      <c r="W481" s="555">
        <f t="shared" si="232"/>
        <v>111.27089942423267</v>
      </c>
      <c r="X481" s="558">
        <f t="shared" si="232"/>
        <v>8.4179991097464102E-2</v>
      </c>
      <c r="Y481" s="559"/>
      <c r="Z481" s="501"/>
      <c r="AA481" s="738"/>
      <c r="AC481" s="738"/>
      <c r="AE481" s="744"/>
    </row>
    <row r="482" spans="1:31">
      <c r="A482" s="6"/>
      <c r="B482" s="58"/>
      <c r="C482" s="526"/>
      <c r="D482" s="58"/>
      <c r="E482" s="522"/>
      <c r="F482" s="58"/>
      <c r="G482" s="29"/>
      <c r="H482" s="58"/>
      <c r="I482" s="58"/>
      <c r="J482" s="538"/>
      <c r="K482" s="538"/>
      <c r="L482" s="538"/>
      <c r="M482" s="538"/>
      <c r="N482" s="538"/>
      <c r="O482" s="538"/>
      <c r="P482" s="564"/>
      <c r="Q482" s="538"/>
      <c r="R482" s="538"/>
      <c r="S482" s="538"/>
      <c r="T482" s="58"/>
      <c r="U482" s="58"/>
      <c r="V482" s="58"/>
      <c r="W482" s="501"/>
      <c r="X482" s="605"/>
      <c r="Y482" s="501"/>
      <c r="Z482" s="501"/>
      <c r="AA482" s="738"/>
      <c r="AC482" s="738"/>
      <c r="AE482" s="744"/>
    </row>
    <row r="483" spans="1:31">
      <c r="A483" s="6">
        <f>MAX(A$472:A482)+1</f>
        <v>227</v>
      </c>
      <c r="B483" s="58"/>
      <c r="C483" s="521" t="s">
        <v>339</v>
      </c>
      <c r="D483" s="58"/>
      <c r="E483" s="522" t="s">
        <v>262</v>
      </c>
      <c r="F483" s="58"/>
      <c r="G483" s="536">
        <v>1343314.2587384542</v>
      </c>
      <c r="H483" s="539"/>
      <c r="I483" s="684">
        <v>4.6600000000000003E-2</v>
      </c>
      <c r="J483" s="538">
        <f>G483*I483/100</f>
        <v>625.98444457211963</v>
      </c>
      <c r="K483" s="538"/>
      <c r="L483" s="29">
        <v>0</v>
      </c>
      <c r="M483" s="29">
        <v>242.14129757484648</v>
      </c>
      <c r="N483" s="29">
        <v>384.16213010551439</v>
      </c>
      <c r="O483" s="538">
        <f>J483-L483-M483-N483</f>
        <v>-0.3189831082412411</v>
      </c>
      <c r="P483" s="564"/>
      <c r="Q483" s="29">
        <v>0</v>
      </c>
      <c r="R483" s="29">
        <v>297.44731577541239</v>
      </c>
      <c r="S483" s="29">
        <v>384.59511277012899</v>
      </c>
      <c r="T483" s="539"/>
      <c r="U483" s="539">
        <f>SUM(O483:S483)</f>
        <v>681.72344543730014</v>
      </c>
      <c r="V483" s="680">
        <f>U483/G483*100</f>
        <v>5.0749364194014178E-2</v>
      </c>
      <c r="W483" s="549">
        <f>U483-J483</f>
        <v>55.739000865180515</v>
      </c>
      <c r="X483" s="599">
        <f>V483/I483-1</f>
        <v>8.9042150086141136E-2</v>
      </c>
      <c r="Y483" s="541"/>
      <c r="Z483" s="501"/>
      <c r="AA483" s="738"/>
      <c r="AC483" s="738"/>
      <c r="AE483" s="744"/>
    </row>
    <row r="484" spans="1:31">
      <c r="A484" s="6"/>
      <c r="B484" s="58"/>
      <c r="C484" s="10"/>
      <c r="D484" s="58"/>
      <c r="E484" s="30"/>
      <c r="F484" s="58"/>
      <c r="G484" s="624"/>
      <c r="H484" s="539"/>
      <c r="I484" s="684"/>
      <c r="J484" s="538"/>
      <c r="K484" s="538"/>
      <c r="L484" s="538"/>
      <c r="M484" s="538"/>
      <c r="N484" s="538"/>
      <c r="O484" s="538"/>
      <c r="P484" s="564"/>
      <c r="Q484" s="29"/>
      <c r="R484" s="29"/>
      <c r="S484" s="29"/>
      <c r="T484" s="539"/>
      <c r="U484" s="539"/>
      <c r="V484" s="680"/>
      <c r="W484" s="534"/>
      <c r="X484" s="599"/>
      <c r="Y484" s="541"/>
      <c r="Z484" s="501"/>
      <c r="AA484" s="738"/>
      <c r="AC484" s="738"/>
      <c r="AE484" s="744"/>
    </row>
    <row r="485" spans="1:31">
      <c r="A485" s="6">
        <f>MAX(A$472:A484)+1</f>
        <v>228</v>
      </c>
      <c r="B485" s="58"/>
      <c r="C485" s="10" t="s">
        <v>270</v>
      </c>
      <c r="D485" s="58"/>
      <c r="E485" s="522" t="s">
        <v>262</v>
      </c>
      <c r="F485" s="58"/>
      <c r="G485" s="536">
        <v>712317.1393682817</v>
      </c>
      <c r="H485" s="539"/>
      <c r="I485" s="684">
        <v>20.612300000000001</v>
      </c>
      <c r="J485" s="538">
        <f t="shared" ref="J485" si="233">G485*I485/100</f>
        <v>146824.94571800833</v>
      </c>
      <c r="K485" s="538"/>
      <c r="L485" s="29">
        <v>0</v>
      </c>
      <c r="M485" s="29">
        <v>0</v>
      </c>
      <c r="N485" s="29">
        <v>0</v>
      </c>
      <c r="O485" s="538">
        <f>J485-L485-M485-N485</f>
        <v>146824.94571800833</v>
      </c>
      <c r="P485" s="564"/>
      <c r="Q485" s="29">
        <v>0</v>
      </c>
      <c r="R485" s="29">
        <v>0</v>
      </c>
      <c r="S485" s="29">
        <v>0</v>
      </c>
      <c r="T485" s="539"/>
      <c r="U485" s="539">
        <f t="shared" ref="U485" si="234">SUM(O485:S485)</f>
        <v>146824.94571800833</v>
      </c>
      <c r="V485" s="565">
        <f>U485/G485*100</f>
        <v>20.612300000000001</v>
      </c>
      <c r="W485" s="538">
        <f t="shared" ref="W485" si="235">U485-J485</f>
        <v>0</v>
      </c>
      <c r="X485" s="599">
        <f>V485/I485-1</f>
        <v>0</v>
      </c>
      <c r="Y485" s="541"/>
      <c r="Z485" s="501"/>
      <c r="AA485" s="738"/>
      <c r="AC485" s="738"/>
      <c r="AE485" s="744"/>
    </row>
    <row r="486" spans="1:31">
      <c r="A486" s="6"/>
      <c r="B486" s="58"/>
      <c r="C486" s="10"/>
      <c r="D486" s="58"/>
      <c r="E486" s="30"/>
      <c r="F486" s="58"/>
      <c r="G486" s="536"/>
      <c r="H486" s="539"/>
      <c r="I486" s="539"/>
      <c r="J486" s="538"/>
      <c r="K486" s="538"/>
      <c r="L486" s="538"/>
      <c r="M486" s="538"/>
      <c r="N486" s="538"/>
      <c r="O486" s="538"/>
      <c r="P486" s="564"/>
      <c r="Q486" s="29"/>
      <c r="R486" s="29"/>
      <c r="S486" s="29"/>
      <c r="T486" s="539"/>
      <c r="U486" s="539"/>
      <c r="V486" s="539"/>
      <c r="W486" s="534"/>
      <c r="X486" s="604"/>
      <c r="Y486" s="534"/>
      <c r="Z486" s="501"/>
      <c r="AA486" s="738"/>
      <c r="AC486" s="738"/>
    </row>
    <row r="487" spans="1:31" ht="12.95" thickBot="1">
      <c r="A487" s="6">
        <f>MAX(A$472:A486)+1</f>
        <v>229</v>
      </c>
      <c r="B487" s="58"/>
      <c r="C487" s="10" t="s">
        <v>345</v>
      </c>
      <c r="D487" s="58"/>
      <c r="E487" s="30"/>
      <c r="F487" s="58"/>
      <c r="G487" s="588">
        <f>G479</f>
        <v>1343314.2587384542</v>
      </c>
      <c r="H487" s="539"/>
      <c r="I487" s="651">
        <f>J487/G487*100</f>
        <v>11.075051904302418</v>
      </c>
      <c r="J487" s="628">
        <f>J479+J483+J485</f>
        <v>148772.75139317909</v>
      </c>
      <c r="K487" s="564"/>
      <c r="L487" s="628">
        <f>L479+L483+L485</f>
        <v>179.18666996406699</v>
      </c>
      <c r="M487" s="628">
        <f>M479+M483+M485</f>
        <v>775.9686179721092</v>
      </c>
      <c r="N487" s="628">
        <f>N479+N483+N485</f>
        <v>884.99160096949186</v>
      </c>
      <c r="O487" s="628">
        <f>O479+O483+O485</f>
        <v>146932.60450427342</v>
      </c>
      <c r="P487" s="564"/>
      <c r="Q487" s="628">
        <f>Q479+Q483+Q484+Q485+Q486</f>
        <v>167.96484775385909</v>
      </c>
      <c r="R487" s="628">
        <f>R479+R483+R484+R485+R486</f>
        <v>953.2028813483023</v>
      </c>
      <c r="S487" s="628">
        <f>S479+S483+S484+S485+S486</f>
        <v>885.98906009292</v>
      </c>
      <c r="T487" s="539"/>
      <c r="U487" s="627">
        <f>U479+U483+U485</f>
        <v>148939.7612934685</v>
      </c>
      <c r="V487" s="651">
        <f>U487/G487*100</f>
        <v>11.087484579620423</v>
      </c>
      <c r="W487" s="627">
        <f>W481+W483+W485</f>
        <v>167.00990028941317</v>
      </c>
      <c r="X487" s="602">
        <f>V487/I487-1</f>
        <v>1.1225839323762976E-3</v>
      </c>
      <c r="Y487" s="559"/>
      <c r="Z487" s="501"/>
      <c r="AA487" s="738"/>
      <c r="AC487" s="738"/>
      <c r="AE487" s="744"/>
    </row>
    <row r="488" spans="1:31" ht="12.95" thickTop="1">
      <c r="A488" s="6"/>
      <c r="J488" s="501"/>
      <c r="K488" s="501"/>
      <c r="L488" s="2"/>
      <c r="M488" s="2"/>
      <c r="N488" s="501"/>
      <c r="O488" s="501"/>
      <c r="Q488" s="501"/>
      <c r="R488" s="501"/>
      <c r="S488" s="501"/>
      <c r="W488" s="534"/>
      <c r="X488" s="605"/>
      <c r="Y488" s="501"/>
      <c r="Z488" s="501"/>
    </row>
    <row r="489" spans="1:31">
      <c r="A489" s="6"/>
      <c r="B489" s="58"/>
      <c r="C489" s="9" t="s">
        <v>148</v>
      </c>
      <c r="D489" s="58"/>
      <c r="E489" s="30"/>
      <c r="F489" s="58"/>
      <c r="G489" s="29"/>
      <c r="H489" s="58"/>
      <c r="I489" s="58"/>
      <c r="J489" s="538"/>
      <c r="K489" s="538"/>
      <c r="L489" s="538"/>
      <c r="M489" s="538"/>
      <c r="N489" s="538"/>
      <c r="O489" s="538"/>
      <c r="P489" s="564"/>
      <c r="Q489" s="538"/>
      <c r="R489" s="538"/>
      <c r="S489" s="538"/>
      <c r="T489" s="58"/>
      <c r="U489" s="58"/>
      <c r="V489" s="58"/>
      <c r="W489" s="501"/>
      <c r="X489" s="605"/>
      <c r="Y489" s="501"/>
      <c r="Z489" s="501"/>
    </row>
    <row r="490" spans="1:31">
      <c r="A490" s="6"/>
      <c r="B490" s="58"/>
      <c r="C490" s="521" t="s">
        <v>280</v>
      </c>
      <c r="D490" s="58"/>
      <c r="E490" s="30"/>
      <c r="F490" s="58"/>
      <c r="G490" s="29"/>
      <c r="H490" s="58"/>
      <c r="I490" s="58"/>
      <c r="J490" s="538"/>
      <c r="K490" s="538"/>
      <c r="L490" s="538"/>
      <c r="M490" s="538"/>
      <c r="N490" s="538"/>
      <c r="O490" s="538"/>
      <c r="P490" s="564"/>
      <c r="Q490" s="538"/>
      <c r="R490" s="538"/>
      <c r="S490" s="538"/>
      <c r="T490" s="58"/>
      <c r="U490" s="58"/>
      <c r="V490" s="58"/>
      <c r="W490" s="501"/>
      <c r="X490" s="605"/>
      <c r="Y490" s="501"/>
      <c r="Z490" s="501"/>
    </row>
    <row r="491" spans="1:31">
      <c r="A491" s="6">
        <f>MAX(A$472:A490)+1</f>
        <v>230</v>
      </c>
      <c r="B491" s="58"/>
      <c r="C491" s="526" t="s">
        <v>346</v>
      </c>
      <c r="D491" s="58"/>
      <c r="E491" s="522" t="s">
        <v>281</v>
      </c>
      <c r="F491" s="58"/>
      <c r="G491" s="29">
        <v>20879.34</v>
      </c>
      <c r="H491" s="58"/>
      <c r="I491" s="29">
        <v>0</v>
      </c>
      <c r="J491" s="29">
        <v>0</v>
      </c>
      <c r="K491" s="29"/>
      <c r="L491" s="29">
        <v>0</v>
      </c>
      <c r="M491" s="29">
        <v>0</v>
      </c>
      <c r="N491" s="29">
        <v>0</v>
      </c>
      <c r="O491" s="29">
        <v>0</v>
      </c>
      <c r="P491" s="564"/>
      <c r="Q491" s="29">
        <v>0</v>
      </c>
      <c r="R491" s="29">
        <v>0</v>
      </c>
      <c r="S491" s="29">
        <v>0</v>
      </c>
      <c r="T491" s="539"/>
      <c r="U491" s="29">
        <v>0</v>
      </c>
      <c r="V491" s="29">
        <v>0</v>
      </c>
      <c r="W491" s="29">
        <v>0</v>
      </c>
      <c r="X491" s="29"/>
      <c r="Y491" s="541"/>
      <c r="Z491" s="501"/>
    </row>
    <row r="492" spans="1:31">
      <c r="A492" s="6">
        <f>MAX(A$472:A491)+1</f>
        <v>231</v>
      </c>
      <c r="B492" s="58"/>
      <c r="C492" s="526" t="s">
        <v>347</v>
      </c>
      <c r="D492" s="58"/>
      <c r="E492" s="522" t="s">
        <v>281</v>
      </c>
      <c r="F492" s="58"/>
      <c r="G492" s="29">
        <v>20175.232</v>
      </c>
      <c r="H492" s="58"/>
      <c r="I492" s="29">
        <v>0</v>
      </c>
      <c r="J492" s="29">
        <v>0</v>
      </c>
      <c r="K492" s="29"/>
      <c r="L492" s="29">
        <v>0</v>
      </c>
      <c r="M492" s="29">
        <v>0</v>
      </c>
      <c r="N492" s="29">
        <v>0</v>
      </c>
      <c r="O492" s="29">
        <v>0</v>
      </c>
      <c r="P492" s="564"/>
      <c r="Q492" s="29">
        <v>0</v>
      </c>
      <c r="R492" s="29">
        <v>0</v>
      </c>
      <c r="S492" s="29">
        <v>0</v>
      </c>
      <c r="T492" s="539"/>
      <c r="U492" s="29">
        <v>0</v>
      </c>
      <c r="V492" s="29">
        <v>0</v>
      </c>
      <c r="W492" s="29">
        <v>0</v>
      </c>
      <c r="X492" s="29"/>
      <c r="Y492" s="541"/>
      <c r="Z492" s="501"/>
    </row>
    <row r="493" spans="1:31">
      <c r="A493" s="6">
        <f>MAX(A$472:A492)+1</f>
        <v>232</v>
      </c>
      <c r="C493" s="526" t="s">
        <v>348</v>
      </c>
      <c r="E493" s="522" t="s">
        <v>281</v>
      </c>
      <c r="G493" s="29">
        <v>5781.4719999999998</v>
      </c>
      <c r="I493" s="29">
        <v>0</v>
      </c>
      <c r="J493" s="29">
        <v>0</v>
      </c>
      <c r="K493" s="29"/>
      <c r="L493" s="29">
        <v>0</v>
      </c>
      <c r="M493" s="29">
        <v>0</v>
      </c>
      <c r="N493" s="29">
        <v>0</v>
      </c>
      <c r="O493" s="29">
        <v>0</v>
      </c>
      <c r="P493" s="64"/>
      <c r="Q493" s="29">
        <v>0</v>
      </c>
      <c r="R493" s="29">
        <v>0</v>
      </c>
      <c r="S493" s="29">
        <v>0</v>
      </c>
      <c r="T493" s="567"/>
      <c r="U493" s="29">
        <v>0</v>
      </c>
      <c r="V493" s="29">
        <v>0</v>
      </c>
      <c r="W493" s="29">
        <v>0</v>
      </c>
      <c r="X493" s="29"/>
      <c r="Y493" s="541"/>
      <c r="Z493" s="501"/>
    </row>
    <row r="494" spans="1:31">
      <c r="A494" s="6">
        <f>MAX(A$472:A493)+1</f>
        <v>233</v>
      </c>
      <c r="B494" s="58"/>
      <c r="C494" s="521" t="s">
        <v>280</v>
      </c>
      <c r="D494" s="58"/>
      <c r="E494" s="574"/>
      <c r="F494" s="58"/>
      <c r="G494" s="411">
        <f>SUM(G491:G493)</f>
        <v>46836.044000000002</v>
      </c>
      <c r="H494" s="58"/>
      <c r="I494" s="619">
        <f>O494/G494*100</f>
        <v>0</v>
      </c>
      <c r="J494" s="619">
        <f t="shared" ref="J494" si="236">SUM(J491:J493)</f>
        <v>0</v>
      </c>
      <c r="K494" s="564"/>
      <c r="L494" s="619">
        <f>SUM(L491:L493)</f>
        <v>0</v>
      </c>
      <c r="M494" s="619">
        <f t="shared" ref="M494:O494" si="237">SUM(M491:M493)</f>
        <v>0</v>
      </c>
      <c r="N494" s="619">
        <f t="shared" si="237"/>
        <v>0</v>
      </c>
      <c r="O494" s="619">
        <f t="shared" si="237"/>
        <v>0</v>
      </c>
      <c r="P494" s="564"/>
      <c r="Q494" s="619">
        <f>SUM(Q491:Q493)</f>
        <v>0</v>
      </c>
      <c r="R494" s="619">
        <f t="shared" ref="R494:S494" si="238">SUM(R491:R493)</f>
        <v>0</v>
      </c>
      <c r="S494" s="619">
        <f t="shared" si="238"/>
        <v>0</v>
      </c>
      <c r="T494" s="686"/>
      <c r="U494" s="619">
        <f>SUM(U491:U493)</f>
        <v>0</v>
      </c>
      <c r="V494" s="619">
        <f>U494/G494*100</f>
        <v>0</v>
      </c>
      <c r="W494" s="555">
        <f>SUM(W491:W493)</f>
        <v>0</v>
      </c>
      <c r="X494" s="609"/>
      <c r="Y494" s="541"/>
      <c r="Z494" s="501"/>
      <c r="AA494" s="738"/>
      <c r="AE494" s="744"/>
    </row>
    <row r="495" spans="1:31">
      <c r="A495" s="6"/>
      <c r="B495" s="58"/>
      <c r="C495" s="10"/>
      <c r="D495" s="58"/>
      <c r="E495" s="30"/>
      <c r="F495" s="58"/>
      <c r="G495" s="129"/>
      <c r="H495" s="58"/>
      <c r="I495" s="548"/>
      <c r="J495" s="534"/>
      <c r="K495" s="534"/>
      <c r="L495" s="501"/>
      <c r="M495" s="501"/>
      <c r="N495" s="501"/>
      <c r="O495" s="534"/>
      <c r="P495" s="58"/>
      <c r="Q495" s="534"/>
      <c r="R495" s="534"/>
      <c r="S495" s="534"/>
      <c r="T495" s="539"/>
      <c r="U495" s="539"/>
      <c r="V495" s="548"/>
      <c r="W495" s="534"/>
      <c r="X495" s="599"/>
      <c r="Y495" s="541"/>
      <c r="Z495" s="501"/>
      <c r="AA495" s="738"/>
    </row>
    <row r="496" spans="1:31">
      <c r="A496" s="6"/>
      <c r="B496" s="58"/>
      <c r="C496" s="521" t="s">
        <v>260</v>
      </c>
      <c r="D496" s="58"/>
      <c r="E496" s="30"/>
      <c r="F496" s="58"/>
      <c r="G496" s="29"/>
      <c r="H496" s="58"/>
      <c r="I496" s="548"/>
      <c r="J496" s="534"/>
      <c r="K496" s="534"/>
      <c r="L496" s="534"/>
      <c r="M496" s="534"/>
      <c r="N496" s="534"/>
      <c r="O496" s="534"/>
      <c r="P496" s="539"/>
      <c r="Q496" s="534"/>
      <c r="R496" s="534"/>
      <c r="S496" s="534"/>
      <c r="T496" s="539"/>
      <c r="U496" s="539"/>
      <c r="V496" s="548"/>
      <c r="W496" s="534"/>
      <c r="X496" s="599"/>
      <c r="Y496" s="541"/>
      <c r="Z496" s="501"/>
      <c r="AA496" s="738"/>
    </row>
    <row r="497" spans="1:31">
      <c r="A497" s="6">
        <f>MAX(A$472:A496)+1</f>
        <v>234</v>
      </c>
      <c r="B497" s="58"/>
      <c r="C497" s="526" t="s">
        <v>349</v>
      </c>
      <c r="D497" s="58"/>
      <c r="E497" s="522" t="s">
        <v>262</v>
      </c>
      <c r="F497" s="58"/>
      <c r="G497" s="29">
        <v>592384.97535999969</v>
      </c>
      <c r="H497" s="58"/>
      <c r="I497" s="684">
        <v>0.2175</v>
      </c>
      <c r="J497" s="538">
        <f>G497*I497/100</f>
        <v>1288.4373214079992</v>
      </c>
      <c r="K497" s="538"/>
      <c r="L497" s="29">
        <v>107.08991532537287</v>
      </c>
      <c r="M497" s="29">
        <v>512.53547882408759</v>
      </c>
      <c r="N497" s="29">
        <v>591.50700239859066</v>
      </c>
      <c r="O497" s="538">
        <f>J497-L497-M497-N497</f>
        <v>77.304924859948073</v>
      </c>
      <c r="P497" s="564"/>
      <c r="Q497" s="29">
        <v>100.38325578128658</v>
      </c>
      <c r="R497" s="29">
        <v>629.60058421578094</v>
      </c>
      <c r="S497" s="29">
        <v>592.17367997549388</v>
      </c>
      <c r="T497" s="564"/>
      <c r="U497" s="564">
        <f>SUM(O497:S497)</f>
        <v>1399.4624448325094</v>
      </c>
      <c r="V497" s="548">
        <f>U497/G497*100</f>
        <v>0.23624205593365002</v>
      </c>
      <c r="W497" s="538">
        <f>U497-J497</f>
        <v>111.02512342451018</v>
      </c>
      <c r="X497" s="599"/>
      <c r="Y497" s="541"/>
      <c r="Z497" s="501"/>
      <c r="AA497" s="738"/>
      <c r="AC497" s="738"/>
      <c r="AE497" s="744"/>
    </row>
    <row r="498" spans="1:31">
      <c r="A498" s="6">
        <f>MAX(A$472:A497)+1</f>
        <v>235</v>
      </c>
      <c r="B498" s="58"/>
      <c r="C498" s="526" t="s">
        <v>350</v>
      </c>
      <c r="D498" s="58"/>
      <c r="E498" s="522" t="s">
        <v>262</v>
      </c>
      <c r="F498" s="58"/>
      <c r="G498" s="132">
        <v>0</v>
      </c>
      <c r="H498" s="58"/>
      <c r="I498" s="684">
        <v>0.2175</v>
      </c>
      <c r="J498" s="538">
        <f>G498*I498/100</f>
        <v>0</v>
      </c>
      <c r="K498" s="538"/>
      <c r="L498" s="538">
        <v>0</v>
      </c>
      <c r="M498" s="538">
        <v>0</v>
      </c>
      <c r="N498" s="538">
        <v>0</v>
      </c>
      <c r="O498" s="538">
        <f>J498-L498-M498-N498</f>
        <v>0</v>
      </c>
      <c r="P498" s="564"/>
      <c r="Q498" s="538">
        <v>0</v>
      </c>
      <c r="R498" s="538">
        <v>0</v>
      </c>
      <c r="S498" s="538">
        <v>0</v>
      </c>
      <c r="T498" s="564"/>
      <c r="U498" s="564">
        <f>SUM(O498:S498)</f>
        <v>0</v>
      </c>
      <c r="V498" s="597" t="str">
        <f>IFERROR(U498/G498*100,"-")</f>
        <v>-</v>
      </c>
      <c r="W498" s="538">
        <f>U498-J498</f>
        <v>0</v>
      </c>
      <c r="X498" s="599"/>
      <c r="Y498" s="541"/>
      <c r="Z498" s="501"/>
      <c r="AA498" s="738"/>
      <c r="AE498" s="744"/>
    </row>
    <row r="499" spans="1:31">
      <c r="A499" s="6">
        <f>MAX(A$472:A498)+1</f>
        <v>236</v>
      </c>
      <c r="B499" s="58"/>
      <c r="C499" s="521" t="s">
        <v>260</v>
      </c>
      <c r="D499" s="58"/>
      <c r="E499" s="574"/>
      <c r="F499" s="58"/>
      <c r="G499" s="411">
        <f>SUM(G497:G498)</f>
        <v>592384.97535999969</v>
      </c>
      <c r="H499" s="58"/>
      <c r="I499" s="556">
        <f>J499/G499*100</f>
        <v>0.21749999999999997</v>
      </c>
      <c r="J499" s="555">
        <f>SUM(J497:J498)</f>
        <v>1288.4373214079992</v>
      </c>
      <c r="K499" s="538"/>
      <c r="L499" s="555">
        <f>SUM(L497:L498)</f>
        <v>107.08991532537287</v>
      </c>
      <c r="M499" s="555">
        <f t="shared" ref="M499:N499" si="239">SUM(M497:M498)</f>
        <v>512.53547882408759</v>
      </c>
      <c r="N499" s="555">
        <f t="shared" si="239"/>
        <v>591.50700239859066</v>
      </c>
      <c r="O499" s="555">
        <f>SUM(O497:O498)</f>
        <v>77.304924859948073</v>
      </c>
      <c r="P499" s="564"/>
      <c r="Q499" s="619">
        <f>SUM(Q497:Q498)</f>
        <v>100.38325578128658</v>
      </c>
      <c r="R499" s="619">
        <f t="shared" ref="R499:S499" si="240">SUM(R497:R498)</f>
        <v>629.60058421578094</v>
      </c>
      <c r="S499" s="619">
        <f t="shared" si="240"/>
        <v>592.17367997549388</v>
      </c>
      <c r="T499" s="564"/>
      <c r="U499" s="619">
        <f>SUM(U497:U498)</f>
        <v>1399.4624448325094</v>
      </c>
      <c r="V499" s="556">
        <f>U499/G499*100</f>
        <v>0.23624205593365002</v>
      </c>
      <c r="W499" s="555">
        <f>SUM(W497:W498)</f>
        <v>111.02512342451018</v>
      </c>
      <c r="X499" s="609">
        <f>V499/I499-1</f>
        <v>8.6170372108735904E-2</v>
      </c>
      <c r="Y499" s="541"/>
      <c r="Z499" s="501"/>
      <c r="AA499" s="738"/>
      <c r="AC499" s="738"/>
      <c r="AE499" s="744"/>
    </row>
    <row r="500" spans="1:31">
      <c r="A500" s="6"/>
      <c r="B500" s="58"/>
      <c r="C500" s="10"/>
      <c r="D500" s="58"/>
      <c r="E500" s="30"/>
      <c r="F500" s="58"/>
      <c r="G500" s="129"/>
      <c r="H500" s="58"/>
      <c r="I500" s="548"/>
      <c r="J500" s="538"/>
      <c r="K500" s="538"/>
      <c r="L500" s="538"/>
      <c r="M500" s="538"/>
      <c r="N500" s="538"/>
      <c r="O500" s="538"/>
      <c r="P500" s="564"/>
      <c r="Q500" s="538"/>
      <c r="R500" s="538"/>
      <c r="S500" s="538"/>
      <c r="T500" s="564"/>
      <c r="U500" s="564"/>
      <c r="V500" s="548"/>
      <c r="W500" s="538"/>
      <c r="X500" s="599"/>
      <c r="Y500" s="541"/>
      <c r="Z500" s="501"/>
      <c r="AA500" s="738"/>
      <c r="AC500" s="738"/>
      <c r="AE500" s="744"/>
    </row>
    <row r="501" spans="1:31">
      <c r="A501" s="6">
        <f>MAX(A$472:A500)+1</f>
        <v>237</v>
      </c>
      <c r="B501" s="58"/>
      <c r="C501" s="526" t="s">
        <v>351</v>
      </c>
      <c r="D501" s="58"/>
      <c r="E501" s="522" t="s">
        <v>262</v>
      </c>
      <c r="F501" s="58"/>
      <c r="G501" s="29">
        <v>57602.159589999996</v>
      </c>
      <c r="H501" s="58"/>
      <c r="I501" s="684">
        <v>0.2175</v>
      </c>
      <c r="J501" s="538">
        <f>G501*I501/100</f>
        <v>125.28469710824999</v>
      </c>
      <c r="K501" s="538"/>
      <c r="L501" s="29">
        <v>10.413178337791187</v>
      </c>
      <c r="M501" s="29">
        <v>49.837777247507958</v>
      </c>
      <c r="N501" s="29">
        <v>57.51678750808982</v>
      </c>
      <c r="O501" s="538">
        <f>J501-L501-M501-N501</f>
        <v>7.5169540148610281</v>
      </c>
      <c r="P501" s="564"/>
      <c r="Q501" s="29">
        <v>9.7610381089822358</v>
      </c>
      <c r="R501" s="29">
        <v>61.22092024348715</v>
      </c>
      <c r="S501" s="29">
        <v>57.581613710267753</v>
      </c>
      <c r="T501" s="564"/>
      <c r="U501" s="564">
        <f>SUM(O501:S501)</f>
        <v>136.08052607759817</v>
      </c>
      <c r="V501" s="548">
        <f>U501/G501*100</f>
        <v>0.23624205593365008</v>
      </c>
      <c r="W501" s="538">
        <f>U501-J501</f>
        <v>10.795828969348179</v>
      </c>
      <c r="X501" s="599">
        <f>V501/I501-1</f>
        <v>8.6170372108735904E-2</v>
      </c>
      <c r="Y501" s="541"/>
      <c r="Z501" s="501"/>
      <c r="AA501" s="738"/>
      <c r="AC501" s="738"/>
      <c r="AE501" s="744"/>
    </row>
    <row r="502" spans="1:31">
      <c r="A502" s="6">
        <f>MAX(A$472:A501)+1</f>
        <v>238</v>
      </c>
      <c r="B502" s="58"/>
      <c r="C502" s="526" t="s">
        <v>352</v>
      </c>
      <c r="D502" s="58"/>
      <c r="E502" s="522" t="s">
        <v>262</v>
      </c>
      <c r="F502" s="58"/>
      <c r="G502" s="29">
        <v>1276.4049299999999</v>
      </c>
      <c r="H502" s="58"/>
      <c r="I502" s="684">
        <v>0.19020000000000001</v>
      </c>
      <c r="J502" s="538">
        <f>G502*I502/100</f>
        <v>2.4277221768600001</v>
      </c>
      <c r="K502" s="538"/>
      <c r="L502" s="29">
        <v>0.65508486657600595</v>
      </c>
      <c r="M502" s="29">
        <v>0.80120681594156196</v>
      </c>
      <c r="N502" s="29">
        <v>0.86032447809677703</v>
      </c>
      <c r="O502" s="538">
        <f>J502-L502-M502-N502</f>
        <v>0.11110601624565508</v>
      </c>
      <c r="P502" s="564"/>
      <c r="Q502" s="29">
        <v>0.6140592372321052</v>
      </c>
      <c r="R502" s="29">
        <v>0.98420558231756494</v>
      </c>
      <c r="S502" s="29">
        <v>0.86129413532159815</v>
      </c>
      <c r="T502" s="564"/>
      <c r="U502" s="564">
        <f>SUM(O502:S502)</f>
        <v>2.5706649711169236</v>
      </c>
      <c r="V502" s="548">
        <f>U502/G502*100</f>
        <v>0.20139885946044755</v>
      </c>
      <c r="W502" s="538">
        <f>U502-J502</f>
        <v>0.14294279425692347</v>
      </c>
      <c r="X502" s="599">
        <f>V502/I502-1</f>
        <v>5.8879387278903961E-2</v>
      </c>
      <c r="Y502" s="541"/>
      <c r="Z502" s="501"/>
      <c r="AA502" s="738"/>
      <c r="AC502" s="738"/>
      <c r="AE502" s="744"/>
    </row>
    <row r="503" spans="1:31">
      <c r="A503" s="6"/>
      <c r="B503" s="58"/>
      <c r="C503" s="10"/>
      <c r="D503" s="58"/>
      <c r="E503" s="30"/>
      <c r="F503" s="58"/>
      <c r="G503" s="132"/>
      <c r="H503" s="58"/>
      <c r="I503" s="548"/>
      <c r="J503" s="538"/>
      <c r="K503" s="538"/>
      <c r="L503" s="538"/>
      <c r="M503" s="538"/>
      <c r="N503" s="538"/>
      <c r="O503" s="538"/>
      <c r="P503" s="564"/>
      <c r="Q503" s="538"/>
      <c r="R503" s="538"/>
      <c r="S503" s="538"/>
      <c r="T503" s="564"/>
      <c r="U503" s="564"/>
      <c r="V503" s="548"/>
      <c r="W503" s="538"/>
      <c r="X503" s="599"/>
      <c r="Y503" s="541"/>
      <c r="Z503" s="501"/>
      <c r="AA503" s="738"/>
      <c r="AC503" s="738"/>
      <c r="AE503" s="744"/>
    </row>
    <row r="504" spans="1:31">
      <c r="A504" s="6">
        <f>MAX(A$472:A503)+1</f>
        <v>239</v>
      </c>
      <c r="B504" s="58"/>
      <c r="C504" s="10" t="s">
        <v>353</v>
      </c>
      <c r="D504" s="58"/>
      <c r="E504" s="30"/>
      <c r="F504" s="58"/>
      <c r="G504" s="411">
        <f>G499</f>
        <v>592384.97535999969</v>
      </c>
      <c r="H504" s="58"/>
      <c r="I504" s="556">
        <f>J504/G504*100</f>
        <v>0.23905902404639778</v>
      </c>
      <c r="J504" s="619">
        <f t="shared" ref="J504" si="241">J499+J501+J502</f>
        <v>1416.1497406931092</v>
      </c>
      <c r="K504" s="564"/>
      <c r="L504" s="619">
        <f>L499+L501+L502</f>
        <v>118.15817852974007</v>
      </c>
      <c r="M504" s="619">
        <f t="shared" ref="M504:U504" si="242">M499+M501+M502</f>
        <v>563.17446288753706</v>
      </c>
      <c r="N504" s="619">
        <f t="shared" si="242"/>
        <v>649.88411438477726</v>
      </c>
      <c r="O504" s="619">
        <f t="shared" si="242"/>
        <v>84.932984891054758</v>
      </c>
      <c r="P504" s="564"/>
      <c r="Q504" s="619">
        <f t="shared" si="242"/>
        <v>110.75835312750092</v>
      </c>
      <c r="R504" s="619">
        <f t="shared" si="242"/>
        <v>691.80571004158571</v>
      </c>
      <c r="S504" s="619">
        <f t="shared" si="242"/>
        <v>650.61658782108327</v>
      </c>
      <c r="T504" s="564"/>
      <c r="U504" s="619">
        <f t="shared" si="242"/>
        <v>1538.1136358812246</v>
      </c>
      <c r="V504" s="556">
        <f>U504/G504*100</f>
        <v>0.2596476446666281</v>
      </c>
      <c r="W504" s="619">
        <f>W494+W499+W501+W502</f>
        <v>121.96389518811529</v>
      </c>
      <c r="X504" s="664">
        <f>V504/I504-1</f>
        <v>8.6123586852067113E-2</v>
      </c>
      <c r="Y504" s="630"/>
      <c r="Z504" s="501"/>
      <c r="AA504" s="738"/>
      <c r="AC504" s="738"/>
      <c r="AE504" s="744"/>
    </row>
    <row r="505" spans="1:31">
      <c r="A505" s="6"/>
      <c r="B505" s="58"/>
      <c r="D505" s="58"/>
      <c r="E505" s="30"/>
      <c r="F505" s="58"/>
      <c r="G505" s="132"/>
      <c r="H505" s="58"/>
      <c r="I505" s="548"/>
      <c r="J505" s="538"/>
      <c r="K505" s="538"/>
      <c r="L505" s="538"/>
      <c r="M505" s="538"/>
      <c r="N505" s="538"/>
      <c r="O505" s="538"/>
      <c r="P505" s="564"/>
      <c r="Q505" s="538"/>
      <c r="R505" s="538"/>
      <c r="S505" s="538"/>
      <c r="T505" s="564"/>
      <c r="U505" s="564"/>
      <c r="V505" s="548"/>
      <c r="W505" s="538"/>
      <c r="X505" s="599"/>
      <c r="Y505" s="541"/>
      <c r="Z505" s="501"/>
      <c r="AA505" s="738"/>
      <c r="AC505" s="738"/>
      <c r="AE505" s="744"/>
    </row>
    <row r="506" spans="1:31">
      <c r="A506" s="6"/>
      <c r="B506" s="58"/>
      <c r="C506" s="10" t="s">
        <v>354</v>
      </c>
      <c r="D506" s="58"/>
      <c r="E506" s="574"/>
      <c r="F506" s="58"/>
      <c r="G506" s="132"/>
      <c r="H506" s="58"/>
      <c r="I506" s="548"/>
      <c r="J506" s="538"/>
      <c r="K506" s="538"/>
      <c r="L506" s="538"/>
      <c r="M506" s="538"/>
      <c r="N506" s="538"/>
      <c r="O506" s="538"/>
      <c r="P506" s="564"/>
      <c r="Q506" s="538"/>
      <c r="R506" s="538"/>
      <c r="S506" s="538"/>
      <c r="T506" s="564"/>
      <c r="U506" s="564"/>
      <c r="V506" s="548"/>
      <c r="W506" s="538"/>
      <c r="X506" s="599"/>
      <c r="Y506" s="541"/>
      <c r="Z506" s="501"/>
      <c r="AA506" s="738"/>
      <c r="AC506" s="738"/>
      <c r="AE506" s="744"/>
    </row>
    <row r="507" spans="1:31">
      <c r="A507" s="6">
        <f>MAX(A$472:A506)+1</f>
        <v>240</v>
      </c>
      <c r="B507" s="58"/>
      <c r="C507" s="12" t="s">
        <v>258</v>
      </c>
      <c r="D507" s="58"/>
      <c r="E507" s="6" t="s">
        <v>259</v>
      </c>
      <c r="F507" s="58"/>
      <c r="G507" s="29">
        <v>36.000000000000014</v>
      </c>
      <c r="H507" s="58"/>
      <c r="I507" s="29">
        <v>0</v>
      </c>
      <c r="J507" s="29">
        <v>0</v>
      </c>
      <c r="K507" s="29"/>
      <c r="L507" s="29">
        <v>0</v>
      </c>
      <c r="M507" s="29">
        <v>0</v>
      </c>
      <c r="N507" s="29">
        <v>0</v>
      </c>
      <c r="O507" s="29">
        <v>0</v>
      </c>
      <c r="P507" s="564"/>
      <c r="Q507" s="29">
        <v>0</v>
      </c>
      <c r="R507" s="29">
        <v>0</v>
      </c>
      <c r="S507" s="29">
        <v>0</v>
      </c>
      <c r="T507" s="539"/>
      <c r="U507" s="29">
        <v>0</v>
      </c>
      <c r="V507" s="29">
        <v>0</v>
      </c>
      <c r="W507" s="29">
        <v>0</v>
      </c>
      <c r="X507" s="29"/>
      <c r="Y507" s="541"/>
      <c r="Z507" s="501"/>
      <c r="AA507" s="738"/>
      <c r="AC507" s="738"/>
      <c r="AE507" s="744"/>
    </row>
    <row r="508" spans="1:31">
      <c r="A508" s="6">
        <f>MAX(A$472:A507)+1</f>
        <v>241</v>
      </c>
      <c r="B508" s="58"/>
      <c r="C508" s="526" t="s">
        <v>260</v>
      </c>
      <c r="D508" s="58"/>
      <c r="E508" s="522" t="s">
        <v>262</v>
      </c>
      <c r="F508" s="58"/>
      <c r="G508" s="29">
        <v>238.00964000000002</v>
      </c>
      <c r="H508" s="58"/>
      <c r="I508" s="684">
        <v>0.1434</v>
      </c>
      <c r="J508" s="538">
        <f>G508*I508/100</f>
        <v>0.34130582376000002</v>
      </c>
      <c r="K508" s="538"/>
      <c r="L508" s="29">
        <v>2.9490087921875002E-2</v>
      </c>
      <c r="M508" s="29">
        <v>0.17679428565583963</v>
      </c>
      <c r="N508" s="29">
        <v>0.13488452849963448</v>
      </c>
      <c r="O508" s="538">
        <f>J508-L508-M508-N508</f>
        <v>1.3692168265089233E-4</v>
      </c>
      <c r="P508" s="564"/>
      <c r="Q508" s="29">
        <v>2.7643228868748766E-2</v>
      </c>
      <c r="R508" s="29">
        <v>0.21717479108042784</v>
      </c>
      <c r="S508" s="29">
        <v>0.1350365545792197</v>
      </c>
      <c r="T508" s="564"/>
      <c r="U508" s="564">
        <f>SUM(O508:S508)</f>
        <v>0.37999149621104722</v>
      </c>
      <c r="V508" s="548">
        <f>U508/G508*100</f>
        <v>0.15965382587488774</v>
      </c>
      <c r="W508" s="538">
        <f>U508-J508</f>
        <v>3.8685672451047204E-2</v>
      </c>
      <c r="X508" s="559">
        <f>V508/I508-1</f>
        <v>0.11334606607313624</v>
      </c>
      <c r="Y508" s="559"/>
      <c r="Z508" s="501"/>
      <c r="AA508" s="738"/>
      <c r="AC508" s="738"/>
      <c r="AE508" s="744"/>
    </row>
    <row r="509" spans="1:31">
      <c r="A509" s="6">
        <f>MAX(A$472:A508)+1</f>
        <v>242</v>
      </c>
      <c r="B509" s="58"/>
      <c r="C509" s="12" t="s">
        <v>355</v>
      </c>
      <c r="D509" s="58"/>
      <c r="E509" s="522" t="s">
        <v>262</v>
      </c>
      <c r="F509" s="58"/>
      <c r="G509" s="29">
        <v>2278.64</v>
      </c>
      <c r="H509" s="58"/>
      <c r="I509" s="684">
        <v>0.1434</v>
      </c>
      <c r="J509" s="538">
        <f>G509*I509/100</f>
        <v>3.2675697600000002</v>
      </c>
      <c r="K509" s="538"/>
      <c r="L509" s="29">
        <v>0</v>
      </c>
      <c r="M509" s="29">
        <v>0</v>
      </c>
      <c r="N509" s="29">
        <v>0</v>
      </c>
      <c r="O509" s="538">
        <f>J509-L509-M509-N509</f>
        <v>3.2675697600000002</v>
      </c>
      <c r="P509" s="564"/>
      <c r="Q509" s="29">
        <v>0</v>
      </c>
      <c r="R509" s="29">
        <v>0</v>
      </c>
      <c r="S509" s="29">
        <v>0</v>
      </c>
      <c r="T509" s="564"/>
      <c r="U509" s="564">
        <f>SUM(O509:S509)</f>
        <v>3.2675697600000002</v>
      </c>
      <c r="V509" s="548">
        <f>U509/G509*100</f>
        <v>0.14340000000000003</v>
      </c>
      <c r="W509" s="538">
        <f>U509-J509</f>
        <v>0</v>
      </c>
      <c r="X509" s="559">
        <f>V509/I509-1</f>
        <v>0</v>
      </c>
      <c r="Y509" s="559"/>
      <c r="Z509" s="501"/>
      <c r="AA509" s="738"/>
      <c r="AC509" s="738"/>
      <c r="AE509" s="744"/>
    </row>
    <row r="510" spans="1:31">
      <c r="A510" s="6"/>
      <c r="B510" s="58"/>
      <c r="C510" s="10"/>
      <c r="D510" s="58"/>
      <c r="E510" s="30"/>
      <c r="F510" s="58"/>
      <c r="G510" s="29"/>
      <c r="H510" s="58"/>
      <c r="I510" s="548"/>
      <c r="J510" s="538"/>
      <c r="K510" s="538"/>
      <c r="L510" s="538"/>
      <c r="M510" s="538"/>
      <c r="N510" s="538"/>
      <c r="O510" s="538"/>
      <c r="P510" s="564"/>
      <c r="Q510" s="538"/>
      <c r="R510" s="538"/>
      <c r="S510" s="538"/>
      <c r="T510" s="564"/>
      <c r="U510" s="564"/>
      <c r="V510" s="548"/>
      <c r="W510" s="538"/>
      <c r="X510" s="599"/>
      <c r="Y510" s="541"/>
      <c r="Z510" s="501"/>
      <c r="AA510" s="738"/>
      <c r="AC510" s="738"/>
      <c r="AE510" s="744"/>
    </row>
    <row r="511" spans="1:31">
      <c r="A511" s="6">
        <f>MAX(A$472:A510)+1</f>
        <v>243</v>
      </c>
      <c r="B511" s="58"/>
      <c r="C511" s="10" t="s">
        <v>356</v>
      </c>
      <c r="D511" s="58"/>
      <c r="E511" s="30"/>
      <c r="F511" s="58"/>
      <c r="G511" s="411">
        <f>G508</f>
        <v>238.00964000000002</v>
      </c>
      <c r="H511" s="58"/>
      <c r="I511" s="556">
        <f>J511/G511*100</f>
        <v>1.5162728634688916</v>
      </c>
      <c r="J511" s="555">
        <f t="shared" ref="J511" si="243">SUM(J508:J510)</f>
        <v>3.6088755837600002</v>
      </c>
      <c r="K511" s="538"/>
      <c r="L511" s="555">
        <f>SUM(L508:L510)</f>
        <v>2.9490087921875002E-2</v>
      </c>
      <c r="M511" s="555">
        <f t="shared" ref="M511:O511" si="244">SUM(M508:M510)</f>
        <v>0.17679428565583963</v>
      </c>
      <c r="N511" s="555">
        <f t="shared" si="244"/>
        <v>0.13488452849963448</v>
      </c>
      <c r="O511" s="555">
        <f t="shared" si="244"/>
        <v>3.2677066816826512</v>
      </c>
      <c r="P511" s="564"/>
      <c r="Q511" s="619">
        <f>SUM(Q508:Q510)</f>
        <v>2.7643228868748766E-2</v>
      </c>
      <c r="R511" s="619">
        <f t="shared" ref="R511:S511" si="245">SUM(R508:R510)</f>
        <v>0.21717479108042784</v>
      </c>
      <c r="S511" s="619">
        <f t="shared" si="245"/>
        <v>0.1350365545792197</v>
      </c>
      <c r="T511" s="564"/>
      <c r="U511" s="619">
        <f>SUM(U508:U510)</f>
        <v>3.6475612562110475</v>
      </c>
      <c r="V511" s="556">
        <f>U511/G511*100</f>
        <v>1.5325266893437792</v>
      </c>
      <c r="W511" s="555">
        <f>SUM(W507:W510)</f>
        <v>3.8685672451047204E-2</v>
      </c>
      <c r="X511" s="558">
        <f>V511/I511-1</f>
        <v>1.0719591616051627E-2</v>
      </c>
      <c r="Y511" s="559"/>
      <c r="Z511" s="501"/>
      <c r="AA511" s="738"/>
      <c r="AC511" s="738"/>
      <c r="AE511" s="744"/>
    </row>
    <row r="512" spans="1:31">
      <c r="A512" s="6"/>
      <c r="B512" s="58"/>
      <c r="D512" s="58"/>
      <c r="E512" s="30"/>
      <c r="F512" s="58"/>
      <c r="G512" s="132"/>
      <c r="H512" s="58"/>
      <c r="I512" s="548"/>
      <c r="J512" s="538"/>
      <c r="K512" s="538"/>
      <c r="L512" s="538"/>
      <c r="M512" s="538"/>
      <c r="N512" s="538"/>
      <c r="O512" s="538"/>
      <c r="P512" s="564"/>
      <c r="Q512" s="538"/>
      <c r="R512" s="538"/>
      <c r="S512" s="538"/>
      <c r="T512" s="564"/>
      <c r="U512" s="564"/>
      <c r="V512" s="548"/>
      <c r="W512" s="538"/>
      <c r="X512" s="599"/>
      <c r="Y512" s="541"/>
      <c r="Z512" s="501"/>
      <c r="AA512" s="738"/>
      <c r="AC512" s="738"/>
      <c r="AE512" s="744"/>
    </row>
    <row r="513" spans="1:31">
      <c r="A513" s="6">
        <f>MAX(A$472:A512)+1</f>
        <v>244</v>
      </c>
      <c r="B513" s="58"/>
      <c r="C513" s="10" t="s">
        <v>357</v>
      </c>
      <c r="D513" s="58"/>
      <c r="E513" s="522" t="s">
        <v>262</v>
      </c>
      <c r="F513" s="58"/>
      <c r="G513" s="29">
        <v>16020.952840000002</v>
      </c>
      <c r="H513" s="58"/>
      <c r="I513" s="29">
        <v>0</v>
      </c>
      <c r="J513" s="29">
        <v>0</v>
      </c>
      <c r="K513" s="29"/>
      <c r="L513" s="29">
        <v>0</v>
      </c>
      <c r="M513" s="29">
        <v>0</v>
      </c>
      <c r="N513" s="29">
        <v>0</v>
      </c>
      <c r="O513" s="29">
        <v>0</v>
      </c>
      <c r="P513" s="564"/>
      <c r="Q513" s="29">
        <v>0</v>
      </c>
      <c r="R513" s="29">
        <v>0</v>
      </c>
      <c r="S513" s="29">
        <v>0</v>
      </c>
      <c r="T513" s="539"/>
      <c r="U513" s="29">
        <v>0</v>
      </c>
      <c r="V513" s="29">
        <v>0</v>
      </c>
      <c r="W513" s="29">
        <v>0</v>
      </c>
      <c r="X513" s="29"/>
      <c r="Y513" s="541"/>
      <c r="Z513" s="501"/>
      <c r="AA513" s="738"/>
      <c r="AC513" s="738"/>
      <c r="AE513" s="744"/>
    </row>
    <row r="514" spans="1:31">
      <c r="A514" s="6">
        <f>MAX(A$472:A513)+1</f>
        <v>245</v>
      </c>
      <c r="B514" s="58"/>
      <c r="C514" s="10" t="s">
        <v>270</v>
      </c>
      <c r="D514" s="58"/>
      <c r="E514" s="522" t="s">
        <v>262</v>
      </c>
      <c r="F514" s="58"/>
      <c r="G514" s="29">
        <v>59361.556339999981</v>
      </c>
      <c r="H514" s="58"/>
      <c r="I514" s="684">
        <v>20.612300000000001</v>
      </c>
      <c r="J514" s="538">
        <f>G514*I514/100</f>
        <v>12235.782077469816</v>
      </c>
      <c r="K514" s="538"/>
      <c r="L514" s="29">
        <v>0</v>
      </c>
      <c r="M514" s="29">
        <v>0</v>
      </c>
      <c r="N514" s="29">
        <v>0</v>
      </c>
      <c r="O514" s="538">
        <f>J514-L514-M514-N514</f>
        <v>12235.782077469816</v>
      </c>
      <c r="P514" s="564"/>
      <c r="Q514" s="29">
        <v>0</v>
      </c>
      <c r="R514" s="29">
        <v>0</v>
      </c>
      <c r="S514" s="29">
        <v>0</v>
      </c>
      <c r="T514" s="564"/>
      <c r="U514" s="564">
        <f>SUM(O514:S514)</f>
        <v>12235.782077469816</v>
      </c>
      <c r="V514" s="548">
        <f>U514/G514*100</f>
        <v>20.612300000000001</v>
      </c>
      <c r="W514" s="538">
        <f>U514-J514</f>
        <v>0</v>
      </c>
      <c r="X514" s="599">
        <f>V514/I514-1</f>
        <v>0</v>
      </c>
      <c r="Y514" s="541"/>
      <c r="Z514" s="501"/>
      <c r="AA514" s="738"/>
      <c r="AC514" s="738"/>
      <c r="AE514" s="744"/>
    </row>
    <row r="515" spans="1:31">
      <c r="A515" s="6"/>
      <c r="B515" s="58"/>
      <c r="C515" s="10"/>
      <c r="D515" s="58"/>
      <c r="E515" s="574"/>
      <c r="F515" s="58"/>
      <c r="G515" s="132"/>
      <c r="H515" s="58"/>
      <c r="I515" s="684"/>
      <c r="J515" s="538"/>
      <c r="K515" s="538"/>
      <c r="L515" s="538"/>
      <c r="M515" s="538"/>
      <c r="N515" s="538"/>
      <c r="O515" s="538"/>
      <c r="P515" s="564"/>
      <c r="Q515" s="538"/>
      <c r="R515" s="538"/>
      <c r="S515" s="538"/>
      <c r="T515" s="564"/>
      <c r="U515" s="564"/>
      <c r="V515" s="548"/>
      <c r="W515" s="538"/>
      <c r="X515" s="599"/>
      <c r="Y515" s="541"/>
      <c r="Z515" s="501"/>
      <c r="AA515" s="738"/>
      <c r="AC515" s="738"/>
      <c r="AE515" s="744"/>
    </row>
    <row r="516" spans="1:31" ht="12.95" thickBot="1">
      <c r="A516" s="6">
        <f>MAX(A$472:A515)+1</f>
        <v>246</v>
      </c>
      <c r="B516" s="58"/>
      <c r="C516" s="10" t="s">
        <v>358</v>
      </c>
      <c r="D516" s="58"/>
      <c r="E516" s="30"/>
      <c r="F516" s="58"/>
      <c r="G516" s="439">
        <f>G504+G511</f>
        <v>592622.98499999964</v>
      </c>
      <c r="H516" s="58"/>
      <c r="I516" s="572">
        <f>J516/G516*100</f>
        <v>2.3042543133467381</v>
      </c>
      <c r="J516" s="628">
        <f t="shared" ref="J516" si="246">J504+J511+J514</f>
        <v>13655.540693746685</v>
      </c>
      <c r="K516" s="564"/>
      <c r="L516" s="628">
        <f>L504+L511+L514</f>
        <v>118.18766861766194</v>
      </c>
      <c r="M516" s="628">
        <f t="shared" ref="M516:O516" si="247">M504+M511+M514</f>
        <v>563.35125717319295</v>
      </c>
      <c r="N516" s="628">
        <f t="shared" si="247"/>
        <v>650.01899891327685</v>
      </c>
      <c r="O516" s="628">
        <f t="shared" si="247"/>
        <v>12323.982769042554</v>
      </c>
      <c r="P516" s="564"/>
      <c r="Q516" s="628">
        <f>Q504+Q511+Q514</f>
        <v>110.78599635636968</v>
      </c>
      <c r="R516" s="628">
        <f t="shared" ref="R516:S516" si="248">R504+R511+R514</f>
        <v>692.02288483266614</v>
      </c>
      <c r="S516" s="628">
        <f t="shared" si="248"/>
        <v>650.75162437566246</v>
      </c>
      <c r="T516" s="564"/>
      <c r="U516" s="628">
        <f>U504+U511+U514</f>
        <v>13777.543274607251</v>
      </c>
      <c r="V516" s="572">
        <f>U516/G516*100</f>
        <v>2.3248411930238007</v>
      </c>
      <c r="W516" s="628">
        <f>W504+W511+W513+W514</f>
        <v>122.00258086056634</v>
      </c>
      <c r="X516" s="615">
        <f>V516/I516-1</f>
        <v>8.9342914789478645E-3</v>
      </c>
      <c r="Y516" s="541"/>
      <c r="Z516" s="501"/>
      <c r="AA516" s="738"/>
      <c r="AC516" s="738"/>
      <c r="AE516" s="744"/>
    </row>
    <row r="517" spans="1:31" ht="13.5" thickTop="1">
      <c r="A517" s="6"/>
      <c r="B517" s="58"/>
      <c r="C517" s="10"/>
      <c r="D517" s="58"/>
      <c r="E517" s="128"/>
      <c r="F517" s="58"/>
      <c r="G517" s="132"/>
      <c r="H517" s="58"/>
      <c r="I517" s="548"/>
      <c r="J517" s="564"/>
      <c r="K517" s="564"/>
      <c r="L517" s="564"/>
      <c r="M517" s="564"/>
      <c r="N517" s="564"/>
      <c r="O517" s="564"/>
      <c r="P517" s="564"/>
      <c r="Q517" s="564"/>
      <c r="R517" s="564"/>
      <c r="S517" s="564"/>
      <c r="T517" s="539"/>
      <c r="U517" s="539"/>
      <c r="V517" s="680"/>
      <c r="W517" s="539"/>
      <c r="X517" s="783"/>
      <c r="Y517" s="630"/>
      <c r="Z517" s="501"/>
    </row>
    <row r="518" spans="1:31">
      <c r="J518" s="501"/>
      <c r="K518" s="501"/>
      <c r="L518" s="2"/>
      <c r="M518" s="2"/>
      <c r="N518" s="501"/>
      <c r="O518" s="501"/>
      <c r="Q518" s="501"/>
      <c r="R518" s="501"/>
      <c r="S518" s="501"/>
      <c r="W518" s="501"/>
      <c r="X518" s="522"/>
      <c r="Y518" s="501"/>
      <c r="Z518" s="501"/>
    </row>
    <row r="519" spans="1:31">
      <c r="J519" s="501"/>
      <c r="K519" s="501"/>
      <c r="L519" s="2"/>
      <c r="M519" s="2"/>
      <c r="N519" s="501"/>
      <c r="O519" s="501"/>
      <c r="Q519" s="501"/>
      <c r="R519" s="501"/>
      <c r="S519" s="501"/>
      <c r="W519" s="501"/>
      <c r="X519" s="522"/>
      <c r="Y519" s="501"/>
      <c r="Z519" s="501"/>
    </row>
    <row r="520" spans="1:31">
      <c r="J520" s="501"/>
      <c r="K520" s="501"/>
      <c r="L520" s="2"/>
      <c r="M520" s="2"/>
      <c r="N520" s="501"/>
      <c r="O520" s="501"/>
      <c r="Q520" s="501"/>
      <c r="R520" s="501"/>
      <c r="S520" s="501"/>
      <c r="W520" s="501"/>
      <c r="X520" s="522"/>
      <c r="Y520" s="501"/>
      <c r="Z520" s="501"/>
    </row>
    <row r="521" spans="1:31">
      <c r="A521" s="1156" t="s">
        <v>279</v>
      </c>
      <c r="B521" s="1156"/>
      <c r="C521" s="1156"/>
      <c r="D521" s="1156"/>
      <c r="E521" s="1156"/>
      <c r="F521" s="1156"/>
      <c r="G521" s="1156"/>
      <c r="H521" s="1156"/>
      <c r="I521" s="1156"/>
      <c r="J521" s="1156"/>
      <c r="K521" s="1156"/>
      <c r="L521" s="1156"/>
      <c r="M521" s="1156"/>
      <c r="N521" s="1156"/>
      <c r="O521" s="1156"/>
      <c r="P521" s="1156"/>
      <c r="Q521" s="1156"/>
      <c r="R521" s="1156"/>
      <c r="S521" s="1156"/>
      <c r="T521" s="1156"/>
      <c r="U521" s="1156"/>
      <c r="V521" s="1156"/>
      <c r="W521" s="1156"/>
      <c r="X521" s="1156"/>
      <c r="Y521" s="779"/>
      <c r="Z521" s="501"/>
    </row>
    <row r="522" spans="1:31">
      <c r="A522" s="1156" t="s">
        <v>499</v>
      </c>
      <c r="B522" s="1156"/>
      <c r="C522" s="1156"/>
      <c r="D522" s="1156"/>
      <c r="E522" s="1156"/>
      <c r="F522" s="1156"/>
      <c r="G522" s="1156"/>
      <c r="H522" s="1156"/>
      <c r="I522" s="1156"/>
      <c r="J522" s="1156"/>
      <c r="K522" s="1156"/>
      <c r="L522" s="1156"/>
      <c r="M522" s="1156"/>
      <c r="N522" s="1156"/>
      <c r="O522" s="1156"/>
      <c r="P522" s="1156"/>
      <c r="Q522" s="1156"/>
      <c r="R522" s="1156"/>
      <c r="S522" s="1156"/>
      <c r="T522" s="1156"/>
      <c r="U522" s="1156"/>
      <c r="V522" s="1156"/>
      <c r="W522" s="1156"/>
      <c r="X522" s="1156"/>
      <c r="Y522" s="713"/>
      <c r="Z522" s="713"/>
    </row>
    <row r="523" spans="1:31">
      <c r="A523" s="57"/>
      <c r="B523" s="57"/>
      <c r="C523" s="57"/>
      <c r="D523" s="57"/>
      <c r="E523" s="3"/>
      <c r="F523" s="57"/>
      <c r="G523" s="3"/>
      <c r="H523" s="57"/>
      <c r="I523" s="57"/>
      <c r="J523" s="501"/>
      <c r="K523" s="501"/>
      <c r="L523" s="4"/>
      <c r="M523" s="4"/>
      <c r="N523" s="501"/>
      <c r="O523" s="501"/>
      <c r="P523" s="57"/>
      <c r="Q523" s="501"/>
      <c r="R523" s="501"/>
      <c r="S523" s="501"/>
      <c r="T523" s="57"/>
      <c r="U523" s="57"/>
      <c r="V523" s="57"/>
      <c r="W523" s="501"/>
      <c r="X523" s="522"/>
      <c r="Y523" s="501"/>
      <c r="Z523" s="501"/>
    </row>
    <row r="524" spans="1:31">
      <c r="A524" s="3"/>
      <c r="B524" s="3"/>
      <c r="C524" s="3"/>
      <c r="D524" s="3"/>
      <c r="E524" s="58"/>
      <c r="F524" s="58"/>
      <c r="G524" s="1152" t="s">
        <v>231</v>
      </c>
      <c r="H524" s="1152"/>
      <c r="I524" s="1152"/>
      <c r="J524" s="1152"/>
      <c r="K524" s="58"/>
      <c r="L524" s="1152" t="s">
        <v>94</v>
      </c>
      <c r="M524" s="1152"/>
      <c r="N524" s="1152"/>
      <c r="O524" s="58"/>
      <c r="P524" s="3"/>
      <c r="Q524" s="1152" t="s">
        <v>95</v>
      </c>
      <c r="R524" s="1152"/>
      <c r="S524" s="1152"/>
      <c r="T524" s="3"/>
      <c r="U524" s="1152" t="s">
        <v>232</v>
      </c>
      <c r="V524" s="1152"/>
      <c r="W524" s="1152"/>
      <c r="X524" s="1152"/>
      <c r="Y524" s="6"/>
      <c r="Z524" s="501"/>
    </row>
    <row r="525" spans="1:31" ht="37.5">
      <c r="A525" s="5" t="s">
        <v>56</v>
      </c>
      <c r="B525" s="5"/>
      <c r="C525" s="5"/>
      <c r="D525" s="5"/>
      <c r="E525" s="6" t="s">
        <v>233</v>
      </c>
      <c r="F525" s="5"/>
      <c r="G525" s="17" t="s">
        <v>234</v>
      </c>
      <c r="H525" s="5"/>
      <c r="I525" s="17" t="s">
        <v>235</v>
      </c>
      <c r="J525" s="5" t="s">
        <v>101</v>
      </c>
      <c r="K525" s="5"/>
      <c r="L525" s="5" t="s">
        <v>491</v>
      </c>
      <c r="M525" s="5" t="s">
        <v>492</v>
      </c>
      <c r="N525" s="5" t="s">
        <v>493</v>
      </c>
      <c r="O525" s="5" t="s">
        <v>494</v>
      </c>
      <c r="P525" s="5"/>
      <c r="Q525" s="5" t="s">
        <v>491</v>
      </c>
      <c r="R525" s="5" t="s">
        <v>492</v>
      </c>
      <c r="S525" s="5" t="s">
        <v>493</v>
      </c>
      <c r="T525" s="5"/>
      <c r="U525" s="17" t="s">
        <v>113</v>
      </c>
      <c r="V525" s="17" t="s">
        <v>242</v>
      </c>
      <c r="W525" s="17" t="s">
        <v>243</v>
      </c>
      <c r="X525" s="5" t="s">
        <v>244</v>
      </c>
      <c r="Y525" s="5"/>
      <c r="Z525" s="501"/>
    </row>
    <row r="526" spans="1:31" ht="14.45">
      <c r="A526" s="237" t="s">
        <v>57</v>
      </c>
      <c r="B526" s="58"/>
      <c r="C526" s="59" t="s">
        <v>194</v>
      </c>
      <c r="D526" s="58"/>
      <c r="E526" s="237" t="s">
        <v>245</v>
      </c>
      <c r="F526" s="58"/>
      <c r="G526" s="237" t="s">
        <v>246</v>
      </c>
      <c r="H526" s="58"/>
      <c r="I526" s="237" t="s">
        <v>247</v>
      </c>
      <c r="J526" s="237" t="s">
        <v>248</v>
      </c>
      <c r="K526" s="6"/>
      <c r="L526" s="237" t="s">
        <v>248</v>
      </c>
      <c r="M526" s="237" t="s">
        <v>248</v>
      </c>
      <c r="N526" s="237" t="s">
        <v>248</v>
      </c>
      <c r="O526" s="237" t="s">
        <v>248</v>
      </c>
      <c r="P526" s="58"/>
      <c r="Q526" s="237" t="s">
        <v>248</v>
      </c>
      <c r="R526" s="237" t="s">
        <v>248</v>
      </c>
      <c r="S526" s="237" t="s">
        <v>248</v>
      </c>
      <c r="T526" s="58"/>
      <c r="U526" s="237" t="s">
        <v>248</v>
      </c>
      <c r="V526" s="237" t="s">
        <v>247</v>
      </c>
      <c r="W526" s="237" t="s">
        <v>248</v>
      </c>
      <c r="X526" s="237" t="s">
        <v>249</v>
      </c>
      <c r="Y526" s="6"/>
      <c r="Z526" s="501"/>
    </row>
    <row r="527" spans="1:31">
      <c r="A527" s="6"/>
      <c r="B527" s="58"/>
      <c r="C527" s="58"/>
      <c r="D527" s="58"/>
      <c r="E527" s="6"/>
      <c r="F527" s="58"/>
      <c r="G527" s="6" t="s">
        <v>9</v>
      </c>
      <c r="H527" s="6"/>
      <c r="I527" s="6" t="s">
        <v>10</v>
      </c>
      <c r="J527" s="6" t="s">
        <v>58</v>
      </c>
      <c r="K527" s="6"/>
      <c r="L527" s="123" t="s">
        <v>12</v>
      </c>
      <c r="M527" s="123" t="s">
        <v>13</v>
      </c>
      <c r="N527" s="6" t="s">
        <v>115</v>
      </c>
      <c r="O527" s="6" t="s">
        <v>495</v>
      </c>
      <c r="P527" s="6"/>
      <c r="Q527" s="6" t="s">
        <v>210</v>
      </c>
      <c r="R527" s="6" t="s">
        <v>118</v>
      </c>
      <c r="S527" s="6" t="s">
        <v>119</v>
      </c>
      <c r="T527" s="6"/>
      <c r="U527" s="6" t="s">
        <v>496</v>
      </c>
      <c r="V527" s="6" t="s">
        <v>121</v>
      </c>
      <c r="W527" s="6" t="s">
        <v>497</v>
      </c>
      <c r="X527" s="6" t="s">
        <v>498</v>
      </c>
      <c r="Y527" s="501"/>
      <c r="Z527" s="501"/>
    </row>
    <row r="528" spans="1:31">
      <c r="E528" s="1"/>
      <c r="J528" s="538"/>
      <c r="K528" s="538"/>
      <c r="L528" s="538"/>
      <c r="M528" s="538"/>
      <c r="N528" s="538"/>
      <c r="O528" s="538"/>
      <c r="P528" s="64"/>
      <c r="Q528" s="538"/>
      <c r="R528" s="538"/>
      <c r="S528" s="538"/>
      <c r="T528" s="64"/>
      <c r="U528" s="64"/>
      <c r="V528" s="64"/>
      <c r="W528" s="538"/>
      <c r="X528" s="782"/>
      <c r="Y528" s="541"/>
      <c r="Z528" s="501"/>
    </row>
    <row r="529" spans="1:31">
      <c r="A529" s="581"/>
      <c r="B529" s="581"/>
      <c r="C529" s="9" t="s">
        <v>149</v>
      </c>
      <c r="D529" s="581"/>
      <c r="E529" s="386"/>
      <c r="F529" s="581"/>
      <c r="G529" s="581"/>
      <c r="H529" s="581"/>
      <c r="I529" s="581"/>
      <c r="J529" s="538"/>
      <c r="K529" s="538"/>
      <c r="L529" s="538"/>
      <c r="M529" s="538"/>
      <c r="N529" s="538"/>
      <c r="O529" s="538"/>
      <c r="P529" s="582"/>
      <c r="Q529" s="538"/>
      <c r="R529" s="538"/>
      <c r="S529" s="538"/>
      <c r="T529" s="582"/>
      <c r="U529" s="582"/>
      <c r="V529" s="582"/>
      <c r="W529" s="538"/>
      <c r="X529" s="782"/>
      <c r="Y529" s="599"/>
      <c r="Z529" s="501"/>
    </row>
    <row r="530" spans="1:31">
      <c r="A530" s="58">
        <v>247</v>
      </c>
      <c r="B530" s="58"/>
      <c r="C530" s="10" t="s">
        <v>258</v>
      </c>
      <c r="D530" s="57"/>
      <c r="E530" s="6" t="s">
        <v>259</v>
      </c>
      <c r="F530" s="57"/>
      <c r="G530" s="29">
        <v>456.0000000000021</v>
      </c>
      <c r="H530" s="57"/>
      <c r="I530" s="29">
        <v>0</v>
      </c>
      <c r="J530" s="538">
        <v>0</v>
      </c>
      <c r="K530" s="538"/>
      <c r="L530" s="687">
        <v>0</v>
      </c>
      <c r="M530" s="687">
        <v>0</v>
      </c>
      <c r="N530" s="687">
        <v>0</v>
      </c>
      <c r="O530" s="538">
        <v>0</v>
      </c>
      <c r="P530" s="583"/>
      <c r="Q530" s="687">
        <v>0</v>
      </c>
      <c r="R530" s="687">
        <v>0</v>
      </c>
      <c r="S530" s="687">
        <v>0</v>
      </c>
      <c r="T530" s="583"/>
      <c r="U530" s="132">
        <v>0</v>
      </c>
      <c r="V530" s="132">
        <v>0</v>
      </c>
      <c r="W530" s="538">
        <v>0</v>
      </c>
      <c r="X530" s="599"/>
      <c r="Y530" s="599"/>
      <c r="Z530" s="501"/>
      <c r="AA530" s="738"/>
      <c r="AE530" s="739"/>
    </row>
    <row r="531" spans="1:31">
      <c r="A531" s="58">
        <f>MAX(A$529:A530)+1</f>
        <v>248</v>
      </c>
      <c r="B531" s="58"/>
      <c r="C531" s="521" t="s">
        <v>260</v>
      </c>
      <c r="D531" s="3"/>
      <c r="E531" s="522" t="s">
        <v>262</v>
      </c>
      <c r="F531" s="3"/>
      <c r="G531" s="29">
        <v>55087.023449999993</v>
      </c>
      <c r="H531" s="3"/>
      <c r="I531" s="684">
        <v>0.1434</v>
      </c>
      <c r="J531" s="538">
        <f>G531*I531/100</f>
        <v>78.994791627299989</v>
      </c>
      <c r="K531" s="538"/>
      <c r="L531" s="29">
        <v>6.8254427211220925</v>
      </c>
      <c r="M531" s="29">
        <v>40.918808833748216</v>
      </c>
      <c r="N531" s="29">
        <v>31.218849726009235</v>
      </c>
      <c r="O531" s="538">
        <f>J531-L531-M531-N531</f>
        <v>3.1690346420450766E-2</v>
      </c>
      <c r="P531" s="584"/>
      <c r="Q531" s="29">
        <v>6.3979895811215028</v>
      </c>
      <c r="R531" s="29">
        <v>50.264824605408322</v>
      </c>
      <c r="S531" s="29">
        <v>31.254035965571312</v>
      </c>
      <c r="T531" s="584"/>
      <c r="U531" s="132">
        <f>SUM(O531:S531)</f>
        <v>87.948540498521595</v>
      </c>
      <c r="V531" s="755">
        <f>U531/G531*100</f>
        <v>0.1596538258748878</v>
      </c>
      <c r="W531" s="538">
        <f>U531-J531</f>
        <v>8.953748871221606</v>
      </c>
      <c r="X531" s="559">
        <f>V531/I531-1</f>
        <v>0.11334606607313669</v>
      </c>
      <c r="Y531" s="559"/>
      <c r="Z531" s="501"/>
      <c r="AA531" s="738"/>
      <c r="AC531" s="738"/>
      <c r="AE531" s="744"/>
    </row>
    <row r="532" spans="1:31">
      <c r="A532" s="58">
        <f>MAX(A$529:A531)+1</f>
        <v>249</v>
      </c>
      <c r="B532" s="688"/>
      <c r="C532" s="521" t="s">
        <v>355</v>
      </c>
      <c r="D532" s="5"/>
      <c r="E532" s="522" t="s">
        <v>262</v>
      </c>
      <c r="F532" s="5"/>
      <c r="G532" s="29">
        <v>4252.9598999999998</v>
      </c>
      <c r="H532" s="5"/>
      <c r="I532" s="684">
        <v>0.1434</v>
      </c>
      <c r="J532" s="538">
        <f t="shared" ref="J532:J534" si="249">G532*I532/100</f>
        <v>6.0987444966000002</v>
      </c>
      <c r="K532" s="538"/>
      <c r="L532" s="29">
        <v>0.52695412412374854</v>
      </c>
      <c r="M532" s="29">
        <v>3.1591115697810852</v>
      </c>
      <c r="N532" s="29">
        <v>2.410232168912791</v>
      </c>
      <c r="O532" s="538">
        <f t="shared" ref="O532:O534" si="250">J532-L532-M532-N532</f>
        <v>2.4466337823754181E-3</v>
      </c>
      <c r="P532" s="585"/>
      <c r="Q532" s="29">
        <v>0.49395286630117513</v>
      </c>
      <c r="R532" s="29">
        <v>3.8806649922076151</v>
      </c>
      <c r="S532" s="29">
        <v>2.4129487009836361</v>
      </c>
      <c r="T532" s="585"/>
      <c r="U532" s="132">
        <f t="shared" ref="U532:U534" si="251">SUM(O532:S532)</f>
        <v>6.7900131932748025</v>
      </c>
      <c r="V532" s="755">
        <f>U532/G532*100</f>
        <v>0.1596538258748878</v>
      </c>
      <c r="W532" s="538">
        <f t="shared" ref="W532:W534" si="252">U532-J532</f>
        <v>0.69126869667480229</v>
      </c>
      <c r="X532" s="559">
        <f>V532/I532-1</f>
        <v>0.11334606607313669</v>
      </c>
      <c r="Y532" s="559"/>
      <c r="Z532" s="501"/>
      <c r="AA532" s="738"/>
      <c r="AC532" s="738"/>
      <c r="AE532" s="744"/>
    </row>
    <row r="533" spans="1:31">
      <c r="A533" s="58">
        <f>MAX(A$529:A532)+1</f>
        <v>250</v>
      </c>
      <c r="B533" s="58"/>
      <c r="C533" s="521" t="s">
        <v>359</v>
      </c>
      <c r="D533" s="58"/>
      <c r="E533" s="522" t="s">
        <v>262</v>
      </c>
      <c r="F533" s="58"/>
      <c r="G533" s="29">
        <v>12766.517779999998</v>
      </c>
      <c r="H533" s="58"/>
      <c r="I533" s="29">
        <v>0</v>
      </c>
      <c r="J533" s="538">
        <f t="shared" si="249"/>
        <v>0</v>
      </c>
      <c r="K533" s="29"/>
      <c r="L533" s="29">
        <v>0</v>
      </c>
      <c r="M533" s="29">
        <v>0</v>
      </c>
      <c r="N533" s="29">
        <v>0</v>
      </c>
      <c r="O533" s="538">
        <f t="shared" si="250"/>
        <v>0</v>
      </c>
      <c r="P533" s="564"/>
      <c r="Q533" s="29">
        <v>0</v>
      </c>
      <c r="R533" s="29">
        <v>0</v>
      </c>
      <c r="S533" s="29">
        <v>0</v>
      </c>
      <c r="T533" s="539"/>
      <c r="U533" s="132">
        <f t="shared" si="251"/>
        <v>0</v>
      </c>
      <c r="V533" s="29">
        <v>0</v>
      </c>
      <c r="W533" s="538">
        <f t="shared" si="252"/>
        <v>0</v>
      </c>
      <c r="X533" s="29"/>
      <c r="Y533" s="599"/>
      <c r="Z533" s="501"/>
      <c r="AA533" s="738"/>
      <c r="AC533" s="738"/>
      <c r="AE533" s="744"/>
    </row>
    <row r="534" spans="1:31">
      <c r="A534" s="58">
        <f>MAX(A$529:A533)+1</f>
        <v>251</v>
      </c>
      <c r="B534" s="58"/>
      <c r="C534" s="521" t="s">
        <v>360</v>
      </c>
      <c r="D534" s="58"/>
      <c r="E534" s="522" t="s">
        <v>262</v>
      </c>
      <c r="F534" s="58"/>
      <c r="G534" s="29">
        <v>12450.358</v>
      </c>
      <c r="H534" s="58"/>
      <c r="I534" s="29">
        <v>0</v>
      </c>
      <c r="J534" s="538">
        <f t="shared" si="249"/>
        <v>0</v>
      </c>
      <c r="K534" s="29"/>
      <c r="L534" s="29">
        <v>0</v>
      </c>
      <c r="M534" s="29">
        <v>0</v>
      </c>
      <c r="N534" s="29">
        <v>0</v>
      </c>
      <c r="O534" s="538">
        <f t="shared" si="250"/>
        <v>0</v>
      </c>
      <c r="P534" s="564"/>
      <c r="Q534" s="29">
        <v>0</v>
      </c>
      <c r="R534" s="29">
        <v>0</v>
      </c>
      <c r="S534" s="29">
        <v>0</v>
      </c>
      <c r="T534" s="539"/>
      <c r="U534" s="132">
        <f t="shared" si="251"/>
        <v>0</v>
      </c>
      <c r="V534" s="29">
        <v>0</v>
      </c>
      <c r="W534" s="538">
        <f t="shared" si="252"/>
        <v>0</v>
      </c>
      <c r="X534" s="29"/>
      <c r="Y534" s="599"/>
      <c r="Z534" s="501"/>
      <c r="AA534" s="738"/>
      <c r="AE534" s="744"/>
    </row>
    <row r="535" spans="1:31">
      <c r="A535" s="58"/>
      <c r="B535" s="58"/>
      <c r="C535" s="10"/>
      <c r="D535" s="58"/>
      <c r="E535" s="574"/>
      <c r="F535" s="58"/>
      <c r="G535" s="29"/>
      <c r="H535" s="58"/>
      <c r="I535" s="58"/>
      <c r="J535" s="538"/>
      <c r="K535" s="538"/>
      <c r="L535" s="538"/>
      <c r="M535" s="538"/>
      <c r="N535" s="538"/>
      <c r="O535" s="538"/>
      <c r="P535" s="564"/>
      <c r="Q535" s="538"/>
      <c r="R535" s="538"/>
      <c r="S535" s="538"/>
      <c r="T535" s="564"/>
      <c r="U535" s="132"/>
      <c r="V535" s="756"/>
      <c r="W535" s="538"/>
      <c r="X535" s="599"/>
      <c r="Y535" s="599"/>
      <c r="Z535" s="501"/>
      <c r="AA535" s="738"/>
      <c r="AE535" s="744"/>
    </row>
    <row r="536" spans="1:31" ht="12.95">
      <c r="A536" s="58">
        <f>MAX(A$529:A535)+1</f>
        <v>252</v>
      </c>
      <c r="B536" s="58"/>
      <c r="C536" s="10" t="s">
        <v>356</v>
      </c>
      <c r="D536" s="58"/>
      <c r="E536" s="128"/>
      <c r="F536" s="58"/>
      <c r="G536" s="131">
        <f>G531</f>
        <v>55087.023449999993</v>
      </c>
      <c r="H536" s="58"/>
      <c r="I536" s="556">
        <f>J536/G536*100</f>
        <v>0.15447110915538131</v>
      </c>
      <c r="J536" s="619">
        <f t="shared" ref="J536" si="253">SUM(J531:J535)</f>
        <v>85.093536123899995</v>
      </c>
      <c r="K536" s="564"/>
      <c r="L536" s="619">
        <f>SUM(L531:L535)</f>
        <v>7.352396845245841</v>
      </c>
      <c r="M536" s="619">
        <f t="shared" ref="M536:O536" si="254">SUM(M531:M535)</f>
        <v>44.077920403529298</v>
      </c>
      <c r="N536" s="619">
        <f t="shared" si="254"/>
        <v>33.629081894922024</v>
      </c>
      <c r="O536" s="619">
        <f t="shared" si="254"/>
        <v>3.4136980202826184E-2</v>
      </c>
      <c r="P536" s="564"/>
      <c r="Q536" s="619">
        <f>SUM(Q531:Q535)</f>
        <v>6.8919424474226778</v>
      </c>
      <c r="R536" s="619">
        <f t="shared" ref="R536:S536" si="255">SUM(R531:R535)</f>
        <v>54.145489597615935</v>
      </c>
      <c r="S536" s="619">
        <f t="shared" si="255"/>
        <v>33.666984666554946</v>
      </c>
      <c r="T536" s="564"/>
      <c r="U536" s="619">
        <f>SUM(U531:U535)</f>
        <v>94.738553691796398</v>
      </c>
      <c r="V536" s="592">
        <f>U536/G536*100</f>
        <v>0.17197980170009786</v>
      </c>
      <c r="W536" s="555">
        <f>SUM(W531:W534)</f>
        <v>9.6450175678964083</v>
      </c>
      <c r="X536" s="609">
        <f>V536/I536-1</f>
        <v>0.11334606607313646</v>
      </c>
      <c r="Y536" s="541"/>
      <c r="Z536" s="501"/>
      <c r="AA536" s="738"/>
      <c r="AC536" s="738"/>
      <c r="AE536" s="744"/>
    </row>
    <row r="537" spans="1:31">
      <c r="A537" s="58"/>
      <c r="B537" s="58"/>
      <c r="D537" s="58"/>
      <c r="E537" s="30"/>
      <c r="F537" s="58"/>
      <c r="G537" s="29"/>
      <c r="H537" s="58"/>
      <c r="I537" s="58"/>
      <c r="J537" s="538"/>
      <c r="K537" s="538"/>
      <c r="L537" s="538"/>
      <c r="M537" s="538"/>
      <c r="N537" s="538"/>
      <c r="O537" s="538"/>
      <c r="P537" s="564"/>
      <c r="Q537" s="538"/>
      <c r="R537" s="538"/>
      <c r="S537" s="538"/>
      <c r="T537" s="564"/>
      <c r="U537" s="564"/>
      <c r="V537" s="565"/>
      <c r="W537" s="538"/>
      <c r="X537" s="599"/>
      <c r="Y537" s="541"/>
      <c r="Z537" s="501"/>
      <c r="AA537" s="738"/>
      <c r="AC537" s="738"/>
      <c r="AE537" s="744"/>
    </row>
    <row r="538" spans="1:31">
      <c r="A538" s="58"/>
      <c r="B538" s="58"/>
      <c r="C538" s="10" t="s">
        <v>361</v>
      </c>
      <c r="D538" s="58"/>
      <c r="E538" s="1"/>
      <c r="F538" s="58"/>
      <c r="G538" s="29"/>
      <c r="H538" s="58"/>
      <c r="I538" s="58"/>
      <c r="J538" s="538"/>
      <c r="K538" s="538"/>
      <c r="L538" s="538"/>
      <c r="M538" s="538"/>
      <c r="N538" s="538"/>
      <c r="O538" s="538"/>
      <c r="P538" s="564"/>
      <c r="Q538" s="538"/>
      <c r="R538" s="538"/>
      <c r="S538" s="538"/>
      <c r="T538" s="564"/>
      <c r="U538" s="564"/>
      <c r="V538" s="565"/>
      <c r="W538" s="538"/>
      <c r="X538" s="599"/>
      <c r="Y538" s="541"/>
      <c r="Z538" s="501"/>
      <c r="AA538" s="738"/>
      <c r="AC538" s="738"/>
      <c r="AE538" s="744"/>
    </row>
    <row r="539" spans="1:31">
      <c r="A539" s="58">
        <f>MAX(A$529:A538)+1</f>
        <v>253</v>
      </c>
      <c r="B539" s="58"/>
      <c r="C539" s="526" t="s">
        <v>280</v>
      </c>
      <c r="D539" s="58"/>
      <c r="E539" s="522" t="s">
        <v>281</v>
      </c>
      <c r="F539" s="58"/>
      <c r="G539" s="29">
        <v>431.904</v>
      </c>
      <c r="H539" s="58"/>
      <c r="I539" s="29">
        <v>0</v>
      </c>
      <c r="J539" s="538">
        <v>0</v>
      </c>
      <c r="K539" s="538"/>
      <c r="L539" s="687">
        <v>0</v>
      </c>
      <c r="M539" s="687">
        <v>0</v>
      </c>
      <c r="N539" s="687">
        <v>0</v>
      </c>
      <c r="O539" s="538">
        <v>0</v>
      </c>
      <c r="P539" s="583"/>
      <c r="Q539" s="687">
        <v>0</v>
      </c>
      <c r="R539" s="687">
        <v>0</v>
      </c>
      <c r="S539" s="687">
        <v>0</v>
      </c>
      <c r="T539" s="583"/>
      <c r="U539" s="132">
        <v>0</v>
      </c>
      <c r="V539" s="132">
        <v>0</v>
      </c>
      <c r="W539" s="538">
        <v>0</v>
      </c>
      <c r="X539" s="599"/>
      <c r="Y539" s="541"/>
      <c r="Z539" s="501"/>
      <c r="AA539" s="738"/>
      <c r="AC539" s="738"/>
      <c r="AE539" s="744"/>
    </row>
    <row r="540" spans="1:31">
      <c r="A540" s="58">
        <f>MAX(A$529:A539)+1</f>
        <v>254</v>
      </c>
      <c r="B540" s="58"/>
      <c r="C540" s="526" t="s">
        <v>260</v>
      </c>
      <c r="D540" s="58"/>
      <c r="E540" s="522" t="s">
        <v>262</v>
      </c>
      <c r="F540" s="58"/>
      <c r="G540" s="29">
        <v>4405.8775999999998</v>
      </c>
      <c r="H540" s="58"/>
      <c r="I540" s="684">
        <v>0.1729</v>
      </c>
      <c r="J540" s="538">
        <f>G540*I540/100</f>
        <v>7.6177623703999995</v>
      </c>
      <c r="K540" s="538"/>
      <c r="L540" s="29">
        <v>1.4610501951616022</v>
      </c>
      <c r="M540" s="29">
        <v>3.2812865272834841</v>
      </c>
      <c r="N540" s="29">
        <v>2.5109710457424308</v>
      </c>
      <c r="O540" s="538">
        <f>J540-L540-M540-N540</f>
        <v>0.36445460221248194</v>
      </c>
      <c r="P540" s="564"/>
      <c r="Q540" s="29">
        <v>1.3695498311357461</v>
      </c>
      <c r="R540" s="29">
        <v>4.0307451872343671</v>
      </c>
      <c r="S540" s="29">
        <v>2.5138011189041376</v>
      </c>
      <c r="T540" s="564"/>
      <c r="U540" s="564">
        <f>SUM(O540:S540)</f>
        <v>8.2785507394867324</v>
      </c>
      <c r="V540" s="565">
        <f>U540/G540*100</f>
        <v>0.18789788303439781</v>
      </c>
      <c r="W540" s="538">
        <f>U540-J540</f>
        <v>0.66078836908673289</v>
      </c>
      <c r="X540" s="599">
        <f>V540/I540-1</f>
        <v>8.6743106040473084E-2</v>
      </c>
      <c r="Y540" s="541"/>
      <c r="Z540" s="501"/>
      <c r="AA540" s="738"/>
      <c r="AC540" s="738"/>
      <c r="AE540" s="744"/>
    </row>
    <row r="541" spans="1:31">
      <c r="A541" s="58">
        <f>MAX(A$529:A540)+1</f>
        <v>255</v>
      </c>
      <c r="B541" s="58"/>
      <c r="C541" s="12" t="s">
        <v>351</v>
      </c>
      <c r="D541" s="58"/>
      <c r="E541" s="522" t="s">
        <v>262</v>
      </c>
      <c r="F541" s="58"/>
      <c r="G541" s="29">
        <v>854.38999999999942</v>
      </c>
      <c r="H541" s="58"/>
      <c r="I541" s="684">
        <v>0.1729</v>
      </c>
      <c r="J541" s="538">
        <f>G541*I541/100</f>
        <v>1.4772403099999991</v>
      </c>
      <c r="K541" s="538"/>
      <c r="L541" s="29">
        <v>0.28332758863844076</v>
      </c>
      <c r="M541" s="29">
        <v>0.63630873359843998</v>
      </c>
      <c r="N541" s="29">
        <v>0.48692876801023116</v>
      </c>
      <c r="O541" s="538">
        <f>J541-L541-M541-N541</f>
        <v>7.0675219752887208E-2</v>
      </c>
      <c r="P541" s="564"/>
      <c r="Q541" s="29">
        <v>0.26558379202909987</v>
      </c>
      <c r="R541" s="29">
        <v>0.78164413385455112</v>
      </c>
      <c r="S541" s="29">
        <v>0.48747757722105228</v>
      </c>
      <c r="T541" s="564"/>
      <c r="U541" s="564">
        <f>SUM(O541:S541)</f>
        <v>1.6053807228575905</v>
      </c>
      <c r="V541" s="565">
        <f>U541/G541*100</f>
        <v>0.18789788303439781</v>
      </c>
      <c r="W541" s="538">
        <f>U541-J541</f>
        <v>0.12814041285759137</v>
      </c>
      <c r="X541" s="599">
        <f>V541/I541-1</f>
        <v>8.6743106040473084E-2</v>
      </c>
      <c r="Y541" s="541"/>
      <c r="Z541" s="501"/>
      <c r="AA541" s="738"/>
      <c r="AC541" s="738"/>
      <c r="AE541" s="744"/>
    </row>
    <row r="542" spans="1:31">
      <c r="A542" s="58"/>
      <c r="B542" s="58"/>
      <c r="C542" s="10"/>
      <c r="D542" s="58"/>
      <c r="E542" s="30"/>
      <c r="F542" s="58"/>
      <c r="G542" s="29"/>
      <c r="H542" s="58"/>
      <c r="I542" s="58"/>
      <c r="J542" s="538"/>
      <c r="K542" s="538"/>
      <c r="L542" s="538"/>
      <c r="M542" s="538"/>
      <c r="N542" s="538"/>
      <c r="O542" s="538"/>
      <c r="P542" s="564"/>
      <c r="Q542" s="538"/>
      <c r="R542" s="538"/>
      <c r="S542" s="538"/>
      <c r="T542" s="564"/>
      <c r="U542" s="564"/>
      <c r="V542" s="565"/>
      <c r="W542" s="538"/>
      <c r="X542" s="599"/>
      <c r="Y542" s="541"/>
      <c r="Z542" s="501"/>
      <c r="AA542" s="738"/>
      <c r="AC542" s="738"/>
      <c r="AE542" s="744"/>
    </row>
    <row r="543" spans="1:31">
      <c r="A543" s="58">
        <f>MAX(A$529:A542)+1</f>
        <v>256</v>
      </c>
      <c r="B543" s="58"/>
      <c r="C543" s="10" t="s">
        <v>353</v>
      </c>
      <c r="D543" s="58"/>
      <c r="E543" s="30"/>
      <c r="F543" s="58"/>
      <c r="G543" s="131">
        <f>G540</f>
        <v>4405.8775999999998</v>
      </c>
      <c r="H543" s="58"/>
      <c r="I543" s="556">
        <f>J543/G543*100</f>
        <v>0.20642885495502644</v>
      </c>
      <c r="J543" s="555">
        <f t="shared" ref="J543" si="256">SUM(J540:J542)</f>
        <v>9.0950026803999986</v>
      </c>
      <c r="K543" s="538"/>
      <c r="L543" s="555">
        <f>SUM(L540:L542)</f>
        <v>1.7443777838000429</v>
      </c>
      <c r="M543" s="555">
        <f t="shared" ref="M543:O543" si="257">SUM(M540:M542)</f>
        <v>3.917595260881924</v>
      </c>
      <c r="N543" s="555">
        <f t="shared" si="257"/>
        <v>2.997899813752662</v>
      </c>
      <c r="O543" s="555">
        <f t="shared" si="257"/>
        <v>0.43512982196536915</v>
      </c>
      <c r="P543" s="538"/>
      <c r="Q543" s="555">
        <f t="shared" ref="Q543:S543" si="258">SUM(Q540:Q542)</f>
        <v>1.6351336231648461</v>
      </c>
      <c r="R543" s="555">
        <f t="shared" si="258"/>
        <v>4.8123893210889186</v>
      </c>
      <c r="S543" s="555">
        <f t="shared" si="258"/>
        <v>3.00127869612519</v>
      </c>
      <c r="T543" s="538"/>
      <c r="U543" s="555">
        <f t="shared" ref="U543" si="259">SUM(U540:U542)</f>
        <v>9.8839314623443233</v>
      </c>
      <c r="V543" s="592">
        <f>U543/G543*100</f>
        <v>0.22433513501020375</v>
      </c>
      <c r="W543" s="555">
        <f>SUM(W539:W542)</f>
        <v>0.78892878194432425</v>
      </c>
      <c r="X543" s="609">
        <f>V543/I543-1</f>
        <v>8.6743106040473084E-2</v>
      </c>
      <c r="Y543" s="541"/>
      <c r="Z543" s="501"/>
      <c r="AA543" s="738"/>
      <c r="AC543" s="738"/>
      <c r="AE543" s="744"/>
    </row>
    <row r="544" spans="1:31">
      <c r="A544" s="58"/>
      <c r="E544" s="1"/>
      <c r="G544" s="129"/>
      <c r="J544" s="538"/>
      <c r="K544" s="538"/>
      <c r="L544" s="538"/>
      <c r="M544" s="538"/>
      <c r="N544" s="538"/>
      <c r="O544" s="538"/>
      <c r="P544" s="64"/>
      <c r="Q544" s="538"/>
      <c r="R544" s="538"/>
      <c r="S544" s="538"/>
      <c r="T544" s="64"/>
      <c r="U544" s="64"/>
      <c r="V544" s="580"/>
      <c r="W544" s="538"/>
      <c r="X544" s="605"/>
      <c r="Y544" s="501"/>
      <c r="Z544" s="501"/>
      <c r="AA544" s="738"/>
      <c r="AC544" s="738"/>
      <c r="AE544" s="744"/>
    </row>
    <row r="545" spans="1:31">
      <c r="A545" s="58">
        <f>MAX(A$529:A544)+1</f>
        <v>257</v>
      </c>
      <c r="B545" s="58"/>
      <c r="C545" s="10" t="s">
        <v>357</v>
      </c>
      <c r="D545" s="58"/>
      <c r="E545" s="522" t="s">
        <v>262</v>
      </c>
      <c r="F545" s="58"/>
      <c r="G545" s="29">
        <v>1599.69</v>
      </c>
      <c r="H545" s="58"/>
      <c r="I545" s="29">
        <v>0</v>
      </c>
      <c r="J545" s="538">
        <v>0</v>
      </c>
      <c r="K545" s="538"/>
      <c r="L545" s="687">
        <v>0</v>
      </c>
      <c r="M545" s="687">
        <v>0</v>
      </c>
      <c r="N545" s="687">
        <v>0</v>
      </c>
      <c r="O545" s="538">
        <v>0</v>
      </c>
      <c r="P545" s="583"/>
      <c r="Q545" s="687">
        <v>0</v>
      </c>
      <c r="R545" s="687">
        <v>0</v>
      </c>
      <c r="S545" s="687">
        <v>0</v>
      </c>
      <c r="T545" s="583"/>
      <c r="U545" s="132">
        <v>0</v>
      </c>
      <c r="V545" s="132">
        <v>0</v>
      </c>
      <c r="W545" s="538">
        <v>0</v>
      </c>
      <c r="X545" s="599"/>
      <c r="Y545" s="541"/>
      <c r="Z545" s="501"/>
      <c r="AA545" s="738"/>
      <c r="AC545" s="738"/>
      <c r="AE545" s="744"/>
    </row>
    <row r="546" spans="1:31">
      <c r="A546" s="58">
        <f>MAX(A$529:A545)+1</f>
        <v>258</v>
      </c>
      <c r="B546" s="58"/>
      <c r="C546" s="10" t="s">
        <v>270</v>
      </c>
      <c r="D546" s="58"/>
      <c r="E546" s="522" t="s">
        <v>262</v>
      </c>
      <c r="F546" s="58"/>
      <c r="G546" s="29">
        <v>2163.9659000000001</v>
      </c>
      <c r="H546" s="58"/>
      <c r="I546" s="684">
        <v>20.612300000000001</v>
      </c>
      <c r="J546" s="538">
        <f>G546*I546/100</f>
        <v>446.04314320570006</v>
      </c>
      <c r="K546" s="538"/>
      <c r="L546" s="687">
        <v>0</v>
      </c>
      <c r="M546" s="687">
        <v>0</v>
      </c>
      <c r="N546" s="687">
        <v>0</v>
      </c>
      <c r="O546" s="538">
        <f>J546-L546-M546-N546</f>
        <v>446.04314320570006</v>
      </c>
      <c r="P546" s="564"/>
      <c r="Q546" s="29">
        <v>0</v>
      </c>
      <c r="R546" s="29">
        <v>0</v>
      </c>
      <c r="S546" s="29">
        <v>0</v>
      </c>
      <c r="T546" s="564"/>
      <c r="U546" s="564">
        <f>SUM(O546:S546)</f>
        <v>446.04314320570006</v>
      </c>
      <c r="V546" s="565">
        <f>U546/G546*100</f>
        <v>20.612300000000001</v>
      </c>
      <c r="W546" s="538">
        <f>U546-J546</f>
        <v>0</v>
      </c>
      <c r="X546" s="599">
        <f>V546/I546-1</f>
        <v>0</v>
      </c>
      <c r="Y546" s="541"/>
      <c r="Z546" s="501"/>
      <c r="AA546" s="738"/>
      <c r="AC546" s="738"/>
      <c r="AE546" s="744"/>
    </row>
    <row r="547" spans="1:31">
      <c r="A547" s="58"/>
      <c r="B547" s="58"/>
      <c r="C547" s="10"/>
      <c r="D547" s="58"/>
      <c r="E547" s="30"/>
      <c r="F547" s="58"/>
      <c r="G547" s="29"/>
      <c r="H547" s="58"/>
      <c r="I547" s="58"/>
      <c r="J547" s="538"/>
      <c r="K547" s="538"/>
      <c r="L547" s="538"/>
      <c r="M547" s="538"/>
      <c r="N547" s="538"/>
      <c r="O547" s="538"/>
      <c r="P547" s="564"/>
      <c r="Q547" s="538"/>
      <c r="R547" s="538"/>
      <c r="S547" s="538"/>
      <c r="T547" s="564"/>
      <c r="U547" s="564"/>
      <c r="V547" s="565"/>
      <c r="W547" s="538"/>
      <c r="X547" s="599"/>
      <c r="Y547" s="541"/>
      <c r="Z547" s="501"/>
      <c r="AA547" s="738"/>
      <c r="AC547" s="738"/>
    </row>
    <row r="548" spans="1:31" ht="12.95" thickBot="1">
      <c r="A548" s="58">
        <f>MAX(A$529:A547)+1</f>
        <v>259</v>
      </c>
      <c r="B548" s="58"/>
      <c r="C548" s="10" t="s">
        <v>362</v>
      </c>
      <c r="D548" s="58"/>
      <c r="E548" s="30"/>
      <c r="F548" s="58"/>
      <c r="G548" s="691">
        <f>G536+G543</f>
        <v>59492.901049999993</v>
      </c>
      <c r="H548" s="58"/>
      <c r="I548" s="692">
        <f>J548/G548*100</f>
        <v>0.90806074754359312</v>
      </c>
      <c r="J548" s="628">
        <f t="shared" ref="J548" si="260">J536+J543+J546</f>
        <v>540.2316820100001</v>
      </c>
      <c r="K548" s="564"/>
      <c r="L548" s="628">
        <f>L536+L543+L546</f>
        <v>9.0967746290458837</v>
      </c>
      <c r="M548" s="628">
        <f t="shared" ref="M548:O548" si="261">M536+M543+M546</f>
        <v>47.995515664411222</v>
      </c>
      <c r="N548" s="628">
        <f t="shared" si="261"/>
        <v>36.626981708674684</v>
      </c>
      <c r="O548" s="628">
        <f t="shared" si="261"/>
        <v>446.51241000786825</v>
      </c>
      <c r="P548" s="564"/>
      <c r="Q548" s="628">
        <f>Q536+Q543+Q546</f>
        <v>8.5270760705875244</v>
      </c>
      <c r="R548" s="628">
        <f t="shared" ref="R548:S548" si="262">R536+R543+R546</f>
        <v>58.95787891870485</v>
      </c>
      <c r="S548" s="628">
        <f t="shared" si="262"/>
        <v>36.668263362680136</v>
      </c>
      <c r="T548" s="564"/>
      <c r="U548" s="628">
        <f>U536+U543+U546</f>
        <v>550.66562835984075</v>
      </c>
      <c r="V548" s="590">
        <f>U548/G548*100</f>
        <v>0.92559888430561055</v>
      </c>
      <c r="W548" s="587">
        <f>W536+W543+W546</f>
        <v>10.433946349840733</v>
      </c>
      <c r="X548" s="615">
        <f>V548/I548-1</f>
        <v>1.9313836447022004E-2</v>
      </c>
      <c r="Y548" s="541"/>
      <c r="Z548" s="501"/>
      <c r="AA548" s="738"/>
      <c r="AC548" s="738"/>
      <c r="AE548" s="744"/>
    </row>
    <row r="549" spans="1:31" ht="12.95" thickTop="1">
      <c r="A549" s="58"/>
      <c r="B549" s="58"/>
      <c r="C549" s="10"/>
      <c r="D549" s="58"/>
      <c r="E549" s="30"/>
      <c r="F549" s="58"/>
      <c r="G549" s="29"/>
      <c r="H549" s="58"/>
      <c r="I549" s="58"/>
      <c r="J549" s="538"/>
      <c r="K549" s="538"/>
      <c r="L549" s="538"/>
      <c r="M549" s="538"/>
      <c r="N549" s="538"/>
      <c r="O549" s="538"/>
      <c r="P549" s="564"/>
      <c r="Q549" s="538"/>
      <c r="R549" s="538"/>
      <c r="S549" s="538"/>
      <c r="T549" s="564"/>
      <c r="U549" s="564"/>
      <c r="V549" s="564"/>
      <c r="W549" s="538"/>
      <c r="X549" s="605"/>
      <c r="Y549" s="501"/>
      <c r="Z549" s="501"/>
    </row>
    <row r="550" spans="1:31">
      <c r="A550" s="58"/>
      <c r="B550" s="58"/>
      <c r="C550" s="9" t="s">
        <v>150</v>
      </c>
      <c r="D550" s="58"/>
      <c r="E550" s="30"/>
      <c r="F550" s="58"/>
      <c r="G550" s="29"/>
      <c r="H550" s="58"/>
      <c r="I550" s="58"/>
      <c r="J550" s="538"/>
      <c r="K550" s="538"/>
      <c r="L550" s="538"/>
      <c r="M550" s="538"/>
      <c r="N550" s="538"/>
      <c r="O550" s="538"/>
      <c r="P550" s="564"/>
      <c r="Q550" s="538"/>
      <c r="R550" s="538"/>
      <c r="S550" s="538"/>
      <c r="T550" s="564"/>
      <c r="U550" s="564"/>
      <c r="V550" s="564"/>
      <c r="W550" s="538"/>
      <c r="X550" s="605"/>
      <c r="Y550" s="501"/>
      <c r="Z550" s="501"/>
    </row>
    <row r="551" spans="1:31">
      <c r="A551" s="58"/>
      <c r="B551" s="58"/>
      <c r="C551" s="10" t="s">
        <v>361</v>
      </c>
      <c r="D551" s="58"/>
      <c r="E551" s="30"/>
      <c r="F551" s="58"/>
      <c r="G551" s="29"/>
      <c r="H551" s="58"/>
      <c r="I551" s="58"/>
      <c r="J551" s="538"/>
      <c r="K551" s="538"/>
      <c r="L551" s="538"/>
      <c r="M551" s="538"/>
      <c r="N551" s="538"/>
      <c r="O551" s="538"/>
      <c r="P551" s="564"/>
      <c r="Q551" s="538"/>
      <c r="R551" s="538"/>
      <c r="S551" s="538"/>
      <c r="T551" s="564"/>
      <c r="U551" s="564"/>
      <c r="V551" s="564"/>
      <c r="W551" s="538"/>
      <c r="X551" s="605"/>
      <c r="Y551" s="501"/>
      <c r="Z551" s="501"/>
    </row>
    <row r="552" spans="1:31">
      <c r="A552" s="58">
        <f>MAX(A$529:A551)+1</f>
        <v>260</v>
      </c>
      <c r="B552" s="58"/>
      <c r="C552" s="526" t="s">
        <v>280</v>
      </c>
      <c r="D552" s="58"/>
      <c r="E552" s="522" t="s">
        <v>281</v>
      </c>
      <c r="F552" s="58"/>
      <c r="G552" s="29">
        <v>71858.168000000005</v>
      </c>
      <c r="H552" s="58"/>
      <c r="I552" s="29">
        <v>0</v>
      </c>
      <c r="J552" s="538">
        <v>0</v>
      </c>
      <c r="K552" s="538"/>
      <c r="L552" s="687">
        <v>0</v>
      </c>
      <c r="M552" s="687">
        <v>0</v>
      </c>
      <c r="N552" s="687">
        <v>0</v>
      </c>
      <c r="O552" s="538">
        <v>0</v>
      </c>
      <c r="P552" s="564"/>
      <c r="Q552" s="687">
        <v>0</v>
      </c>
      <c r="R552" s="687">
        <v>0</v>
      </c>
      <c r="S552" s="687">
        <v>0</v>
      </c>
      <c r="T552" s="564"/>
      <c r="U552" s="564">
        <v>0</v>
      </c>
      <c r="V552" s="564">
        <v>0</v>
      </c>
      <c r="W552" s="538">
        <v>0</v>
      </c>
      <c r="X552" s="599"/>
      <c r="Y552" s="541"/>
      <c r="Z552" s="501"/>
    </row>
    <row r="553" spans="1:31">
      <c r="A553" s="58">
        <f>MAX(A$529:A552)+1</f>
        <v>261</v>
      </c>
      <c r="C553" s="526" t="s">
        <v>260</v>
      </c>
      <c r="E553" s="522" t="s">
        <v>262</v>
      </c>
      <c r="G553" s="29">
        <v>713737.64702999999</v>
      </c>
      <c r="I553" s="684">
        <v>0.21870000000000001</v>
      </c>
      <c r="J553" s="538">
        <f>G553*I553/100</f>
        <v>1560.9442340546102</v>
      </c>
      <c r="K553" s="538"/>
      <c r="L553" s="29">
        <v>93.792407213470639</v>
      </c>
      <c r="M553" s="29">
        <v>584.79105061009568</v>
      </c>
      <c r="N553" s="29">
        <v>849.57803103823073</v>
      </c>
      <c r="O553" s="538">
        <f>J553-L553-M553-N553</f>
        <v>32.782745192813195</v>
      </c>
      <c r="P553" s="64"/>
      <c r="Q553" s="29">
        <v>87.918523187231116</v>
      </c>
      <c r="R553" s="29">
        <v>718.35961083709674</v>
      </c>
      <c r="S553" s="29">
        <v>850.53557612362465</v>
      </c>
      <c r="T553" s="64"/>
      <c r="U553" s="564">
        <f>SUM(O553:S553)</f>
        <v>1689.5964553407657</v>
      </c>
      <c r="V553" s="565">
        <f>U553/G553*100</f>
        <v>0.23672514156588242</v>
      </c>
      <c r="W553" s="538">
        <f>U553-J553</f>
        <v>128.65222128615551</v>
      </c>
      <c r="X553" s="599">
        <f>V553/I553-1</f>
        <v>8.2419485897953448E-2</v>
      </c>
      <c r="Y553" s="541"/>
      <c r="Z553" s="501"/>
      <c r="AA553" s="738"/>
      <c r="AC553" s="738"/>
      <c r="AE553" s="744"/>
    </row>
    <row r="554" spans="1:31">
      <c r="A554" s="58">
        <f>MAX(A$529:A553)+1</f>
        <v>262</v>
      </c>
      <c r="B554" s="58"/>
      <c r="C554" s="12" t="s">
        <v>351</v>
      </c>
      <c r="D554" s="58"/>
      <c r="E554" s="522" t="s">
        <v>262</v>
      </c>
      <c r="F554" s="58"/>
      <c r="G554" s="29">
        <v>22348.747200000002</v>
      </c>
      <c r="H554" s="58"/>
      <c r="I554" s="684">
        <v>0.21870000000000001</v>
      </c>
      <c r="J554" s="538">
        <f>G554*I554/100</f>
        <v>48.876710126400006</v>
      </c>
      <c r="K554" s="538"/>
      <c r="L554" s="29">
        <v>2.9368533477472658</v>
      </c>
      <c r="M554" s="29">
        <v>18.31113632479877</v>
      </c>
      <c r="N554" s="29">
        <v>26.602218225920634</v>
      </c>
      <c r="O554" s="538">
        <f>J554-L554-M554-N554</f>
        <v>1.0265022279333351</v>
      </c>
      <c r="P554" s="564"/>
      <c r="Q554" s="29">
        <v>2.7529286945770126</v>
      </c>
      <c r="R554" s="29">
        <v>22.4934713869925</v>
      </c>
      <c r="S554" s="29">
        <v>26.632201137898331</v>
      </c>
      <c r="T554" s="564"/>
      <c r="U554" s="564">
        <f>SUM(O554:S554)</f>
        <v>52.905103447401174</v>
      </c>
      <c r="V554" s="565">
        <f>U554/G554*100</f>
        <v>0.23672514156588237</v>
      </c>
      <c r="W554" s="538">
        <f>U554-J554</f>
        <v>4.0283933210011682</v>
      </c>
      <c r="X554" s="599">
        <f>V554/I554-1</f>
        <v>8.2419485897953226E-2</v>
      </c>
      <c r="Y554" s="541"/>
      <c r="Z554" s="501"/>
      <c r="AA554" s="738"/>
      <c r="AC554" s="738"/>
      <c r="AE554" s="744"/>
    </row>
    <row r="555" spans="1:31">
      <c r="A555" s="58"/>
      <c r="B555" s="58"/>
      <c r="C555" s="10"/>
      <c r="D555" s="58"/>
      <c r="E555" s="30"/>
      <c r="F555" s="58"/>
      <c r="G555" s="129"/>
      <c r="H555" s="58"/>
      <c r="I555" s="684"/>
      <c r="J555" s="538"/>
      <c r="K555" s="538"/>
      <c r="L555" s="538"/>
      <c r="M555" s="538"/>
      <c r="N555" s="538"/>
      <c r="O555" s="538"/>
      <c r="P555" s="564"/>
      <c r="Q555" s="538"/>
      <c r="R555" s="538"/>
      <c r="S555" s="538"/>
      <c r="T555" s="564"/>
      <c r="U555" s="564"/>
      <c r="V555" s="565"/>
      <c r="W555" s="538"/>
      <c r="X555" s="599"/>
      <c r="Y555" s="541"/>
      <c r="Z555" s="501"/>
    </row>
    <row r="556" spans="1:31">
      <c r="A556" s="58">
        <f>MAX(A$529:A555)+1</f>
        <v>263</v>
      </c>
      <c r="B556" s="58"/>
      <c r="C556" s="10" t="s">
        <v>353</v>
      </c>
      <c r="D556" s="58"/>
      <c r="E556" s="30"/>
      <c r="F556" s="58"/>
      <c r="G556" s="411">
        <f>G553</f>
        <v>713737.64702999999</v>
      </c>
      <c r="H556" s="58"/>
      <c r="I556" s="556">
        <f>J556/G556*100</f>
        <v>0.22554799384336605</v>
      </c>
      <c r="J556" s="555">
        <f t="shared" ref="J556" si="263">SUM(J553:J555)</f>
        <v>1609.8209441810102</v>
      </c>
      <c r="K556" s="538"/>
      <c r="L556" s="555">
        <f>SUM(L553:L555)</f>
        <v>96.729260561217899</v>
      </c>
      <c r="M556" s="555">
        <f t="shared" ref="M556:O556" si="264">SUM(M553:M555)</f>
        <v>603.10218693489446</v>
      </c>
      <c r="N556" s="555">
        <f t="shared" si="264"/>
        <v>876.18024926415137</v>
      </c>
      <c r="O556" s="555">
        <f t="shared" si="264"/>
        <v>33.80924742074653</v>
      </c>
      <c r="P556" s="538"/>
      <c r="Q556" s="619">
        <f>SUM(Q553:Q555)</f>
        <v>90.671451881808125</v>
      </c>
      <c r="R556" s="619">
        <f t="shared" ref="R556:S556" si="265">SUM(R553:R555)</f>
        <v>740.85308222408923</v>
      </c>
      <c r="S556" s="619">
        <f t="shared" si="265"/>
        <v>877.16777726152293</v>
      </c>
      <c r="T556" s="564"/>
      <c r="U556" s="619">
        <f>SUM(U553:U555)</f>
        <v>1742.5015587881669</v>
      </c>
      <c r="V556" s="592">
        <f>U556/G556*100</f>
        <v>0.24413754354125103</v>
      </c>
      <c r="W556" s="555">
        <f>SUM(W552:W555)</f>
        <v>132.68061460715668</v>
      </c>
      <c r="X556" s="609">
        <f>V556/I556-1</f>
        <v>8.2419485897953448E-2</v>
      </c>
      <c r="Y556" s="541"/>
      <c r="Z556" s="501"/>
      <c r="AA556" s="738"/>
      <c r="AC556" s="738"/>
      <c r="AE556" s="744"/>
    </row>
    <row r="557" spans="1:31">
      <c r="A557" s="58"/>
      <c r="B557" s="58"/>
      <c r="D557" s="58"/>
      <c r="E557" s="30"/>
      <c r="F557" s="58"/>
      <c r="G557" s="29"/>
      <c r="H557" s="58"/>
      <c r="I557" s="58"/>
      <c r="J557" s="538"/>
      <c r="K557" s="538"/>
      <c r="L557" s="538"/>
      <c r="M557" s="538"/>
      <c r="N557" s="538"/>
      <c r="O557" s="538"/>
      <c r="P557" s="564"/>
      <c r="Q557" s="538"/>
      <c r="R557" s="538"/>
      <c r="S557" s="538"/>
      <c r="T557" s="564"/>
      <c r="U557" s="564"/>
      <c r="V557" s="565"/>
      <c r="W557" s="538"/>
      <c r="X557" s="605"/>
      <c r="Y557" s="501"/>
      <c r="Z557" s="501"/>
      <c r="AA557" s="738"/>
      <c r="AC557" s="738"/>
    </row>
    <row r="558" spans="1:31">
      <c r="A558" s="58"/>
      <c r="B558" s="58"/>
      <c r="C558" s="10" t="s">
        <v>354</v>
      </c>
      <c r="D558" s="58"/>
      <c r="E558" s="30"/>
      <c r="F558" s="58"/>
      <c r="G558" s="132"/>
      <c r="H558" s="58"/>
      <c r="I558" s="58"/>
      <c r="J558" s="538"/>
      <c r="K558" s="538"/>
      <c r="L558" s="538"/>
      <c r="M558" s="538"/>
      <c r="N558" s="538"/>
      <c r="O558" s="538"/>
      <c r="P558" s="564"/>
      <c r="Q558" s="538"/>
      <c r="R558" s="538"/>
      <c r="S558" s="538"/>
      <c r="T558" s="564"/>
      <c r="U558" s="564"/>
      <c r="V558" s="565"/>
      <c r="W558" s="538"/>
      <c r="X558" s="605"/>
      <c r="Y558" s="501"/>
      <c r="Z558" s="501"/>
      <c r="AA558" s="738"/>
      <c r="AC558" s="738"/>
    </row>
    <row r="559" spans="1:31">
      <c r="A559" s="58">
        <f>MAX(A$529:A558)+1</f>
        <v>264</v>
      </c>
      <c r="B559" s="58"/>
      <c r="C559" s="12" t="s">
        <v>333</v>
      </c>
      <c r="D559" s="58"/>
      <c r="E559" s="522" t="s">
        <v>262</v>
      </c>
      <c r="F559" s="58"/>
      <c r="G559" s="29">
        <v>75999.023490000007</v>
      </c>
      <c r="H559" s="58"/>
      <c r="I559" s="684">
        <v>0.21870000000000001</v>
      </c>
      <c r="J559" s="538">
        <f>G559*I559/100</f>
        <v>166.20986437263002</v>
      </c>
      <c r="K559" s="538"/>
      <c r="L559" s="29">
        <v>9.9870469053464248</v>
      </c>
      <c r="M559" s="29">
        <v>62.268746754492533</v>
      </c>
      <c r="N559" s="29">
        <v>90.463353034744088</v>
      </c>
      <c r="O559" s="538">
        <f>J559-L559-M559-N559</f>
        <v>3.4907176780469769</v>
      </c>
      <c r="P559" s="564"/>
      <c r="Q559" s="29">
        <v>9.3615937686857631</v>
      </c>
      <c r="R559" s="29">
        <v>76.491171742802919</v>
      </c>
      <c r="S559" s="29">
        <v>90.565312755855061</v>
      </c>
      <c r="T559" s="564"/>
      <c r="U559" s="564">
        <f>SUM(O559:S559)</f>
        <v>179.90879594539072</v>
      </c>
      <c r="V559" s="565">
        <f>U559/G559*100</f>
        <v>0.23672514156588237</v>
      </c>
      <c r="W559" s="538">
        <f>U559-J559</f>
        <v>13.698931572760699</v>
      </c>
      <c r="X559" s="599">
        <f>V559/I559-1</f>
        <v>8.2419485897953226E-2</v>
      </c>
      <c r="Y559" s="541"/>
      <c r="Z559" s="501"/>
      <c r="AA559" s="738"/>
      <c r="AC559" s="738"/>
      <c r="AE559" s="744"/>
    </row>
    <row r="560" spans="1:31">
      <c r="A560" s="58">
        <f>MAX(A$529:A559)+1</f>
        <v>265</v>
      </c>
      <c r="B560" s="58"/>
      <c r="C560" s="12" t="s">
        <v>363</v>
      </c>
      <c r="D560" s="58"/>
      <c r="E560" s="522" t="s">
        <v>262</v>
      </c>
      <c r="F560" s="58"/>
      <c r="G560" s="29">
        <v>7467.4059999999999</v>
      </c>
      <c r="H560" s="58"/>
      <c r="I560" s="684">
        <v>0.21870000000000001</v>
      </c>
      <c r="J560" s="538">
        <f>G560*I560/100</f>
        <v>16.331216921999999</v>
      </c>
      <c r="K560" s="538"/>
      <c r="L560" s="29">
        <v>0</v>
      </c>
      <c r="M560" s="29">
        <v>0</v>
      </c>
      <c r="N560" s="29">
        <v>0</v>
      </c>
      <c r="O560" s="538">
        <f>J560-L560-M560-N560</f>
        <v>16.331216921999999</v>
      </c>
      <c r="P560" s="564"/>
      <c r="Q560" s="29">
        <v>0</v>
      </c>
      <c r="R560" s="29">
        <v>0</v>
      </c>
      <c r="S560" s="29">
        <v>0</v>
      </c>
      <c r="T560" s="564"/>
      <c r="U560" s="564">
        <f>SUM(O560:S560)</f>
        <v>16.331216921999999</v>
      </c>
      <c r="V560" s="565">
        <f>U560/G560*100</f>
        <v>0.21870000000000001</v>
      </c>
      <c r="W560" s="538">
        <f>U560-J560</f>
        <v>0</v>
      </c>
      <c r="X560" s="599">
        <f>V560/I560-1</f>
        <v>0</v>
      </c>
      <c r="Y560" s="541"/>
      <c r="Z560" s="501"/>
      <c r="AA560" s="738"/>
      <c r="AC560" s="738"/>
      <c r="AE560" s="744"/>
    </row>
    <row r="561" spans="1:31">
      <c r="A561" s="58"/>
      <c r="B561" s="58"/>
      <c r="C561" s="10"/>
      <c r="D561" s="58"/>
      <c r="E561" s="30"/>
      <c r="F561" s="58"/>
      <c r="G561" s="132"/>
      <c r="H561" s="58"/>
      <c r="I561" s="58"/>
      <c r="J561" s="538"/>
      <c r="K561" s="538"/>
      <c r="L561" s="538"/>
      <c r="M561" s="538"/>
      <c r="N561" s="538"/>
      <c r="O561" s="538"/>
      <c r="P561" s="564"/>
      <c r="Q561" s="538"/>
      <c r="R561" s="538"/>
      <c r="S561" s="538"/>
      <c r="T561" s="564"/>
      <c r="U561" s="564"/>
      <c r="V561" s="565"/>
      <c r="W561" s="538"/>
      <c r="X561" s="599"/>
      <c r="Y561" s="541"/>
      <c r="Z561" s="501"/>
      <c r="AA561" s="738"/>
      <c r="AC561" s="738"/>
      <c r="AE561" s="744"/>
    </row>
    <row r="562" spans="1:31">
      <c r="A562" s="58">
        <f>MAX(A$529:A561)+1</f>
        <v>266</v>
      </c>
      <c r="B562" s="58"/>
      <c r="C562" s="10" t="s">
        <v>356</v>
      </c>
      <c r="D562" s="58"/>
      <c r="E562" s="574"/>
      <c r="F562" s="58"/>
      <c r="G562" s="131">
        <f>G559</f>
        <v>75999.023490000007</v>
      </c>
      <c r="H562" s="58"/>
      <c r="I562" s="556">
        <f>J562/G562*100</f>
        <v>0.2401887194230185</v>
      </c>
      <c r="J562" s="555">
        <f t="shared" ref="J562" si="266">SUM(J559:J561)</f>
        <v>182.54108129463003</v>
      </c>
      <c r="K562" s="538"/>
      <c r="L562" s="555">
        <f>SUM(L559:L561)</f>
        <v>9.9870469053464248</v>
      </c>
      <c r="M562" s="555">
        <f t="shared" ref="M562:O562" si="267">SUM(M559:M561)</f>
        <v>62.268746754492533</v>
      </c>
      <c r="N562" s="555">
        <f t="shared" si="267"/>
        <v>90.463353034744088</v>
      </c>
      <c r="O562" s="555">
        <f t="shared" si="267"/>
        <v>19.821934600046976</v>
      </c>
      <c r="P562" s="564"/>
      <c r="Q562" s="619">
        <f>SUM(Q559:Q561)</f>
        <v>9.3615937686857631</v>
      </c>
      <c r="R562" s="619">
        <f t="shared" ref="R562:S562" si="268">SUM(R559:R561)</f>
        <v>76.491171742802919</v>
      </c>
      <c r="S562" s="619">
        <f t="shared" si="268"/>
        <v>90.565312755855061</v>
      </c>
      <c r="T562" s="564"/>
      <c r="U562" s="619">
        <f>SUM(U559:U561)</f>
        <v>196.24001286739073</v>
      </c>
      <c r="V562" s="592">
        <f>U562/G562*100</f>
        <v>0.25821386098890087</v>
      </c>
      <c r="W562" s="555">
        <f>SUM(W559:W561)</f>
        <v>13.698931572760699</v>
      </c>
      <c r="X562" s="609">
        <f>V562/I562-1</f>
        <v>7.5045745733531399E-2</v>
      </c>
      <c r="Y562" s="541"/>
      <c r="Z562" s="501"/>
      <c r="AA562" s="738"/>
      <c r="AC562" s="738"/>
      <c r="AE562" s="744"/>
    </row>
    <row r="563" spans="1:31" ht="12.95">
      <c r="A563" s="58"/>
      <c r="B563" s="58"/>
      <c r="D563" s="58"/>
      <c r="E563" s="128"/>
      <c r="F563" s="58"/>
      <c r="G563" s="575"/>
      <c r="H563" s="58"/>
      <c r="I563" s="58"/>
      <c r="J563" s="538"/>
      <c r="K563" s="538"/>
      <c r="L563" s="538"/>
      <c r="M563" s="538"/>
      <c r="N563" s="538"/>
      <c r="O563" s="538"/>
      <c r="P563" s="564"/>
      <c r="Q563" s="538"/>
      <c r="R563" s="538"/>
      <c r="S563" s="538"/>
      <c r="T563" s="564"/>
      <c r="U563" s="564"/>
      <c r="V563" s="565"/>
      <c r="W563" s="538"/>
      <c r="X563" s="599"/>
      <c r="Y563" s="541"/>
      <c r="Z563" s="501"/>
      <c r="AA563" s="738"/>
      <c r="AC563" s="738"/>
      <c r="AE563" s="744"/>
    </row>
    <row r="564" spans="1:31">
      <c r="A564" s="58">
        <f>MAX(A$529:A563)+1</f>
        <v>267</v>
      </c>
      <c r="B564" s="58"/>
      <c r="C564" s="10" t="s">
        <v>270</v>
      </c>
      <c r="D564" s="58"/>
      <c r="E564" s="522" t="s">
        <v>262</v>
      </c>
      <c r="F564" s="58"/>
      <c r="G564" s="29">
        <v>35618.685999999994</v>
      </c>
      <c r="H564" s="58"/>
      <c r="I564" s="689">
        <v>20.612300000000001</v>
      </c>
      <c r="J564" s="538">
        <f>G564*I564/100</f>
        <v>7341.8304143779997</v>
      </c>
      <c r="K564" s="538"/>
      <c r="L564" s="687">
        <v>0</v>
      </c>
      <c r="M564" s="687">
        <v>0</v>
      </c>
      <c r="N564" s="687">
        <v>0</v>
      </c>
      <c r="O564" s="538">
        <f>J564-L564-M564-N564</f>
        <v>7341.8304143779997</v>
      </c>
      <c r="P564" s="564"/>
      <c r="Q564" s="687">
        <v>0</v>
      </c>
      <c r="R564" s="687">
        <v>0</v>
      </c>
      <c r="S564" s="687">
        <v>0</v>
      </c>
      <c r="T564" s="29"/>
      <c r="U564" s="564">
        <f>SUM(O564:S564)</f>
        <v>7341.8304143779997</v>
      </c>
      <c r="V564" s="565">
        <f>U564/G564*100</f>
        <v>20.612300000000001</v>
      </c>
      <c r="W564" s="538">
        <f>U564-J564</f>
        <v>0</v>
      </c>
      <c r="X564" s="599">
        <f>V564/I564-1</f>
        <v>0</v>
      </c>
      <c r="Y564" s="541"/>
      <c r="Z564" s="501"/>
      <c r="AA564" s="738"/>
      <c r="AC564" s="738"/>
      <c r="AE564" s="744"/>
    </row>
    <row r="565" spans="1:31">
      <c r="A565" s="58"/>
      <c r="B565" s="58"/>
      <c r="C565" s="10"/>
      <c r="D565" s="58"/>
      <c r="E565" s="30"/>
      <c r="F565" s="58"/>
      <c r="G565" s="132"/>
      <c r="H565" s="58"/>
      <c r="I565" s="757"/>
      <c r="J565" s="538"/>
      <c r="K565" s="538"/>
      <c r="L565" s="538"/>
      <c r="M565" s="538"/>
      <c r="N565" s="538"/>
      <c r="O565" s="538"/>
      <c r="P565" s="564"/>
      <c r="Q565" s="538"/>
      <c r="R565" s="538"/>
      <c r="S565" s="538"/>
      <c r="T565" s="564"/>
      <c r="U565" s="564"/>
      <c r="V565" s="565"/>
      <c r="W565" s="538"/>
      <c r="X565" s="605"/>
      <c r="Y565" s="501"/>
      <c r="Z565" s="501"/>
      <c r="AA565" s="738"/>
      <c r="AC565" s="738"/>
      <c r="AE565" s="744"/>
    </row>
    <row r="566" spans="1:31" ht="12.95" thickBot="1">
      <c r="A566" s="58">
        <f>MAX(A$529:A565)+1</f>
        <v>268</v>
      </c>
      <c r="B566" s="58"/>
      <c r="C566" s="10" t="s">
        <v>364</v>
      </c>
      <c r="D566" s="58"/>
      <c r="E566" s="30"/>
      <c r="F566" s="58"/>
      <c r="G566" s="439">
        <f>G556+G562</f>
        <v>789736.67052000004</v>
      </c>
      <c r="H566" s="58"/>
      <c r="I566" s="572">
        <f>J566/G566*100</f>
        <v>1.156612422953496</v>
      </c>
      <c r="J566" s="628">
        <f>J556+J562+J564</f>
        <v>9134.1924398536394</v>
      </c>
      <c r="K566" s="564"/>
      <c r="L566" s="628">
        <f>L556+L562+L564</f>
        <v>106.71630746656433</v>
      </c>
      <c r="M566" s="628">
        <f>M556+M562+M564</f>
        <v>665.37093368938702</v>
      </c>
      <c r="N566" s="628">
        <f>N556+N562+N564</f>
        <v>966.64360229889542</v>
      </c>
      <c r="O566" s="628">
        <f>O556+O562+O564</f>
        <v>7395.4615963987935</v>
      </c>
      <c r="P566" s="564"/>
      <c r="Q566" s="628">
        <f>Q556+Q562+Q564</f>
        <v>100.03304565049389</v>
      </c>
      <c r="R566" s="628">
        <f>R556+R562+R564</f>
        <v>817.34425396689221</v>
      </c>
      <c r="S566" s="628">
        <f>S556+S562+S564</f>
        <v>967.733090017378</v>
      </c>
      <c r="T566" s="564"/>
      <c r="U566" s="628">
        <f>U556+U562+U564</f>
        <v>9280.5719860335576</v>
      </c>
      <c r="V566" s="590">
        <f>U566/G566*100</f>
        <v>1.1751476577531583</v>
      </c>
      <c r="W566" s="587">
        <f>W556+W562+W564</f>
        <v>146.37954617991738</v>
      </c>
      <c r="X566" s="615">
        <f>V566/I566-1</f>
        <v>1.6025450212899583E-2</v>
      </c>
      <c r="Y566" s="541"/>
      <c r="Z566" s="501"/>
      <c r="AA566" s="738"/>
      <c r="AC566" s="738"/>
      <c r="AE566" s="744"/>
    </row>
    <row r="567" spans="1:31" ht="12.95" thickTop="1">
      <c r="A567" s="6"/>
      <c r="B567" s="58"/>
      <c r="C567" s="10"/>
      <c r="D567" s="58"/>
      <c r="E567" s="30"/>
      <c r="F567" s="58"/>
      <c r="G567" s="132"/>
      <c r="H567" s="58"/>
      <c r="I567" s="548"/>
      <c r="J567" s="564"/>
      <c r="K567" s="564"/>
      <c r="L567" s="564"/>
      <c r="M567" s="564"/>
      <c r="N567" s="564"/>
      <c r="O567" s="564"/>
      <c r="P567" s="564"/>
      <c r="Q567" s="564"/>
      <c r="R567" s="564"/>
      <c r="S567" s="564"/>
      <c r="T567" s="564"/>
      <c r="U567" s="564"/>
      <c r="V567" s="565"/>
      <c r="W567" s="538"/>
      <c r="X567" s="782"/>
      <c r="Y567" s="541"/>
      <c r="Z567" s="501"/>
      <c r="AA567" s="738"/>
      <c r="AE567" s="744"/>
    </row>
    <row r="568" spans="1:31">
      <c r="A568" s="6"/>
      <c r="B568" s="58"/>
      <c r="C568" s="10"/>
      <c r="D568" s="58"/>
      <c r="E568" s="30"/>
      <c r="F568" s="58"/>
      <c r="G568" s="132"/>
      <c r="H568" s="58"/>
      <c r="I568" s="548"/>
      <c r="J568" s="564"/>
      <c r="K568" s="564"/>
      <c r="L568" s="564"/>
      <c r="M568" s="564"/>
      <c r="N568" s="564"/>
      <c r="O568" s="564"/>
      <c r="P568" s="564"/>
      <c r="Q568" s="564"/>
      <c r="R568" s="564"/>
      <c r="S568" s="564"/>
      <c r="T568" s="564"/>
      <c r="U568" s="564"/>
      <c r="V568" s="565"/>
      <c r="W568" s="538"/>
      <c r="X568" s="782"/>
      <c r="Y568" s="541"/>
      <c r="Z568" s="501"/>
      <c r="AA568" s="738"/>
      <c r="AE568" s="744"/>
    </row>
    <row r="569" spans="1:31">
      <c r="J569" s="501"/>
      <c r="K569" s="501"/>
      <c r="L569" s="2"/>
      <c r="M569" s="2"/>
      <c r="N569" s="501"/>
      <c r="O569" s="501"/>
      <c r="Q569" s="501"/>
      <c r="R569" s="501"/>
      <c r="S569" s="501"/>
      <c r="W569" s="501"/>
      <c r="X569" s="522"/>
      <c r="Y569" s="501"/>
      <c r="Z569" s="501"/>
      <c r="AA569" s="738"/>
      <c r="AE569" s="744"/>
    </row>
    <row r="570" spans="1:31">
      <c r="J570" s="501"/>
      <c r="K570" s="501"/>
      <c r="L570" s="2"/>
      <c r="M570" s="2"/>
      <c r="N570" s="501"/>
      <c r="O570" s="501"/>
      <c r="Q570" s="501"/>
      <c r="R570" s="501"/>
      <c r="S570" s="501"/>
      <c r="W570" s="538"/>
      <c r="X570" s="522"/>
      <c r="Y570" s="501"/>
      <c r="Z570" s="501"/>
      <c r="AA570" s="738"/>
      <c r="AE570" s="744"/>
    </row>
    <row r="571" spans="1:31">
      <c r="A571" s="1156" t="s">
        <v>279</v>
      </c>
      <c r="B571" s="1156"/>
      <c r="C571" s="1156"/>
      <c r="D571" s="1156"/>
      <c r="E571" s="1156"/>
      <c r="F571" s="1156"/>
      <c r="G571" s="1156"/>
      <c r="H571" s="1156"/>
      <c r="I571" s="1156"/>
      <c r="J571" s="1156"/>
      <c r="K571" s="1156"/>
      <c r="L571" s="1156"/>
      <c r="M571" s="1156"/>
      <c r="N571" s="1156"/>
      <c r="O571" s="1156"/>
      <c r="P571" s="1156"/>
      <c r="Q571" s="1156"/>
      <c r="R571" s="1156"/>
      <c r="S571" s="1156"/>
      <c r="T571" s="1156"/>
      <c r="U571" s="1156"/>
      <c r="V571" s="1156"/>
      <c r="W571" s="1156"/>
      <c r="X571" s="1156"/>
      <c r="Y571" s="779"/>
      <c r="Z571" s="501"/>
      <c r="AA571" s="738"/>
      <c r="AE571" s="744"/>
    </row>
    <row r="572" spans="1:31">
      <c r="A572" s="1156" t="s">
        <v>499</v>
      </c>
      <c r="B572" s="1156"/>
      <c r="C572" s="1156"/>
      <c r="D572" s="1156"/>
      <c r="E572" s="1156"/>
      <c r="F572" s="1156"/>
      <c r="G572" s="1156"/>
      <c r="H572" s="1156"/>
      <c r="I572" s="1156"/>
      <c r="J572" s="1156"/>
      <c r="K572" s="1156"/>
      <c r="L572" s="1156"/>
      <c r="M572" s="1156"/>
      <c r="N572" s="1156"/>
      <c r="O572" s="1156"/>
      <c r="P572" s="1156"/>
      <c r="Q572" s="1156"/>
      <c r="R572" s="1156"/>
      <c r="S572" s="1156"/>
      <c r="T572" s="1156"/>
      <c r="U572" s="1156"/>
      <c r="V572" s="1156"/>
      <c r="W572" s="1156"/>
      <c r="X572" s="1156"/>
      <c r="Y572" s="713"/>
      <c r="Z572" s="713"/>
      <c r="AA572" s="738"/>
      <c r="AE572" s="744"/>
    </row>
    <row r="573" spans="1:31">
      <c r="A573" s="57"/>
      <c r="B573" s="57"/>
      <c r="C573" s="57"/>
      <c r="D573" s="57"/>
      <c r="E573" s="3"/>
      <c r="F573" s="57"/>
      <c r="G573" s="3"/>
      <c r="H573" s="57"/>
      <c r="I573" s="57"/>
      <c r="J573" s="501"/>
      <c r="K573" s="501"/>
      <c r="L573" s="4"/>
      <c r="M573" s="4"/>
      <c r="N573" s="501"/>
      <c r="O573" s="501"/>
      <c r="P573" s="57"/>
      <c r="Q573" s="501"/>
      <c r="R573" s="501"/>
      <c r="S573" s="501"/>
      <c r="T573" s="57"/>
      <c r="U573" s="57"/>
      <c r="V573" s="57"/>
      <c r="W573" s="501"/>
      <c r="X573" s="522"/>
      <c r="Y573" s="501"/>
      <c r="Z573" s="501"/>
      <c r="AA573" s="738"/>
      <c r="AE573" s="744"/>
    </row>
    <row r="574" spans="1:31">
      <c r="A574" s="3"/>
      <c r="B574" s="3"/>
      <c r="C574" s="3"/>
      <c r="D574" s="3"/>
      <c r="E574" s="58"/>
      <c r="F574" s="58"/>
      <c r="G574" s="1152" t="s">
        <v>231</v>
      </c>
      <c r="H574" s="1152"/>
      <c r="I574" s="1152"/>
      <c r="J574" s="1152"/>
      <c r="K574" s="58"/>
      <c r="L574" s="1152" t="s">
        <v>94</v>
      </c>
      <c r="M574" s="1152"/>
      <c r="N574" s="1152"/>
      <c r="O574" s="58"/>
      <c r="P574" s="3"/>
      <c r="Q574" s="1152" t="s">
        <v>95</v>
      </c>
      <c r="R574" s="1152"/>
      <c r="S574" s="1152"/>
      <c r="T574" s="3"/>
      <c r="U574" s="1152" t="s">
        <v>232</v>
      </c>
      <c r="V574" s="1152"/>
      <c r="W574" s="1152"/>
      <c r="X574" s="1152"/>
      <c r="Y574" s="6"/>
      <c r="Z574" s="501"/>
      <c r="AA574" s="738"/>
      <c r="AE574" s="744"/>
    </row>
    <row r="575" spans="1:31" ht="37.5">
      <c r="A575" s="5" t="s">
        <v>56</v>
      </c>
      <c r="B575" s="5"/>
      <c r="C575" s="5"/>
      <c r="D575" s="5"/>
      <c r="E575" s="6" t="s">
        <v>233</v>
      </c>
      <c r="F575" s="5"/>
      <c r="G575" s="17" t="s">
        <v>234</v>
      </c>
      <c r="H575" s="5"/>
      <c r="I575" s="17" t="s">
        <v>235</v>
      </c>
      <c r="J575" s="5" t="s">
        <v>101</v>
      </c>
      <c r="K575" s="5"/>
      <c r="L575" s="5" t="s">
        <v>491</v>
      </c>
      <c r="M575" s="5" t="s">
        <v>492</v>
      </c>
      <c r="N575" s="5" t="s">
        <v>493</v>
      </c>
      <c r="O575" s="5" t="s">
        <v>239</v>
      </c>
      <c r="P575" s="5"/>
      <c r="Q575" s="5" t="s">
        <v>491</v>
      </c>
      <c r="R575" s="5" t="s">
        <v>492</v>
      </c>
      <c r="S575" s="5" t="s">
        <v>493</v>
      </c>
      <c r="T575" s="5"/>
      <c r="U575" s="17" t="s">
        <v>113</v>
      </c>
      <c r="V575" s="17" t="s">
        <v>242</v>
      </c>
      <c r="W575" s="17" t="s">
        <v>243</v>
      </c>
      <c r="X575" s="5" t="s">
        <v>244</v>
      </c>
      <c r="Y575" s="5"/>
      <c r="Z575" s="501"/>
      <c r="AA575" s="738"/>
      <c r="AE575" s="744"/>
    </row>
    <row r="576" spans="1:31" ht="14.45">
      <c r="A576" s="237" t="s">
        <v>57</v>
      </c>
      <c r="B576" s="58"/>
      <c r="C576" s="59" t="s">
        <v>194</v>
      </c>
      <c r="D576" s="58"/>
      <c r="E576" s="237" t="s">
        <v>245</v>
      </c>
      <c r="F576" s="58"/>
      <c r="G576" s="237" t="s">
        <v>246</v>
      </c>
      <c r="H576" s="58"/>
      <c r="I576" s="237" t="s">
        <v>247</v>
      </c>
      <c r="J576" s="237" t="s">
        <v>248</v>
      </c>
      <c r="K576" s="6"/>
      <c r="L576" s="237" t="s">
        <v>248</v>
      </c>
      <c r="M576" s="237" t="s">
        <v>248</v>
      </c>
      <c r="N576" s="237" t="s">
        <v>248</v>
      </c>
      <c r="O576" s="237" t="s">
        <v>248</v>
      </c>
      <c r="P576" s="58"/>
      <c r="Q576" s="237" t="s">
        <v>248</v>
      </c>
      <c r="R576" s="237" t="s">
        <v>248</v>
      </c>
      <c r="S576" s="237" t="s">
        <v>248</v>
      </c>
      <c r="T576" s="58"/>
      <c r="U576" s="237" t="s">
        <v>248</v>
      </c>
      <c r="V576" s="237" t="s">
        <v>247</v>
      </c>
      <c r="W576" s="237" t="s">
        <v>248</v>
      </c>
      <c r="X576" s="237" t="s">
        <v>249</v>
      </c>
      <c r="Y576" s="6"/>
      <c r="Z576" s="501"/>
      <c r="AA576" s="738"/>
      <c r="AE576" s="744"/>
    </row>
    <row r="577" spans="1:31">
      <c r="A577" s="6"/>
      <c r="B577" s="58"/>
      <c r="C577" s="58"/>
      <c r="D577" s="58"/>
      <c r="E577" s="6"/>
      <c r="F577" s="58"/>
      <c r="G577" s="6" t="s">
        <v>9</v>
      </c>
      <c r="H577" s="6"/>
      <c r="I577" s="6" t="s">
        <v>10</v>
      </c>
      <c r="J577" s="6" t="s">
        <v>58</v>
      </c>
      <c r="K577" s="6"/>
      <c r="L577" s="123" t="s">
        <v>12</v>
      </c>
      <c r="M577" s="123" t="s">
        <v>13</v>
      </c>
      <c r="N577" s="6" t="s">
        <v>115</v>
      </c>
      <c r="O577" s="6" t="s">
        <v>495</v>
      </c>
      <c r="P577" s="6"/>
      <c r="Q577" s="6" t="s">
        <v>210</v>
      </c>
      <c r="R577" s="6" t="s">
        <v>118</v>
      </c>
      <c r="S577" s="6" t="s">
        <v>119</v>
      </c>
      <c r="T577" s="6"/>
      <c r="U577" s="6" t="s">
        <v>496</v>
      </c>
      <c r="V577" s="6" t="s">
        <v>121</v>
      </c>
      <c r="W577" s="6" t="s">
        <v>497</v>
      </c>
      <c r="X577" s="6" t="s">
        <v>498</v>
      </c>
      <c r="Y577" s="501"/>
      <c r="Z577" s="501"/>
    </row>
    <row r="578" spans="1:31">
      <c r="A578" s="6"/>
      <c r="B578" s="58"/>
      <c r="C578" s="58"/>
      <c r="D578" s="58"/>
      <c r="E578" s="6"/>
      <c r="F578" s="58"/>
      <c r="G578" s="6"/>
      <c r="H578" s="6"/>
      <c r="I578" s="6"/>
      <c r="J578" s="6"/>
      <c r="K578" s="6"/>
      <c r="L578" s="123"/>
      <c r="M578" s="123"/>
      <c r="N578" s="6"/>
      <c r="O578" s="6"/>
      <c r="P578" s="6"/>
      <c r="Q578" s="6"/>
      <c r="R578" s="6"/>
      <c r="S578" s="6"/>
      <c r="T578" s="6"/>
      <c r="U578" s="6"/>
      <c r="V578" s="6"/>
      <c r="W578" s="6"/>
      <c r="X578" s="6"/>
      <c r="Y578" s="501"/>
      <c r="Z578" s="501"/>
    </row>
    <row r="579" spans="1:31">
      <c r="A579" s="6"/>
      <c r="B579" s="58"/>
      <c r="C579" s="9" t="s">
        <v>151</v>
      </c>
      <c r="D579" s="58"/>
      <c r="E579" s="574"/>
      <c r="F579" s="58"/>
      <c r="G579" s="29"/>
      <c r="H579" s="58"/>
      <c r="I579" s="58"/>
      <c r="J579" s="538"/>
      <c r="K579" s="538"/>
      <c r="L579" s="538"/>
      <c r="M579" s="538"/>
      <c r="N579" s="538"/>
      <c r="O579" s="538"/>
      <c r="P579" s="564"/>
      <c r="Q579" s="538"/>
      <c r="R579" s="538"/>
      <c r="S579" s="538"/>
      <c r="T579" s="564"/>
      <c r="U579" s="564"/>
      <c r="V579" s="564"/>
      <c r="W579" s="538"/>
      <c r="X579" s="522"/>
      <c r="Y579" s="501"/>
      <c r="Z579" s="501"/>
    </row>
    <row r="580" spans="1:31">
      <c r="A580" s="58">
        <v>269</v>
      </c>
      <c r="B580" s="58"/>
      <c r="C580" s="521" t="s">
        <v>280</v>
      </c>
      <c r="D580" s="58"/>
      <c r="E580" s="522" t="s">
        <v>281</v>
      </c>
      <c r="F580" s="58"/>
      <c r="G580" s="29">
        <v>6040.4639999999999</v>
      </c>
      <c r="H580" s="539"/>
      <c r="I580" s="29">
        <v>0</v>
      </c>
      <c r="J580" s="538">
        <v>0</v>
      </c>
      <c r="K580" s="538"/>
      <c r="L580" s="687">
        <v>0</v>
      </c>
      <c r="M580" s="687">
        <v>0</v>
      </c>
      <c r="N580" s="687">
        <v>0</v>
      </c>
      <c r="O580" s="538">
        <v>0</v>
      </c>
      <c r="P580" s="564"/>
      <c r="Q580" s="29">
        <v>0</v>
      </c>
      <c r="R580" s="29">
        <v>0</v>
      </c>
      <c r="S580" s="29">
        <v>0</v>
      </c>
      <c r="T580" s="564"/>
      <c r="U580" s="564">
        <v>0</v>
      </c>
      <c r="V580" s="564">
        <v>0</v>
      </c>
      <c r="W580" s="538">
        <v>0</v>
      </c>
      <c r="X580" s="599"/>
      <c r="Y580" s="541"/>
      <c r="Z580" s="501"/>
    </row>
    <row r="581" spans="1:31">
      <c r="A581" s="58">
        <f>MAX(A$579:A580)+1</f>
        <v>270</v>
      </c>
      <c r="B581" s="58"/>
      <c r="C581" s="521" t="s">
        <v>260</v>
      </c>
      <c r="D581" s="58"/>
      <c r="E581" s="522" t="s">
        <v>262</v>
      </c>
      <c r="F581" s="58"/>
      <c r="G581" s="29">
        <v>90073.425800000012</v>
      </c>
      <c r="H581" s="539"/>
      <c r="I581" s="684">
        <v>0.14700000000000002</v>
      </c>
      <c r="J581" s="538">
        <f>G581*I581/100</f>
        <v>132.40793592600002</v>
      </c>
      <c r="K581" s="538"/>
      <c r="L581" s="29">
        <v>2.8522366222343125</v>
      </c>
      <c r="M581" s="29">
        <v>53.547075007156863</v>
      </c>
      <c r="N581" s="29">
        <v>75.954499308342562</v>
      </c>
      <c r="O581" s="538">
        <f>J581-L581-M581-N581</f>
        <v>5.4124988266295304E-2</v>
      </c>
      <c r="P581" s="564"/>
      <c r="Q581" s="29">
        <v>2.6736112128633147</v>
      </c>
      <c r="R581" s="29">
        <v>65.777436100425092</v>
      </c>
      <c r="S581" s="29">
        <v>76.040106344858529</v>
      </c>
      <c r="T581" s="564"/>
      <c r="U581" s="564">
        <f>SUM(O581:S581)</f>
        <v>144.54527864641324</v>
      </c>
      <c r="V581" s="565">
        <f>U581/G581*100</f>
        <v>0.16047494292863149</v>
      </c>
      <c r="W581" s="538">
        <f>U581-J581</f>
        <v>12.137342720413216</v>
      </c>
      <c r="X581" s="599">
        <f>V581/I581-1</f>
        <v>9.1666278426064451E-2</v>
      </c>
      <c r="Y581" s="541"/>
      <c r="Z581" s="501"/>
      <c r="AA581" s="738"/>
      <c r="AC581" s="738"/>
      <c r="AE581" s="744"/>
    </row>
    <row r="582" spans="1:31">
      <c r="A582" s="58"/>
      <c r="B582" s="58"/>
      <c r="C582" s="12"/>
      <c r="D582" s="58"/>
      <c r="E582" s="522"/>
      <c r="F582" s="58"/>
      <c r="G582" s="29"/>
      <c r="H582" s="539"/>
      <c r="I582" s="684"/>
      <c r="J582" s="538"/>
      <c r="K582" s="538"/>
      <c r="L582" s="29"/>
      <c r="M582" s="29"/>
      <c r="N582" s="29"/>
      <c r="O582" s="538"/>
      <c r="P582" s="564"/>
      <c r="Q582" s="29"/>
      <c r="R582" s="29"/>
      <c r="S582" s="29"/>
      <c r="T582" s="564"/>
      <c r="U582" s="564"/>
      <c r="V582" s="565"/>
      <c r="W582" s="538">
        <f t="shared" ref="W582" si="269">U582-J582</f>
        <v>0</v>
      </c>
      <c r="X582" s="599"/>
      <c r="Y582" s="541"/>
      <c r="Z582" s="501"/>
      <c r="AA582" s="738"/>
      <c r="AC582" s="738"/>
      <c r="AE582" s="744"/>
    </row>
    <row r="583" spans="1:31">
      <c r="A583" s="58">
        <f>MAX(A$579:A582)+1</f>
        <v>271</v>
      </c>
      <c r="B583" s="58"/>
      <c r="C583" s="10" t="s">
        <v>481</v>
      </c>
      <c r="D583" s="58"/>
      <c r="E583" s="522"/>
      <c r="F583" s="58"/>
      <c r="G583" s="411">
        <f>G581</f>
        <v>90073.425800000012</v>
      </c>
      <c r="H583" s="539"/>
      <c r="I583" s="668">
        <f>I581</f>
        <v>0.14700000000000002</v>
      </c>
      <c r="J583" s="555">
        <f>G583*I583/100</f>
        <v>132.40793592600002</v>
      </c>
      <c r="K583" s="801"/>
      <c r="L583" s="411">
        <f>SUM(L581:L582)</f>
        <v>2.8522366222343125</v>
      </c>
      <c r="M583" s="411">
        <f t="shared" ref="M583:O583" si="270">SUM(M581:M582)</f>
        <v>53.547075007156863</v>
      </c>
      <c r="N583" s="411">
        <f t="shared" si="270"/>
        <v>75.954499308342562</v>
      </c>
      <c r="O583" s="411">
        <f t="shared" si="270"/>
        <v>5.4124988266295304E-2</v>
      </c>
      <c r="P583" s="801"/>
      <c r="Q583" s="411">
        <f>SUM(Q581:Q582)</f>
        <v>2.6736112128633147</v>
      </c>
      <c r="R583" s="411">
        <f t="shared" ref="R583:S583" si="271">SUM(R581:R582)</f>
        <v>65.777436100425092</v>
      </c>
      <c r="S583" s="411">
        <f t="shared" si="271"/>
        <v>76.040106344858529</v>
      </c>
      <c r="T583" s="801"/>
      <c r="U583" s="619">
        <f>SUM(U581:U582)</f>
        <v>144.54527864641324</v>
      </c>
      <c r="V583" s="668">
        <f t="shared" ref="V583:X583" si="272">V581</f>
        <v>0.16047494292863149</v>
      </c>
      <c r="W583" s="555">
        <f>U583-J583</f>
        <v>12.137342720413216</v>
      </c>
      <c r="X583" s="609">
        <f t="shared" si="272"/>
        <v>9.1666278426064451E-2</v>
      </c>
      <c r="Y583" s="541"/>
      <c r="Z583" s="501"/>
      <c r="AA583" s="738"/>
      <c r="AC583" s="738"/>
      <c r="AE583" s="744"/>
    </row>
    <row r="584" spans="1:31">
      <c r="A584" s="58"/>
      <c r="C584" s="10"/>
      <c r="G584" s="568"/>
      <c r="H584" s="567"/>
      <c r="I584" s="684"/>
      <c r="J584" s="538"/>
      <c r="K584" s="538"/>
      <c r="L584" s="538"/>
      <c r="M584" s="538"/>
      <c r="N584" s="538"/>
      <c r="O584" s="538"/>
      <c r="P584" s="64"/>
      <c r="Q584" s="576"/>
      <c r="R584" s="576"/>
      <c r="S584" s="576"/>
      <c r="T584" s="64"/>
      <c r="U584" s="564"/>
      <c r="V584" s="565"/>
      <c r="W584" s="538"/>
      <c r="X584" s="599"/>
      <c r="Y584" s="541"/>
      <c r="Z584" s="501"/>
      <c r="AA584" s="738"/>
      <c r="AC584" s="738"/>
      <c r="AE584" s="744"/>
    </row>
    <row r="585" spans="1:31" hidden="1">
      <c r="A585" s="58"/>
      <c r="B585" s="58"/>
      <c r="C585" s="10"/>
      <c r="D585" s="58"/>
      <c r="E585" s="30"/>
      <c r="F585" s="58"/>
      <c r="G585" s="553"/>
      <c r="H585" s="539"/>
      <c r="I585" s="635"/>
      <c r="J585" s="538"/>
      <c r="K585" s="538"/>
      <c r="L585" s="555"/>
      <c r="M585" s="555"/>
      <c r="N585" s="555"/>
      <c r="O585" s="538"/>
      <c r="P585" s="564"/>
      <c r="Q585" s="131"/>
      <c r="R585" s="131"/>
      <c r="S585" s="131"/>
      <c r="T585" s="564"/>
      <c r="U585" s="564"/>
      <c r="V585" s="592"/>
      <c r="W585" s="538"/>
      <c r="X585" s="609"/>
      <c r="Y585" s="541"/>
      <c r="Z585" s="501"/>
      <c r="AA585" s="738"/>
      <c r="AC585" s="738"/>
      <c r="AE585" s="744"/>
    </row>
    <row r="586" spans="1:31" hidden="1">
      <c r="A586" s="58"/>
      <c r="B586" s="58"/>
      <c r="D586" s="58"/>
      <c r="E586" s="30"/>
      <c r="F586" s="58"/>
      <c r="G586" s="536"/>
      <c r="H586" s="539"/>
      <c r="I586" s="597"/>
      <c r="J586" s="538"/>
      <c r="K586" s="538"/>
      <c r="L586" s="538"/>
      <c r="M586" s="538"/>
      <c r="N586" s="538"/>
      <c r="O586" s="538"/>
      <c r="P586" s="564"/>
      <c r="Q586" s="576"/>
      <c r="R586" s="576"/>
      <c r="S586" s="576"/>
      <c r="T586" s="564"/>
      <c r="U586" s="564"/>
      <c r="V586" s="565"/>
      <c r="W586" s="538"/>
      <c r="X586" s="599"/>
      <c r="Y586" s="541"/>
      <c r="Z586" s="501"/>
      <c r="AA586" s="738"/>
      <c r="AC586" s="738"/>
      <c r="AE586" s="744"/>
    </row>
    <row r="587" spans="1:31">
      <c r="A587" s="58">
        <f>MAX(A$579:A586)+1</f>
        <v>272</v>
      </c>
      <c r="B587" s="581"/>
      <c r="C587" s="10" t="s">
        <v>270</v>
      </c>
      <c r="D587" s="581"/>
      <c r="E587" s="522" t="s">
        <v>262</v>
      </c>
      <c r="F587" s="581"/>
      <c r="G587" s="29">
        <v>15795.321699999999</v>
      </c>
      <c r="H587" s="693"/>
      <c r="I587" s="684">
        <v>20.612300000000001</v>
      </c>
      <c r="J587" s="538">
        <f>G587*I587/100</f>
        <v>3255.7790947690996</v>
      </c>
      <c r="K587" s="538"/>
      <c r="L587" s="687">
        <v>0</v>
      </c>
      <c r="M587" s="687">
        <v>0</v>
      </c>
      <c r="N587" s="687">
        <v>0</v>
      </c>
      <c r="O587" s="538">
        <f>J587-L587-M587-N587</f>
        <v>3255.7790947690996</v>
      </c>
      <c r="P587" s="694"/>
      <c r="Q587" s="29">
        <v>0</v>
      </c>
      <c r="R587" s="29">
        <v>0</v>
      </c>
      <c r="S587" s="29">
        <v>0</v>
      </c>
      <c r="T587" s="694"/>
      <c r="U587" s="564">
        <f>SUM(O587:S587)</f>
        <v>3255.7790947690996</v>
      </c>
      <c r="V587" s="565">
        <f>U587/G587*100</f>
        <v>20.612300000000001</v>
      </c>
      <c r="W587" s="538">
        <f>U587-J587</f>
        <v>0</v>
      </c>
      <c r="X587" s="599">
        <f>V587/I587-1</f>
        <v>0</v>
      </c>
      <c r="Y587" s="541"/>
      <c r="Z587" s="501"/>
      <c r="AA587" s="738"/>
      <c r="AC587" s="738"/>
      <c r="AE587" s="744"/>
    </row>
    <row r="588" spans="1:31">
      <c r="A588" s="58"/>
      <c r="B588" s="57"/>
      <c r="C588" s="10"/>
      <c r="D588" s="57"/>
      <c r="E588" s="3"/>
      <c r="F588" s="57"/>
      <c r="G588" s="29"/>
      <c r="H588" s="614"/>
      <c r="I588" s="597"/>
      <c r="J588" s="538"/>
      <c r="K588" s="538"/>
      <c r="L588" s="538"/>
      <c r="M588" s="538"/>
      <c r="N588" s="538"/>
      <c r="O588" s="538"/>
      <c r="P588" s="583"/>
      <c r="Q588" s="538"/>
      <c r="R588" s="538"/>
      <c r="S588" s="538"/>
      <c r="T588" s="583"/>
      <c r="U588" s="583"/>
      <c r="V588" s="565"/>
      <c r="W588" s="538"/>
      <c r="X588" s="599"/>
      <c r="Y588" s="541"/>
      <c r="Z588" s="501"/>
    </row>
    <row r="589" spans="1:31" ht="12.95" thickBot="1">
      <c r="A589" s="58">
        <f>MAX(A$579:A588)+1</f>
        <v>273</v>
      </c>
      <c r="B589" s="3"/>
      <c r="C589" s="10" t="s">
        <v>365</v>
      </c>
      <c r="D589" s="3"/>
      <c r="E589" s="57"/>
      <c r="F589" s="3"/>
      <c r="G589" s="569">
        <f>G581</f>
        <v>90073.425800000012</v>
      </c>
      <c r="H589" s="624"/>
      <c r="I589" s="695">
        <f>J589/G589*100</f>
        <v>3.7615833977695772</v>
      </c>
      <c r="J589" s="439">
        <f>J581+J587</f>
        <v>3388.1870306950996</v>
      </c>
      <c r="K589" s="132"/>
      <c r="L589" s="439">
        <f>SUM(L581)</f>
        <v>2.8522366222343125</v>
      </c>
      <c r="M589" s="439">
        <f t="shared" ref="M589:N589" si="273">SUM(M581)</f>
        <v>53.547075007156863</v>
      </c>
      <c r="N589" s="439">
        <f t="shared" si="273"/>
        <v>75.954499308342562</v>
      </c>
      <c r="O589" s="439">
        <f>O583+O587</f>
        <v>3255.8332197573659</v>
      </c>
      <c r="P589" s="132"/>
      <c r="Q589" s="439">
        <f>Q583</f>
        <v>2.6736112128633147</v>
      </c>
      <c r="R589" s="439">
        <f>R583</f>
        <v>65.777436100425092</v>
      </c>
      <c r="S589" s="439">
        <f>S583</f>
        <v>76.040106344858529</v>
      </c>
      <c r="T589" s="132"/>
      <c r="U589" s="439">
        <f>U583+U587</f>
        <v>3400.324373415513</v>
      </c>
      <c r="V589" s="695">
        <f>U589/G589*100</f>
        <v>3.7750583406982092</v>
      </c>
      <c r="W589" s="587">
        <f>W581+W587</f>
        <v>12.137342720413216</v>
      </c>
      <c r="X589" s="615">
        <f>V589/I589-1</f>
        <v>3.582252871655589E-3</v>
      </c>
      <c r="Y589" s="541"/>
      <c r="Z589" s="501"/>
      <c r="AA589" s="738"/>
      <c r="AC589" s="738"/>
      <c r="AE589" s="744"/>
    </row>
    <row r="590" spans="1:31" ht="12.95" thickTop="1">
      <c r="A590" s="58"/>
      <c r="B590" s="5"/>
      <c r="C590" s="5"/>
      <c r="D590" s="5"/>
      <c r="E590" s="6"/>
      <c r="F590" s="5"/>
      <c r="G590" s="17"/>
      <c r="H590" s="5"/>
      <c r="I590" s="696"/>
      <c r="J590" s="538"/>
      <c r="K590" s="538"/>
      <c r="L590" s="538"/>
      <c r="M590" s="538"/>
      <c r="N590" s="538"/>
      <c r="O590" s="538"/>
      <c r="P590" s="585"/>
      <c r="Q590" s="538"/>
      <c r="R590" s="538"/>
      <c r="S590" s="538"/>
      <c r="T590" s="585"/>
      <c r="U590" s="585"/>
      <c r="V590" s="585"/>
      <c r="W590" s="538"/>
      <c r="X590" s="599"/>
      <c r="Y590" s="541"/>
      <c r="Z590" s="501"/>
    </row>
    <row r="591" spans="1:31">
      <c r="A591" s="58"/>
      <c r="B591" s="58"/>
      <c r="C591" s="9" t="s">
        <v>152</v>
      </c>
      <c r="D591" s="58"/>
      <c r="E591" s="6"/>
      <c r="F591" s="58"/>
      <c r="G591" s="6"/>
      <c r="H591" s="58"/>
      <c r="I591" s="58"/>
      <c r="J591" s="538"/>
      <c r="K591" s="538"/>
      <c r="L591" s="538"/>
      <c r="M591" s="538"/>
      <c r="N591" s="538"/>
      <c r="O591" s="538"/>
      <c r="P591" s="564"/>
      <c r="Q591" s="538"/>
      <c r="R591" s="538"/>
      <c r="S591" s="538"/>
      <c r="T591" s="564"/>
      <c r="U591" s="564"/>
      <c r="V591" s="564"/>
      <c r="W591" s="538"/>
      <c r="X591" s="605"/>
      <c r="Y591" s="501"/>
      <c r="Z591" s="501"/>
    </row>
    <row r="592" spans="1:31">
      <c r="A592" s="58">
        <f>MAX(A$579:A591)+1</f>
        <v>274</v>
      </c>
      <c r="B592" s="58"/>
      <c r="C592" s="10" t="s">
        <v>258</v>
      </c>
      <c r="D592" s="58"/>
      <c r="E592" s="6" t="s">
        <v>366</v>
      </c>
      <c r="F592" s="58"/>
      <c r="G592" s="29">
        <v>564.00000000000091</v>
      </c>
      <c r="H592" s="58"/>
      <c r="I592" s="29">
        <v>0</v>
      </c>
      <c r="J592" s="29">
        <v>0</v>
      </c>
      <c r="K592" s="29"/>
      <c r="L592" s="29">
        <v>0</v>
      </c>
      <c r="M592" s="29">
        <v>0</v>
      </c>
      <c r="N592" s="29">
        <v>0</v>
      </c>
      <c r="O592" s="29">
        <v>0</v>
      </c>
      <c r="P592" s="564"/>
      <c r="Q592" s="29">
        <v>0</v>
      </c>
      <c r="R592" s="29">
        <v>0</v>
      </c>
      <c r="S592" s="29">
        <v>0</v>
      </c>
      <c r="T592" s="539"/>
      <c r="U592" s="29">
        <v>0</v>
      </c>
      <c r="V592" s="29">
        <v>0</v>
      </c>
      <c r="W592" s="29">
        <v>0</v>
      </c>
      <c r="X592" s="29"/>
      <c r="Y592" s="541"/>
      <c r="Z592" s="501"/>
      <c r="AA592" s="738"/>
      <c r="AE592" s="739"/>
    </row>
    <row r="593" spans="1:31" ht="14.45">
      <c r="A593" s="58"/>
      <c r="B593" s="58"/>
      <c r="C593" s="10" t="s">
        <v>367</v>
      </c>
      <c r="D593" s="58"/>
      <c r="E593" s="6"/>
      <c r="F593" s="58"/>
      <c r="G593" s="29"/>
      <c r="H593" s="58"/>
      <c r="I593" s="29"/>
      <c r="J593" s="29"/>
      <c r="K593" s="29"/>
      <c r="L593" s="29"/>
      <c r="M593" s="29"/>
      <c r="N593" s="29"/>
      <c r="O593" s="29"/>
      <c r="P593" s="564"/>
      <c r="Q593" s="29"/>
      <c r="R593" s="29"/>
      <c r="S593" s="29"/>
      <c r="T593" s="539"/>
      <c r="U593" s="29"/>
      <c r="V593" s="29"/>
      <c r="W593" s="29"/>
      <c r="X593" s="29"/>
      <c r="Y593" s="541"/>
      <c r="Z593" s="501"/>
      <c r="AA593" s="738"/>
      <c r="AE593" s="739"/>
    </row>
    <row r="594" spans="1:31" ht="12.95">
      <c r="A594" s="58"/>
      <c r="B594" s="58"/>
      <c r="C594" s="526" t="s">
        <v>368</v>
      </c>
      <c r="D594" s="58"/>
      <c r="F594" s="58"/>
      <c r="G594" s="575"/>
      <c r="H594" s="58"/>
      <c r="I594" s="58"/>
      <c r="J594" s="538"/>
      <c r="K594" s="538"/>
      <c r="L594" s="29"/>
      <c r="M594" s="29"/>
      <c r="N594" s="29"/>
      <c r="O594" s="538"/>
      <c r="P594" s="564"/>
      <c r="Q594" s="538"/>
      <c r="R594" s="538"/>
      <c r="S594" s="538"/>
      <c r="T594" s="564"/>
      <c r="U594" s="564"/>
      <c r="V594" s="565"/>
      <c r="W594" s="538"/>
      <c r="X594" s="599"/>
      <c r="Y594" s="541"/>
      <c r="Z594" s="501"/>
      <c r="AA594" s="738"/>
    </row>
    <row r="595" spans="1:31">
      <c r="A595" s="58">
        <f>MAX(A$579:A594)+1</f>
        <v>275</v>
      </c>
      <c r="B595" s="58"/>
      <c r="C595" s="697" t="s">
        <v>369</v>
      </c>
      <c r="D595" s="58"/>
      <c r="E595" s="522" t="s">
        <v>370</v>
      </c>
      <c r="F595" s="58"/>
      <c r="G595" s="29">
        <v>14363.064</v>
      </c>
      <c r="H595" s="58"/>
      <c r="I595" s="29">
        <v>0</v>
      </c>
      <c r="J595" s="29">
        <v>0</v>
      </c>
      <c r="K595" s="29"/>
      <c r="L595" s="29">
        <v>0</v>
      </c>
      <c r="M595" s="29">
        <v>0</v>
      </c>
      <c r="N595" s="29">
        <v>0</v>
      </c>
      <c r="O595" s="29">
        <v>0</v>
      </c>
      <c r="P595" s="564"/>
      <c r="Q595" s="29">
        <v>0</v>
      </c>
      <c r="R595" s="29">
        <v>0</v>
      </c>
      <c r="S595" s="29">
        <v>0</v>
      </c>
      <c r="T595" s="539"/>
      <c r="U595" s="29">
        <v>0</v>
      </c>
      <c r="V595" s="29">
        <v>0</v>
      </c>
      <c r="W595" s="29">
        <v>0</v>
      </c>
      <c r="X595" s="29"/>
      <c r="Y595" s="559"/>
      <c r="Z595" s="501"/>
      <c r="AA595" s="738"/>
    </row>
    <row r="596" spans="1:31">
      <c r="A596" s="58">
        <f>MAX(A$579:A595)+1</f>
        <v>276</v>
      </c>
      <c r="B596" s="58"/>
      <c r="C596" s="697" t="s">
        <v>371</v>
      </c>
      <c r="D596" s="58"/>
      <c r="E596" s="522" t="s">
        <v>370</v>
      </c>
      <c r="F596" s="58"/>
      <c r="G596" s="29">
        <v>12176.784</v>
      </c>
      <c r="H596" s="58"/>
      <c r="I596" s="29">
        <v>0</v>
      </c>
      <c r="J596" s="29">
        <v>0</v>
      </c>
      <c r="K596" s="29"/>
      <c r="L596" s="29">
        <v>0</v>
      </c>
      <c r="M596" s="29">
        <v>0</v>
      </c>
      <c r="N596" s="29">
        <v>0</v>
      </c>
      <c r="O596" s="29">
        <v>0</v>
      </c>
      <c r="P596" s="564"/>
      <c r="Q596" s="29">
        <v>0</v>
      </c>
      <c r="R596" s="29">
        <v>0</v>
      </c>
      <c r="S596" s="29">
        <v>0</v>
      </c>
      <c r="T596" s="539"/>
      <c r="U596" s="29">
        <v>0</v>
      </c>
      <c r="V596" s="29">
        <v>0</v>
      </c>
      <c r="W596" s="29">
        <v>0</v>
      </c>
      <c r="X596" s="29"/>
      <c r="Y596" s="559"/>
      <c r="Z596" s="501"/>
      <c r="AA596" s="738"/>
    </row>
    <row r="597" spans="1:31">
      <c r="A597" s="58"/>
      <c r="B597" s="58"/>
      <c r="C597" s="526" t="s">
        <v>372</v>
      </c>
      <c r="D597" s="58"/>
      <c r="E597" s="30"/>
      <c r="F597" s="58"/>
      <c r="G597" s="29"/>
      <c r="H597" s="58"/>
      <c r="I597" s="58"/>
      <c r="J597" s="538"/>
      <c r="K597" s="538"/>
      <c r="L597" s="29"/>
      <c r="M597" s="29"/>
      <c r="N597" s="29"/>
      <c r="O597" s="538"/>
      <c r="P597" s="564"/>
      <c r="Q597" s="29"/>
      <c r="R597" s="29"/>
      <c r="S597" s="29"/>
      <c r="T597" s="564"/>
      <c r="U597" s="564"/>
      <c r="V597" s="565"/>
      <c r="W597" s="538"/>
      <c r="X597" s="599"/>
      <c r="Y597" s="541"/>
      <c r="Z597" s="501"/>
      <c r="AA597" s="738"/>
    </row>
    <row r="598" spans="1:31">
      <c r="A598" s="58">
        <f>MAX(A$579:A597)+1</f>
        <v>277</v>
      </c>
      <c r="B598" s="58"/>
      <c r="C598" s="698" t="s">
        <v>373</v>
      </c>
      <c r="D598" s="58"/>
      <c r="E598" s="30" t="s">
        <v>262</v>
      </c>
      <c r="F598" s="58"/>
      <c r="G598" s="29">
        <v>393753.99073000008</v>
      </c>
      <c r="H598" s="58"/>
      <c r="I598" s="684">
        <v>1.9199999999999998E-2</v>
      </c>
      <c r="J598" s="538">
        <f>G598*I598/100</f>
        <v>75.600766220160011</v>
      </c>
      <c r="K598" s="538"/>
      <c r="L598" s="29">
        <v>28.564106178708613</v>
      </c>
      <c r="M598" s="29">
        <v>0</v>
      </c>
      <c r="N598" s="29">
        <v>0</v>
      </c>
      <c r="O598" s="538">
        <f>J598-L598-M598-N598</f>
        <v>47.036660041451398</v>
      </c>
      <c r="P598" s="564"/>
      <c r="Q598" s="29">
        <v>0</v>
      </c>
      <c r="R598" s="29">
        <v>0</v>
      </c>
      <c r="S598" s="29">
        <v>0</v>
      </c>
      <c r="T598" s="564"/>
      <c r="U598" s="564">
        <f>SUM(O598:S598)</f>
        <v>47.036660041451398</v>
      </c>
      <c r="V598" s="565">
        <f>U598/G598*100</f>
        <v>1.1945697351345645E-2</v>
      </c>
      <c r="W598" s="538">
        <f>U598-J598</f>
        <v>-28.564106178708613</v>
      </c>
      <c r="X598" s="796">
        <f>V598/I598-1</f>
        <v>-0.37782826295074756</v>
      </c>
      <c r="Y598" s="541"/>
      <c r="Z598" s="501"/>
      <c r="AA598" s="738"/>
      <c r="AC598" s="738"/>
      <c r="AE598" s="744"/>
    </row>
    <row r="599" spans="1:31">
      <c r="A599" s="58">
        <f>MAX(A$579:A598)+1</f>
        <v>278</v>
      </c>
      <c r="B599" s="58"/>
      <c r="C599" s="698" t="s">
        <v>374</v>
      </c>
      <c r="D599" s="58"/>
      <c r="E599" s="30" t="s">
        <v>262</v>
      </c>
      <c r="F599" s="58"/>
      <c r="G599" s="29">
        <v>37535.500949999994</v>
      </c>
      <c r="H599" s="58"/>
      <c r="I599" s="684">
        <v>1.9199999999999998E-2</v>
      </c>
      <c r="J599" s="538">
        <f>G599*I599/100</f>
        <v>7.2068161823999981</v>
      </c>
      <c r="K599" s="538"/>
      <c r="L599" s="29">
        <v>2.7229388396015293</v>
      </c>
      <c r="M599" s="29">
        <v>0</v>
      </c>
      <c r="N599" s="29">
        <v>0</v>
      </c>
      <c r="O599" s="538">
        <f t="shared" ref="O599:O602" si="274">J599-L599-M599-N599</f>
        <v>4.4838773427984684</v>
      </c>
      <c r="P599" s="564"/>
      <c r="Q599" s="29">
        <v>0</v>
      </c>
      <c r="R599" s="29">
        <v>0</v>
      </c>
      <c r="S599" s="29">
        <v>0</v>
      </c>
      <c r="T599" s="29"/>
      <c r="U599" s="564">
        <f>SUM(O599:S599)</f>
        <v>4.4838773427984684</v>
      </c>
      <c r="V599" s="565">
        <f>U599/G599*100</f>
        <v>1.1945697351345643E-2</v>
      </c>
      <c r="W599" s="538">
        <f t="shared" ref="W599:W604" si="275">U599-J599</f>
        <v>-2.7229388396015297</v>
      </c>
      <c r="X599" s="559">
        <f>V599/I599-1</f>
        <v>-0.37782826295074767</v>
      </c>
      <c r="Y599" s="559"/>
      <c r="Z599" s="501"/>
      <c r="AA599" s="738"/>
      <c r="AC599" s="738"/>
      <c r="AE599" s="744"/>
    </row>
    <row r="600" spans="1:31">
      <c r="A600" s="58"/>
      <c r="B600" s="58"/>
      <c r="C600" s="10"/>
      <c r="D600" s="58"/>
      <c r="E600" s="30"/>
      <c r="F600" s="58"/>
      <c r="G600" s="29"/>
      <c r="H600" s="58"/>
      <c r="I600" s="58"/>
      <c r="J600" s="538"/>
      <c r="K600" s="538"/>
      <c r="L600" s="29"/>
      <c r="M600" s="29"/>
      <c r="N600" s="29"/>
      <c r="O600" s="538"/>
      <c r="P600" s="564"/>
      <c r="Q600" s="29"/>
      <c r="R600" s="29"/>
      <c r="S600" s="29"/>
      <c r="T600" s="564"/>
      <c r="U600" s="564"/>
      <c r="V600" s="565"/>
      <c r="W600" s="538"/>
      <c r="X600" s="599"/>
      <c r="Y600" s="541"/>
      <c r="Z600" s="501"/>
      <c r="AA600" s="738"/>
      <c r="AC600" s="738"/>
      <c r="AE600" s="744"/>
    </row>
    <row r="601" spans="1:31">
      <c r="A601" s="58">
        <f>MAX(A$579:A600)+1</f>
        <v>279</v>
      </c>
      <c r="B601" s="58"/>
      <c r="C601" s="12" t="s">
        <v>375</v>
      </c>
      <c r="D601" s="58"/>
      <c r="E601" s="30" t="s">
        <v>262</v>
      </c>
      <c r="F601" s="58"/>
      <c r="G601" s="29">
        <v>1410.373</v>
      </c>
      <c r="H601" s="58"/>
      <c r="I601" s="684">
        <v>1.9199999999999998E-2</v>
      </c>
      <c r="J601" s="538">
        <f>G601*I601/100</f>
        <v>0.27079161600000001</v>
      </c>
      <c r="K601" s="538"/>
      <c r="L601" s="29">
        <v>0.10231272589490586</v>
      </c>
      <c r="M601" s="29">
        <v>0</v>
      </c>
      <c r="N601" s="29">
        <v>0</v>
      </c>
      <c r="O601" s="538">
        <f t="shared" si="274"/>
        <v>0.16847889010509415</v>
      </c>
      <c r="P601" s="564"/>
      <c r="Q601" s="29">
        <v>0</v>
      </c>
      <c r="R601" s="29">
        <v>0</v>
      </c>
      <c r="S601" s="29">
        <v>0</v>
      </c>
      <c r="T601" s="564"/>
      <c r="U601" s="564">
        <f t="shared" ref="U601:U602" si="276">SUM(O601:S601)</f>
        <v>0.16847889010509415</v>
      </c>
      <c r="V601" s="565">
        <f>U601/G601*100</f>
        <v>1.1945697351345647E-2</v>
      </c>
      <c r="W601" s="538">
        <f t="shared" si="275"/>
        <v>-0.10231272589490586</v>
      </c>
      <c r="X601" s="796">
        <f>V601/I601-1</f>
        <v>-0.37782826295074745</v>
      </c>
      <c r="Y601" s="541"/>
      <c r="Z601" s="501"/>
      <c r="AA601" s="738"/>
      <c r="AC601" s="738"/>
      <c r="AE601" s="744"/>
    </row>
    <row r="602" spans="1:31">
      <c r="A602" s="58">
        <f>MAX(A$579:A601)+1</f>
        <v>280</v>
      </c>
      <c r="B602" s="58"/>
      <c r="C602" s="12" t="s">
        <v>376</v>
      </c>
      <c r="D602" s="58"/>
      <c r="E602" s="30" t="s">
        <v>262</v>
      </c>
      <c r="F602" s="58"/>
      <c r="G602" s="29">
        <v>350</v>
      </c>
      <c r="H602" s="58"/>
      <c r="I602" s="684">
        <v>1.9199999999999998E-2</v>
      </c>
      <c r="J602" s="538">
        <f t="shared" ref="J602" si="277">G602*I602/100</f>
        <v>6.7199999999999996E-2</v>
      </c>
      <c r="K602" s="538"/>
      <c r="L602" s="29">
        <v>0</v>
      </c>
      <c r="M602" s="29">
        <v>0</v>
      </c>
      <c r="N602" s="29">
        <v>0</v>
      </c>
      <c r="O602" s="538">
        <f t="shared" si="274"/>
        <v>6.7199999999999996E-2</v>
      </c>
      <c r="P602" s="564"/>
      <c r="Q602" s="29">
        <v>0</v>
      </c>
      <c r="R602" s="29">
        <v>0</v>
      </c>
      <c r="S602" s="29">
        <v>0</v>
      </c>
      <c r="T602" s="29"/>
      <c r="U602" s="564">
        <f t="shared" si="276"/>
        <v>6.7199999999999996E-2</v>
      </c>
      <c r="V602" s="565">
        <v>1.1945697351345647E-2</v>
      </c>
      <c r="W602" s="538">
        <f t="shared" si="275"/>
        <v>0</v>
      </c>
      <c r="X602" s="559">
        <f>V602/I602-1</f>
        <v>-0.37782826295074745</v>
      </c>
      <c r="Y602" s="559"/>
      <c r="Z602" s="501"/>
      <c r="AA602" s="738"/>
      <c r="AC602" s="738"/>
      <c r="AE602" s="744"/>
    </row>
    <row r="603" spans="1:31">
      <c r="A603" s="58"/>
      <c r="B603" s="58"/>
      <c r="C603" s="10"/>
      <c r="D603" s="58"/>
      <c r="E603" s="30"/>
      <c r="F603" s="58"/>
      <c r="G603" s="132"/>
      <c r="H603" s="58"/>
      <c r="I603" s="58"/>
      <c r="J603" s="538"/>
      <c r="K603" s="538"/>
      <c r="L603" s="29"/>
      <c r="M603" s="29"/>
      <c r="N603" s="29"/>
      <c r="O603" s="538"/>
      <c r="P603" s="564"/>
      <c r="Q603" s="29"/>
      <c r="R603" s="29"/>
      <c r="S603" s="29"/>
      <c r="T603" s="564"/>
      <c r="U603" s="564"/>
      <c r="V603" s="565"/>
      <c r="W603" s="538"/>
      <c r="X603" s="599"/>
      <c r="Y603" s="541"/>
      <c r="Z603" s="501"/>
      <c r="AA603" s="738"/>
      <c r="AC603" s="738"/>
    </row>
    <row r="604" spans="1:31">
      <c r="A604" s="58">
        <f>MAX(A$579:A603)+1</f>
        <v>281</v>
      </c>
      <c r="C604" s="12" t="s">
        <v>377</v>
      </c>
      <c r="E604" s="30" t="s">
        <v>331</v>
      </c>
      <c r="G604" s="29">
        <v>0</v>
      </c>
      <c r="I604" s="699">
        <v>3.5799999999999998E-3</v>
      </c>
      <c r="J604" s="29">
        <v>327.83781096999996</v>
      </c>
      <c r="K604" s="538"/>
      <c r="L604" s="29">
        <v>0</v>
      </c>
      <c r="M604" s="29">
        <v>126.74858452616807</v>
      </c>
      <c r="N604" s="29">
        <v>201.0892264438319</v>
      </c>
      <c r="O604" s="29">
        <f>J604-L604-M604-N604</f>
        <v>0</v>
      </c>
      <c r="P604" s="64"/>
      <c r="Q604" s="29">
        <v>29.423554194372251</v>
      </c>
      <c r="R604" s="29">
        <v>154.67064676517469</v>
      </c>
      <c r="S604" s="29">
        <v>199.98692770115883</v>
      </c>
      <c r="T604" s="64"/>
      <c r="U604" s="564">
        <f>Q604+R604+S604</f>
        <v>384.08112866070576</v>
      </c>
      <c r="V604" s="699">
        <v>4.1941789342021703E-3</v>
      </c>
      <c r="W604" s="538">
        <f t="shared" si="275"/>
        <v>56.243317690705794</v>
      </c>
      <c r="X604" s="559">
        <f>IFERROR(V604/I604-1,"-")</f>
        <v>0.17155836150898618</v>
      </c>
      <c r="Y604" s="559"/>
      <c r="Z604" s="501"/>
      <c r="AA604" s="738"/>
      <c r="AC604" s="738"/>
      <c r="AE604" s="744"/>
    </row>
    <row r="605" spans="1:31">
      <c r="A605" s="58"/>
      <c r="B605" s="58"/>
      <c r="C605" s="10"/>
      <c r="D605" s="58"/>
      <c r="E605" s="574"/>
      <c r="F605" s="58"/>
      <c r="G605" s="29"/>
      <c r="H605" s="58"/>
      <c r="I605" s="58"/>
      <c r="J605" s="538"/>
      <c r="K605" s="538"/>
      <c r="L605" s="538"/>
      <c r="M605" s="538"/>
      <c r="N605" s="538"/>
      <c r="O605" s="538"/>
      <c r="P605" s="564"/>
      <c r="Q605" s="538"/>
      <c r="R605" s="538"/>
      <c r="S605" s="538"/>
      <c r="T605" s="564"/>
      <c r="U605" s="564"/>
      <c r="V605" s="565"/>
      <c r="W605" s="538"/>
      <c r="X605" s="599"/>
      <c r="Y605" s="541"/>
      <c r="Z605" s="501"/>
      <c r="AA605" s="738"/>
      <c r="AC605" s="738"/>
    </row>
    <row r="606" spans="1:31">
      <c r="A606" s="58">
        <f>MAX(A$579:A605)+1</f>
        <v>282</v>
      </c>
      <c r="B606" s="58"/>
      <c r="C606" s="10" t="s">
        <v>378</v>
      </c>
      <c r="D606" s="58"/>
      <c r="E606" s="574"/>
      <c r="F606" s="58"/>
      <c r="G606" s="411">
        <f>G598+G599</f>
        <v>431289.49168000009</v>
      </c>
      <c r="H606" s="58"/>
      <c r="I606" s="556">
        <f>J606/G606*100</f>
        <v>9.5291768734651561E-2</v>
      </c>
      <c r="J606" s="619">
        <f>SUM(J598:J604)</f>
        <v>410.98338498855998</v>
      </c>
      <c r="K606" s="564"/>
      <c r="L606" s="619">
        <f>SUM(L598:L604)</f>
        <v>31.389357744205046</v>
      </c>
      <c r="M606" s="619">
        <f t="shared" ref="M606:N606" si="278">SUM(M598:M604)</f>
        <v>126.74858452616807</v>
      </c>
      <c r="N606" s="619">
        <f t="shared" si="278"/>
        <v>201.0892264438319</v>
      </c>
      <c r="O606" s="619">
        <f>SUM(O598:O604)</f>
        <v>51.756216274354955</v>
      </c>
      <c r="P606" s="564"/>
      <c r="Q606" s="619">
        <f>SUM(Q597:Q604)</f>
        <v>29.423554194372251</v>
      </c>
      <c r="R606" s="619">
        <f t="shared" ref="R606:S606" si="279">SUM(R597:R604)</f>
        <v>154.67064676517469</v>
      </c>
      <c r="S606" s="619">
        <f t="shared" si="279"/>
        <v>199.98692770115883</v>
      </c>
      <c r="T606" s="564"/>
      <c r="U606" s="619">
        <f>SUM(U597:U604)</f>
        <v>435.83734493506074</v>
      </c>
      <c r="V606" s="592">
        <f>U606/G606*100</f>
        <v>0.10105447810410252</v>
      </c>
      <c r="W606" s="555">
        <f>SUM(W598:W604)</f>
        <v>24.853959946500748</v>
      </c>
      <c r="X606" s="558">
        <f>V606/I606-1</f>
        <v>6.047436673672979E-2</v>
      </c>
      <c r="Y606" s="559"/>
      <c r="Z606" s="501"/>
      <c r="AA606" s="738"/>
      <c r="AC606" s="738"/>
      <c r="AE606" s="744"/>
    </row>
    <row r="607" spans="1:31">
      <c r="A607" s="58"/>
      <c r="B607" s="58"/>
      <c r="D607" s="58"/>
      <c r="E607" s="574"/>
      <c r="F607" s="58"/>
      <c r="G607" s="29"/>
      <c r="H607" s="58"/>
      <c r="I607" s="58"/>
      <c r="J607" s="538"/>
      <c r="K607" s="538"/>
      <c r="L607" s="538"/>
      <c r="M607" s="538"/>
      <c r="N607" s="538"/>
      <c r="O607" s="538"/>
      <c r="P607" s="564"/>
      <c r="Q607" s="538"/>
      <c r="R607" s="538"/>
      <c r="S607" s="538"/>
      <c r="T607" s="564"/>
      <c r="U607" s="564"/>
      <c r="V607" s="565"/>
      <c r="W607" s="538"/>
      <c r="X607" s="605"/>
      <c r="Y607" s="501"/>
      <c r="Z607" s="501"/>
      <c r="AA607" s="738"/>
      <c r="AE607" s="744"/>
    </row>
    <row r="608" spans="1:31">
      <c r="A608" s="58"/>
      <c r="B608" s="58"/>
      <c r="C608" s="521" t="s">
        <v>379</v>
      </c>
      <c r="D608" s="58"/>
      <c r="E608" s="30"/>
      <c r="F608" s="58"/>
      <c r="G608" s="132"/>
      <c r="H608" s="58"/>
      <c r="I608" s="58"/>
      <c r="J608" s="538"/>
      <c r="K608" s="538"/>
      <c r="L608" s="538"/>
      <c r="M608" s="538"/>
      <c r="N608" s="538"/>
      <c r="O608" s="538"/>
      <c r="P608" s="564"/>
      <c r="Q608" s="538"/>
      <c r="R608" s="538"/>
      <c r="S608" s="538"/>
      <c r="T608" s="564"/>
      <c r="U608" s="564"/>
      <c r="V608" s="565"/>
      <c r="W608" s="538"/>
      <c r="X608" s="605"/>
      <c r="Y608" s="501"/>
      <c r="Z608" s="501"/>
      <c r="AA608" s="738"/>
      <c r="AE608" s="744"/>
    </row>
    <row r="609" spans="1:31">
      <c r="A609" s="58"/>
      <c r="C609" s="526" t="s">
        <v>380</v>
      </c>
      <c r="G609" s="129"/>
      <c r="J609" s="538"/>
      <c r="K609" s="538"/>
      <c r="L609" s="538"/>
      <c r="M609" s="538"/>
      <c r="N609" s="538"/>
      <c r="O609" s="538"/>
      <c r="P609" s="64"/>
      <c r="Q609" s="538"/>
      <c r="R609" s="538"/>
      <c r="S609" s="538"/>
      <c r="T609" s="64"/>
      <c r="U609" s="64"/>
      <c r="V609" s="580"/>
      <c r="W609" s="538"/>
      <c r="X609" s="605"/>
      <c r="Y609" s="501"/>
      <c r="Z609" s="501"/>
      <c r="AA609" s="738"/>
      <c r="AE609" s="744"/>
    </row>
    <row r="610" spans="1:31">
      <c r="A610" s="58">
        <f>MAX(A$579:A609)+1</f>
        <v>283</v>
      </c>
      <c r="B610" s="58"/>
      <c r="C610" s="697" t="s">
        <v>381</v>
      </c>
      <c r="D610" s="58"/>
      <c r="E610" s="522" t="s">
        <v>382</v>
      </c>
      <c r="F610" s="58"/>
      <c r="G610" s="29">
        <v>17815248</v>
      </c>
      <c r="H610" s="58"/>
      <c r="I610" s="29">
        <v>0</v>
      </c>
      <c r="J610" s="29">
        <v>0</v>
      </c>
      <c r="K610" s="29"/>
      <c r="L610" s="29">
        <v>0</v>
      </c>
      <c r="M610" s="29">
        <v>0</v>
      </c>
      <c r="N610" s="29">
        <v>0</v>
      </c>
      <c r="O610" s="29">
        <v>0</v>
      </c>
      <c r="P610" s="564"/>
      <c r="Q610" s="29">
        <v>0</v>
      </c>
      <c r="R610" s="29">
        <v>0</v>
      </c>
      <c r="S610" s="29">
        <v>0</v>
      </c>
      <c r="T610" s="539"/>
      <c r="U610" s="29">
        <v>0</v>
      </c>
      <c r="V610" s="29">
        <v>0</v>
      </c>
      <c r="W610" s="29">
        <v>0</v>
      </c>
      <c r="X610" s="29"/>
      <c r="Y610" s="541"/>
      <c r="Z610" s="501"/>
      <c r="AA610" s="738"/>
      <c r="AE610" s="744"/>
    </row>
    <row r="611" spans="1:31">
      <c r="A611" s="58"/>
      <c r="B611" s="58"/>
      <c r="C611" s="526" t="s">
        <v>383</v>
      </c>
      <c r="D611" s="58"/>
      <c r="E611" s="30"/>
      <c r="F611" s="58"/>
      <c r="G611" s="29"/>
      <c r="H611" s="58"/>
      <c r="I611" s="58"/>
      <c r="J611" s="538"/>
      <c r="K611" s="538"/>
      <c r="L611" s="538"/>
      <c r="M611" s="538"/>
      <c r="N611" s="538"/>
      <c r="O611" s="538"/>
      <c r="P611" s="564"/>
      <c r="Q611" s="538"/>
      <c r="R611" s="538"/>
      <c r="S611" s="538"/>
      <c r="T611" s="564"/>
      <c r="U611" s="64"/>
      <c r="V611" s="565"/>
      <c r="W611" s="538"/>
      <c r="X611" s="599"/>
      <c r="Y611" s="541"/>
      <c r="Z611" s="501"/>
      <c r="AA611" s="738"/>
      <c r="AE611" s="744"/>
    </row>
    <row r="612" spans="1:31">
      <c r="A612" s="58">
        <f>MAX(A$579:A611)+1</f>
        <v>284</v>
      </c>
      <c r="B612" s="58"/>
      <c r="C612" s="698" t="s">
        <v>384</v>
      </c>
      <c r="D612" s="58"/>
      <c r="E612" s="522" t="s">
        <v>382</v>
      </c>
      <c r="F612" s="58"/>
      <c r="G612" s="29">
        <v>674172</v>
      </c>
      <c r="H612" s="58"/>
      <c r="I612" s="29">
        <v>0</v>
      </c>
      <c r="J612" s="29">
        <v>0</v>
      </c>
      <c r="K612" s="29"/>
      <c r="L612" s="29">
        <v>0</v>
      </c>
      <c r="M612" s="29">
        <v>0</v>
      </c>
      <c r="N612" s="29">
        <v>0</v>
      </c>
      <c r="O612" s="29">
        <v>0</v>
      </c>
      <c r="P612" s="564"/>
      <c r="Q612" s="29">
        <v>0</v>
      </c>
      <c r="R612" s="29">
        <v>0</v>
      </c>
      <c r="S612" s="29">
        <v>0</v>
      </c>
      <c r="T612" s="539"/>
      <c r="U612" s="29">
        <v>0</v>
      </c>
      <c r="V612" s="29">
        <v>0</v>
      </c>
      <c r="W612" s="29">
        <v>0</v>
      </c>
      <c r="X612" s="29"/>
      <c r="Y612" s="559"/>
      <c r="Z612" s="501"/>
      <c r="AA612" s="738"/>
      <c r="AE612" s="744"/>
    </row>
    <row r="613" spans="1:31">
      <c r="A613" s="58">
        <f>MAX(A$579:A612)+1</f>
        <v>285</v>
      </c>
      <c r="C613" s="698" t="s">
        <v>385</v>
      </c>
      <c r="E613" s="522" t="s">
        <v>382</v>
      </c>
      <c r="G613" s="29">
        <v>10476</v>
      </c>
      <c r="I613" s="29">
        <v>0</v>
      </c>
      <c r="J613" s="29">
        <v>0</v>
      </c>
      <c r="K613" s="29"/>
      <c r="L613" s="29">
        <v>0</v>
      </c>
      <c r="M613" s="29">
        <v>0</v>
      </c>
      <c r="N613" s="29">
        <v>0</v>
      </c>
      <c r="O613" s="29">
        <v>0</v>
      </c>
      <c r="P613" s="564"/>
      <c r="Q613" s="29">
        <v>0</v>
      </c>
      <c r="R613" s="29">
        <v>0</v>
      </c>
      <c r="S613" s="29">
        <v>0</v>
      </c>
      <c r="T613" s="539"/>
      <c r="U613" s="29">
        <v>0</v>
      </c>
      <c r="V613" s="29">
        <v>0</v>
      </c>
      <c r="W613" s="29">
        <v>0</v>
      </c>
      <c r="X613" s="29"/>
      <c r="Y613" s="559"/>
      <c r="Z613" s="501"/>
      <c r="AA613" s="738"/>
      <c r="AE613" s="744"/>
    </row>
    <row r="614" spans="1:31">
      <c r="A614" s="58">
        <f>MAX(A$579:A613)+1</f>
        <v>286</v>
      </c>
      <c r="B614" s="58"/>
      <c r="C614" s="697" t="s">
        <v>386</v>
      </c>
      <c r="D614" s="58"/>
      <c r="E614" s="522" t="s">
        <v>382</v>
      </c>
      <c r="F614" s="58"/>
      <c r="G614" s="29">
        <v>0</v>
      </c>
      <c r="H614" s="58"/>
      <c r="I614" s="29">
        <v>0</v>
      </c>
      <c r="J614" s="29">
        <v>0</v>
      </c>
      <c r="K614" s="29"/>
      <c r="L614" s="29">
        <v>0</v>
      </c>
      <c r="M614" s="29">
        <v>0</v>
      </c>
      <c r="N614" s="29">
        <v>0</v>
      </c>
      <c r="O614" s="29">
        <v>0</v>
      </c>
      <c r="P614" s="564"/>
      <c r="Q614" s="29">
        <v>0</v>
      </c>
      <c r="R614" s="29">
        <v>0</v>
      </c>
      <c r="S614" s="29">
        <v>0</v>
      </c>
      <c r="T614" s="539"/>
      <c r="U614" s="29">
        <v>0</v>
      </c>
      <c r="V614" s="29">
        <v>0</v>
      </c>
      <c r="W614" s="29">
        <v>0</v>
      </c>
      <c r="X614" s="29"/>
      <c r="Y614" s="541"/>
      <c r="Z614" s="501"/>
      <c r="AA614" s="738"/>
      <c r="AE614" s="744"/>
    </row>
    <row r="615" spans="1:31">
      <c r="A615" s="58">
        <f>MAX(A$579:A614)+1</f>
        <v>287</v>
      </c>
      <c r="B615" s="58"/>
      <c r="C615" s="697" t="s">
        <v>387</v>
      </c>
      <c r="D615" s="58"/>
      <c r="E615" s="522" t="s">
        <v>382</v>
      </c>
      <c r="F615" s="58"/>
      <c r="G615" s="29">
        <v>0</v>
      </c>
      <c r="H615" s="58"/>
      <c r="I615" s="29">
        <v>0</v>
      </c>
      <c r="J615" s="29">
        <v>0</v>
      </c>
      <c r="K615" s="29"/>
      <c r="L615" s="29">
        <v>0</v>
      </c>
      <c r="M615" s="29">
        <v>0</v>
      </c>
      <c r="N615" s="29">
        <v>0</v>
      </c>
      <c r="O615" s="29">
        <v>0</v>
      </c>
      <c r="P615" s="564"/>
      <c r="Q615" s="29">
        <v>0</v>
      </c>
      <c r="R615" s="29">
        <v>0</v>
      </c>
      <c r="S615" s="29">
        <v>0</v>
      </c>
      <c r="T615" s="539"/>
      <c r="U615" s="29">
        <v>0</v>
      </c>
      <c r="V615" s="29">
        <v>0</v>
      </c>
      <c r="W615" s="29">
        <v>0</v>
      </c>
      <c r="X615" s="29"/>
      <c r="Y615" s="541"/>
      <c r="Z615" s="501"/>
      <c r="AA615" s="738"/>
      <c r="AE615" s="744"/>
    </row>
    <row r="616" spans="1:31">
      <c r="A616" s="58"/>
      <c r="B616" s="58"/>
      <c r="C616" s="526" t="s">
        <v>388</v>
      </c>
      <c r="D616" s="58"/>
      <c r="E616" s="522"/>
      <c r="F616" s="58"/>
      <c r="G616" s="29"/>
      <c r="H616" s="58"/>
      <c r="I616" s="684"/>
      <c r="J616" s="538"/>
      <c r="K616" s="538"/>
      <c r="L616" s="538"/>
      <c r="M616" s="538"/>
      <c r="N616" s="538"/>
      <c r="O616" s="538"/>
      <c r="P616" s="564"/>
      <c r="Q616" s="538"/>
      <c r="R616" s="538"/>
      <c r="S616" s="538"/>
      <c r="T616" s="564"/>
      <c r="U616" s="64"/>
      <c r="V616" s="565"/>
      <c r="W616" s="538"/>
      <c r="X616" s="599"/>
      <c r="Y616" s="541"/>
      <c r="Z616" s="501"/>
      <c r="AA616" s="738"/>
      <c r="AE616" s="744"/>
    </row>
    <row r="617" spans="1:31">
      <c r="A617" s="58">
        <f>MAX(A$579:A616)+1</f>
        <v>288</v>
      </c>
      <c r="B617" s="58"/>
      <c r="C617" s="697" t="s">
        <v>389</v>
      </c>
      <c r="D617" s="58"/>
      <c r="E617" s="30" t="s">
        <v>331</v>
      </c>
      <c r="F617" s="58"/>
      <c r="G617" s="29">
        <v>2989700.51</v>
      </c>
      <c r="H617" s="58"/>
      <c r="I617" s="29">
        <v>0</v>
      </c>
      <c r="J617" s="29">
        <v>0</v>
      </c>
      <c r="K617" s="29"/>
      <c r="L617" s="29">
        <v>0</v>
      </c>
      <c r="M617" s="29">
        <v>0</v>
      </c>
      <c r="N617" s="29">
        <v>0</v>
      </c>
      <c r="O617" s="29">
        <v>0</v>
      </c>
      <c r="P617" s="564"/>
      <c r="Q617" s="29">
        <v>0</v>
      </c>
      <c r="R617" s="29">
        <v>0</v>
      </c>
      <c r="S617" s="29">
        <v>0</v>
      </c>
      <c r="T617" s="539"/>
      <c r="U617" s="29">
        <v>0</v>
      </c>
      <c r="V617" s="29">
        <v>0</v>
      </c>
      <c r="W617" s="29">
        <v>0</v>
      </c>
      <c r="X617" s="29"/>
      <c r="Y617" s="559"/>
      <c r="Z617" s="501"/>
      <c r="AA617" s="738"/>
      <c r="AE617" s="744"/>
    </row>
    <row r="618" spans="1:31">
      <c r="A618" s="58"/>
      <c r="B618" s="58"/>
      <c r="C618" s="697"/>
      <c r="D618" s="58"/>
      <c r="E618" s="30"/>
      <c r="F618" s="58"/>
      <c r="G618" s="29"/>
      <c r="H618" s="58"/>
      <c r="I618" s="29"/>
      <c r="J618" s="29"/>
      <c r="K618" s="29"/>
      <c r="L618" s="29"/>
      <c r="M618" s="29"/>
      <c r="N618" s="29"/>
      <c r="O618" s="29"/>
      <c r="P618" s="564"/>
      <c r="Q618" s="29"/>
      <c r="R618" s="29"/>
      <c r="S618" s="29"/>
      <c r="T618" s="539"/>
      <c r="U618" s="29"/>
      <c r="V618" s="29"/>
      <c r="W618" s="29"/>
      <c r="X618" s="29"/>
      <c r="Y618" s="559"/>
      <c r="Z618" s="501"/>
      <c r="AA618" s="738"/>
      <c r="AE618" s="744"/>
    </row>
    <row r="619" spans="1:31">
      <c r="A619" s="58">
        <f>MAX(A$579:A618)+1</f>
        <v>289</v>
      </c>
      <c r="B619" s="58"/>
      <c r="C619" s="12" t="s">
        <v>390</v>
      </c>
      <c r="D619" s="58"/>
      <c r="E619" s="30" t="s">
        <v>331</v>
      </c>
      <c r="F619" s="58"/>
      <c r="G619" s="29">
        <v>0</v>
      </c>
      <c r="H619" s="58"/>
      <c r="I619" s="699">
        <v>3.5799999999999998E-3</v>
      </c>
      <c r="J619" s="29">
        <v>70.632634880000026</v>
      </c>
      <c r="K619" s="538"/>
      <c r="L619" s="29">
        <v>0</v>
      </c>
      <c r="M619" s="29">
        <v>27.307974226355761</v>
      </c>
      <c r="N619" s="29">
        <v>43.324660653644266</v>
      </c>
      <c r="O619" s="29">
        <f>J619-L619-M619-N619</f>
        <v>0</v>
      </c>
      <c r="P619" s="29"/>
      <c r="Q619" s="29">
        <v>0</v>
      </c>
      <c r="R619" s="29">
        <v>33.3237807051419</v>
      </c>
      <c r="S619" s="29">
        <v>43.087170461803538</v>
      </c>
      <c r="T619" s="564"/>
      <c r="U619" s="64">
        <f>R619+S619</f>
        <v>76.410951166945438</v>
      </c>
      <c r="V619" s="699">
        <v>4.1941789342021703E-3</v>
      </c>
      <c r="W619" s="538">
        <f>U619-J619</f>
        <v>5.7783162869454117</v>
      </c>
      <c r="X619" s="559">
        <f>IFERROR(V619/I619-1,"-")</f>
        <v>0.17155836150898618</v>
      </c>
      <c r="Y619" s="559"/>
      <c r="Z619" s="501"/>
      <c r="AA619" s="738"/>
      <c r="AC619" s="738"/>
      <c r="AE619" s="744"/>
    </row>
    <row r="620" spans="1:31">
      <c r="A620" s="58"/>
      <c r="B620" s="58"/>
      <c r="D620" s="58"/>
      <c r="E620" s="30"/>
      <c r="F620" s="58"/>
      <c r="G620" s="29"/>
      <c r="H620" s="58"/>
      <c r="I620" s="684"/>
      <c r="J620" s="29"/>
      <c r="K620" s="29"/>
      <c r="L620" s="538"/>
      <c r="M620" s="538"/>
      <c r="N620" s="29"/>
      <c r="O620" s="29"/>
      <c r="P620" s="29"/>
      <c r="Q620" s="538"/>
      <c r="R620" s="538"/>
      <c r="S620" s="538"/>
      <c r="T620" s="564"/>
      <c r="U620" s="564"/>
      <c r="V620" s="565"/>
      <c r="W620" s="538"/>
      <c r="X620" s="599"/>
      <c r="Y620" s="541"/>
      <c r="Z620" s="501"/>
      <c r="AA620" s="738"/>
      <c r="AC620" s="738"/>
      <c r="AE620" s="744"/>
    </row>
    <row r="621" spans="1:31">
      <c r="A621" s="58">
        <f>MAX(A$579:A620)+1</f>
        <v>290</v>
      </c>
      <c r="B621" s="58"/>
      <c r="C621" s="10" t="s">
        <v>391</v>
      </c>
      <c r="D621" s="58"/>
      <c r="E621" s="30"/>
      <c r="F621" s="58"/>
      <c r="G621" s="411">
        <f>G606</f>
        <v>431289.49168000009</v>
      </c>
      <c r="H621" s="58"/>
      <c r="I621" s="556">
        <f>J621/G621*100</f>
        <v>1.637708227132199E-2</v>
      </c>
      <c r="J621" s="619">
        <f t="shared" ref="J621" si="280">SUM(J619:J620)</f>
        <v>70.632634880000026</v>
      </c>
      <c r="K621" s="564"/>
      <c r="L621" s="619">
        <f>SUM(L619:L620)</f>
        <v>0</v>
      </c>
      <c r="M621" s="619">
        <f t="shared" ref="M621:O621" si="281">SUM(M619:M620)</f>
        <v>27.307974226355761</v>
      </c>
      <c r="N621" s="619">
        <f t="shared" si="281"/>
        <v>43.324660653644266</v>
      </c>
      <c r="O621" s="619">
        <f t="shared" si="281"/>
        <v>0</v>
      </c>
      <c r="P621" s="564"/>
      <c r="Q621" s="619">
        <f>SUM(Q619:Q620)</f>
        <v>0</v>
      </c>
      <c r="R621" s="619">
        <f t="shared" ref="R621:S621" si="282">SUM(R619:R620)</f>
        <v>33.3237807051419</v>
      </c>
      <c r="S621" s="619">
        <f t="shared" si="282"/>
        <v>43.087170461803538</v>
      </c>
      <c r="T621" s="564"/>
      <c r="U621" s="619">
        <f>SUM(U619:U620)</f>
        <v>76.410951166945438</v>
      </c>
      <c r="V621" s="592">
        <f>U621/G621*100</f>
        <v>1.7716859010244414E-2</v>
      </c>
      <c r="W621" s="555">
        <f>SUM(W610:W619)</f>
        <v>5.7783162869454117</v>
      </c>
      <c r="X621" s="609">
        <f>V621/I621-1</f>
        <v>8.1808023964593302E-2</v>
      </c>
      <c r="Y621" s="541"/>
      <c r="Z621" s="501"/>
      <c r="AA621" s="738"/>
      <c r="AC621" s="738"/>
      <c r="AE621" s="744"/>
    </row>
    <row r="622" spans="1:31">
      <c r="A622" s="58"/>
      <c r="B622" s="58"/>
      <c r="C622" s="10"/>
      <c r="D622" s="58"/>
      <c r="E622" s="30"/>
      <c r="F622" s="58"/>
      <c r="G622" s="29"/>
      <c r="H622" s="58"/>
      <c r="I622" s="58"/>
      <c r="J622" s="538"/>
      <c r="K622" s="538"/>
      <c r="L622" s="538"/>
      <c r="M622" s="538"/>
      <c r="N622" s="538"/>
      <c r="O622" s="538"/>
      <c r="P622" s="564"/>
      <c r="Q622" s="538"/>
      <c r="R622" s="538"/>
      <c r="S622" s="538"/>
      <c r="T622" s="564"/>
      <c r="U622" s="564"/>
      <c r="V622" s="565"/>
      <c r="W622" s="538"/>
      <c r="X622" s="599"/>
      <c r="Y622" s="541"/>
      <c r="Z622" s="501"/>
      <c r="AA622" s="738"/>
      <c r="AC622" s="738"/>
      <c r="AE622" s="744"/>
    </row>
    <row r="623" spans="1:31" ht="12.95" thickBot="1">
      <c r="A623" s="58">
        <f>MAX(A$579:A622)+1</f>
        <v>291</v>
      </c>
      <c r="B623" s="58"/>
      <c r="C623" s="10" t="s">
        <v>392</v>
      </c>
      <c r="D623" s="58"/>
      <c r="E623" s="30"/>
      <c r="F623" s="58"/>
      <c r="G623" s="589">
        <f>G606</f>
        <v>431289.49168000009</v>
      </c>
      <c r="H623" s="58"/>
      <c r="I623" s="572">
        <f>J623/G623*100</f>
        <v>0.11166885100597355</v>
      </c>
      <c r="J623" s="628">
        <f>J606+J621</f>
        <v>481.61601986855999</v>
      </c>
      <c r="K623" s="564"/>
      <c r="L623" s="628">
        <f>L606+L621</f>
        <v>31.389357744205046</v>
      </c>
      <c r="M623" s="628">
        <f>M606+M621</f>
        <v>154.05655875252384</v>
      </c>
      <c r="N623" s="628">
        <f>N606+N621</f>
        <v>244.41388709747616</v>
      </c>
      <c r="O623" s="628">
        <f>O606+O621</f>
        <v>51.756216274354955</v>
      </c>
      <c r="P623" s="564"/>
      <c r="Q623" s="628">
        <f>Q606+Q621</f>
        <v>29.423554194372251</v>
      </c>
      <c r="R623" s="628">
        <f>R606+R621</f>
        <v>187.99442747031659</v>
      </c>
      <c r="S623" s="628">
        <f>S606+S621</f>
        <v>243.07409816296237</v>
      </c>
      <c r="T623" s="564"/>
      <c r="U623" s="628">
        <f>U606+U621</f>
        <v>512.24829610200618</v>
      </c>
      <c r="V623" s="590">
        <f>U623/G623*100</f>
        <v>0.11877133711434694</v>
      </c>
      <c r="W623" s="587">
        <f>W606+W621</f>
        <v>30.632276233446159</v>
      </c>
      <c r="X623" s="602">
        <f>V623/I623-1</f>
        <v>6.3603109053154361E-2</v>
      </c>
      <c r="Y623" s="559"/>
      <c r="Z623" s="501"/>
      <c r="AA623" s="738"/>
      <c r="AC623" s="738"/>
      <c r="AE623" s="744"/>
    </row>
    <row r="624" spans="1:31" ht="12.95" thickTop="1">
      <c r="A624" s="6"/>
      <c r="B624" s="58"/>
      <c r="C624" s="10"/>
      <c r="D624" s="58"/>
      <c r="E624" s="30"/>
      <c r="F624" s="58"/>
      <c r="G624" s="29"/>
      <c r="H624" s="58"/>
      <c r="I624" s="548"/>
      <c r="J624" s="564"/>
      <c r="K624" s="564"/>
      <c r="L624" s="564"/>
      <c r="M624" s="564"/>
      <c r="N624" s="564"/>
      <c r="O624" s="564"/>
      <c r="P624" s="564"/>
      <c r="Q624" s="564"/>
      <c r="R624" s="564"/>
      <c r="S624" s="564"/>
      <c r="T624" s="564"/>
      <c r="U624" s="564"/>
      <c r="V624" s="565"/>
      <c r="W624" s="538"/>
      <c r="X624" s="802"/>
      <c r="Y624" s="559"/>
      <c r="Z624" s="501"/>
      <c r="AA624" s="738"/>
      <c r="AE624" s="744"/>
    </row>
    <row r="625" spans="1:31">
      <c r="J625" s="501"/>
      <c r="K625" s="501"/>
      <c r="L625" s="2"/>
      <c r="M625" s="2"/>
      <c r="N625" s="501"/>
      <c r="O625" s="501"/>
      <c r="Q625" s="501"/>
      <c r="R625" s="501"/>
      <c r="S625" s="501"/>
      <c r="W625" s="501"/>
      <c r="X625" s="522"/>
      <c r="Y625" s="501"/>
      <c r="Z625" s="501"/>
      <c r="AA625" s="738"/>
      <c r="AE625" s="744"/>
    </row>
    <row r="626" spans="1:31">
      <c r="J626" s="501"/>
      <c r="K626" s="501"/>
      <c r="L626" s="2"/>
      <c r="M626" s="2"/>
      <c r="N626" s="501"/>
      <c r="O626" s="501"/>
      <c r="Q626" s="501"/>
      <c r="R626" s="501"/>
      <c r="S626" s="501"/>
      <c r="W626" s="501"/>
      <c r="X626" s="522"/>
      <c r="Y626" s="501"/>
      <c r="Z626" s="501"/>
      <c r="AA626" s="738"/>
      <c r="AE626" s="744"/>
    </row>
    <row r="627" spans="1:31">
      <c r="J627" s="501"/>
      <c r="K627" s="501"/>
      <c r="L627" s="2"/>
      <c r="M627" s="2"/>
      <c r="N627" s="501"/>
      <c r="O627" s="501"/>
      <c r="Q627" s="501"/>
      <c r="R627" s="501"/>
      <c r="S627" s="501"/>
      <c r="W627" s="501"/>
      <c r="X627" s="522"/>
      <c r="Y627" s="501"/>
      <c r="Z627" s="501"/>
      <c r="AA627" s="738"/>
      <c r="AE627" s="744"/>
    </row>
    <row r="628" spans="1:31">
      <c r="A628" s="1156" t="s">
        <v>279</v>
      </c>
      <c r="B628" s="1156"/>
      <c r="C628" s="1156"/>
      <c r="D628" s="1156"/>
      <c r="E628" s="1156"/>
      <c r="F628" s="1156"/>
      <c r="G628" s="1156"/>
      <c r="H628" s="1156"/>
      <c r="I628" s="1156"/>
      <c r="J628" s="1156"/>
      <c r="K628" s="1156"/>
      <c r="L628" s="1156"/>
      <c r="M628" s="1156"/>
      <c r="N628" s="1156"/>
      <c r="O628" s="1156"/>
      <c r="P628" s="1156"/>
      <c r="Q628" s="1156"/>
      <c r="R628" s="1156"/>
      <c r="S628" s="1156"/>
      <c r="T628" s="1156"/>
      <c r="U628" s="1156"/>
      <c r="V628" s="1156"/>
      <c r="W628" s="1156"/>
      <c r="X628" s="1156"/>
      <c r="Y628" s="779"/>
      <c r="Z628" s="501"/>
      <c r="AA628" s="738"/>
      <c r="AE628" s="744"/>
    </row>
    <row r="629" spans="1:31">
      <c r="A629" s="1156" t="s">
        <v>490</v>
      </c>
      <c r="B629" s="1156"/>
      <c r="C629" s="1156"/>
      <c r="D629" s="1156"/>
      <c r="E629" s="1156"/>
      <c r="F629" s="1156"/>
      <c r="G629" s="1156"/>
      <c r="H629" s="1156"/>
      <c r="I629" s="1156"/>
      <c r="J629" s="1156"/>
      <c r="K629" s="1156"/>
      <c r="L629" s="1156"/>
      <c r="M629" s="1156"/>
      <c r="N629" s="1156"/>
      <c r="O629" s="1156"/>
      <c r="P629" s="1156"/>
      <c r="Q629" s="1156"/>
      <c r="R629" s="1156"/>
      <c r="S629" s="1156"/>
      <c r="T629" s="1156"/>
      <c r="U629" s="1156"/>
      <c r="V629" s="1156"/>
      <c r="W629" s="1156"/>
      <c r="X629" s="1156"/>
      <c r="Y629" s="713"/>
      <c r="Z629" s="713"/>
      <c r="AA629" s="738"/>
      <c r="AE629" s="744"/>
    </row>
    <row r="630" spans="1:31">
      <c r="A630" s="57"/>
      <c r="B630" s="57"/>
      <c r="C630" s="57"/>
      <c r="D630" s="57"/>
      <c r="E630" s="3"/>
      <c r="F630" s="57"/>
      <c r="G630" s="3"/>
      <c r="H630" s="57"/>
      <c r="I630" s="57"/>
      <c r="J630" s="501"/>
      <c r="K630" s="501"/>
      <c r="L630" s="4"/>
      <c r="M630" s="4"/>
      <c r="N630" s="501"/>
      <c r="O630" s="501"/>
      <c r="P630" s="57"/>
      <c r="Q630" s="501"/>
      <c r="R630" s="501"/>
      <c r="S630" s="501"/>
      <c r="T630" s="57"/>
      <c r="U630" s="57"/>
      <c r="V630" s="57"/>
      <c r="W630" s="501"/>
      <c r="X630" s="522"/>
      <c r="Y630" s="501"/>
      <c r="Z630" s="501"/>
      <c r="AA630" s="738"/>
      <c r="AE630" s="744"/>
    </row>
    <row r="631" spans="1:31">
      <c r="A631" s="3"/>
      <c r="B631" s="3"/>
      <c r="C631" s="3"/>
      <c r="D631" s="3"/>
      <c r="E631" s="58"/>
      <c r="F631" s="58"/>
      <c r="G631" s="1152" t="s">
        <v>231</v>
      </c>
      <c r="H631" s="1152"/>
      <c r="I631" s="1152"/>
      <c r="J631" s="1152"/>
      <c r="K631" s="58"/>
      <c r="L631" s="1152" t="s">
        <v>94</v>
      </c>
      <c r="M631" s="1152"/>
      <c r="N631" s="1152"/>
      <c r="O631" s="58"/>
      <c r="P631" s="3"/>
      <c r="Q631" s="1152" t="s">
        <v>95</v>
      </c>
      <c r="R631" s="1152"/>
      <c r="S631" s="1152"/>
      <c r="T631" s="3"/>
      <c r="U631" s="1152" t="s">
        <v>232</v>
      </c>
      <c r="V631" s="1152"/>
      <c r="W631" s="1152"/>
      <c r="X631" s="1152"/>
      <c r="Y631" s="6"/>
      <c r="Z631" s="501"/>
      <c r="AA631" s="738"/>
      <c r="AE631" s="744"/>
    </row>
    <row r="632" spans="1:31" ht="37.5">
      <c r="A632" s="5" t="s">
        <v>56</v>
      </c>
      <c r="B632" s="5"/>
      <c r="C632" s="5"/>
      <c r="D632" s="5"/>
      <c r="E632" s="6" t="s">
        <v>233</v>
      </c>
      <c r="F632" s="5"/>
      <c r="G632" s="17" t="s">
        <v>234</v>
      </c>
      <c r="H632" s="5"/>
      <c r="I632" s="17" t="s">
        <v>235</v>
      </c>
      <c r="J632" s="5" t="s">
        <v>101</v>
      </c>
      <c r="K632" s="5"/>
      <c r="L632" s="5" t="s">
        <v>491</v>
      </c>
      <c r="M632" s="5" t="s">
        <v>492</v>
      </c>
      <c r="N632" s="5" t="s">
        <v>493</v>
      </c>
      <c r="O632" s="5" t="s">
        <v>494</v>
      </c>
      <c r="P632" s="5"/>
      <c r="Q632" s="5" t="s">
        <v>491</v>
      </c>
      <c r="R632" s="5" t="s">
        <v>492</v>
      </c>
      <c r="S632" s="5" t="s">
        <v>493</v>
      </c>
      <c r="T632" s="5"/>
      <c r="U632" s="17" t="s">
        <v>113</v>
      </c>
      <c r="V632" s="17" t="s">
        <v>242</v>
      </c>
      <c r="W632" s="17" t="s">
        <v>243</v>
      </c>
      <c r="X632" s="5" t="s">
        <v>244</v>
      </c>
      <c r="Y632" s="5"/>
      <c r="Z632" s="501"/>
      <c r="AA632" s="738"/>
      <c r="AE632" s="744"/>
    </row>
    <row r="633" spans="1:31" ht="14.45">
      <c r="A633" s="237" t="s">
        <v>57</v>
      </c>
      <c r="B633" s="58"/>
      <c r="C633" s="59" t="s">
        <v>194</v>
      </c>
      <c r="D633" s="58"/>
      <c r="E633" s="237" t="s">
        <v>245</v>
      </c>
      <c r="F633" s="58"/>
      <c r="G633" s="237" t="s">
        <v>246</v>
      </c>
      <c r="H633" s="58"/>
      <c r="I633" s="237" t="s">
        <v>247</v>
      </c>
      <c r="J633" s="237" t="s">
        <v>248</v>
      </c>
      <c r="K633" s="6"/>
      <c r="L633" s="237" t="s">
        <v>248</v>
      </c>
      <c r="M633" s="237" t="s">
        <v>248</v>
      </c>
      <c r="N633" s="237" t="s">
        <v>248</v>
      </c>
      <c r="O633" s="237" t="s">
        <v>248</v>
      </c>
      <c r="P633" s="58"/>
      <c r="Q633" s="237" t="s">
        <v>248</v>
      </c>
      <c r="R633" s="237" t="s">
        <v>248</v>
      </c>
      <c r="S633" s="237" t="s">
        <v>248</v>
      </c>
      <c r="T633" s="58"/>
      <c r="U633" s="237" t="s">
        <v>248</v>
      </c>
      <c r="V633" s="237" t="s">
        <v>247</v>
      </c>
      <c r="W633" s="237" t="s">
        <v>248</v>
      </c>
      <c r="X633" s="237" t="s">
        <v>249</v>
      </c>
      <c r="Y633" s="6"/>
      <c r="Z633" s="501"/>
      <c r="AA633" s="738"/>
      <c r="AE633" s="744"/>
    </row>
    <row r="634" spans="1:31">
      <c r="A634" s="6"/>
      <c r="B634" s="58"/>
      <c r="C634" s="58"/>
      <c r="D634" s="58"/>
      <c r="E634" s="6"/>
      <c r="F634" s="58"/>
      <c r="G634" s="6" t="s">
        <v>9</v>
      </c>
      <c r="H634" s="6"/>
      <c r="I634" s="6" t="s">
        <v>10</v>
      </c>
      <c r="J634" s="6" t="s">
        <v>58</v>
      </c>
      <c r="K634" s="6"/>
      <c r="L634" s="123" t="s">
        <v>12</v>
      </c>
      <c r="M634" s="123" t="s">
        <v>13</v>
      </c>
      <c r="N634" s="6" t="s">
        <v>115</v>
      </c>
      <c r="O634" s="6" t="s">
        <v>495</v>
      </c>
      <c r="P634" s="6"/>
      <c r="Q634" s="6" t="s">
        <v>210</v>
      </c>
      <c r="R634" s="6" t="s">
        <v>118</v>
      </c>
      <c r="S634" s="6" t="s">
        <v>119</v>
      </c>
      <c r="T634" s="6"/>
      <c r="U634" s="6" t="s">
        <v>496</v>
      </c>
      <c r="V634" s="6" t="s">
        <v>121</v>
      </c>
      <c r="W634" s="6" t="s">
        <v>497</v>
      </c>
      <c r="X634" s="6" t="s">
        <v>498</v>
      </c>
      <c r="Y634" s="501"/>
      <c r="Z634" s="501"/>
    </row>
    <row r="635" spans="1:31" ht="8.65" customHeight="1">
      <c r="A635" s="6"/>
      <c r="B635" s="58"/>
      <c r="C635" s="58"/>
      <c r="D635" s="58"/>
      <c r="E635" s="6"/>
      <c r="F635" s="58"/>
      <c r="G635" s="6"/>
      <c r="H635" s="6"/>
      <c r="I635" s="6"/>
      <c r="J635" s="6"/>
      <c r="K635" s="6"/>
      <c r="L635" s="123"/>
      <c r="M635" s="123"/>
      <c r="N635" s="6"/>
      <c r="O635" s="6"/>
      <c r="P635" s="6"/>
      <c r="Q635" s="6"/>
      <c r="R635" s="6"/>
      <c r="S635" s="6"/>
      <c r="T635" s="6"/>
      <c r="U635" s="6"/>
      <c r="V635" s="6"/>
      <c r="W635" s="6"/>
      <c r="X635" s="6"/>
      <c r="Y635" s="501"/>
      <c r="Z635" s="501"/>
    </row>
    <row r="636" spans="1:31">
      <c r="A636" s="501"/>
      <c r="B636" s="58"/>
      <c r="C636" s="9" t="s">
        <v>153</v>
      </c>
      <c r="D636" s="58"/>
      <c r="E636" s="30"/>
      <c r="F636" s="58"/>
      <c r="G636" s="29"/>
      <c r="H636" s="58"/>
      <c r="I636" s="58"/>
      <c r="J636" s="538"/>
      <c r="K636" s="538"/>
      <c r="L636" s="538"/>
      <c r="M636" s="538"/>
      <c r="N636" s="538"/>
      <c r="O636" s="538"/>
      <c r="P636" s="564"/>
      <c r="Q636" s="538"/>
      <c r="R636" s="538"/>
      <c r="S636" s="538"/>
      <c r="T636" s="564"/>
      <c r="U636" s="564"/>
      <c r="V636" s="564"/>
      <c r="W636" s="538"/>
      <c r="X636" s="605"/>
      <c r="Y636" s="501"/>
      <c r="Z636" s="501"/>
    </row>
    <row r="637" spans="1:31">
      <c r="A637" s="6">
        <v>292</v>
      </c>
      <c r="B637" s="58"/>
      <c r="C637" s="10" t="s">
        <v>258</v>
      </c>
      <c r="D637" s="58"/>
      <c r="E637" s="6" t="s">
        <v>366</v>
      </c>
      <c r="F637" s="58"/>
      <c r="G637" s="29">
        <v>501.00000000000347</v>
      </c>
      <c r="H637" s="58"/>
      <c r="I637" s="29">
        <v>0</v>
      </c>
      <c r="J637" s="29">
        <v>0</v>
      </c>
      <c r="K637" s="29"/>
      <c r="L637" s="29">
        <v>0</v>
      </c>
      <c r="M637" s="29">
        <v>0</v>
      </c>
      <c r="N637" s="29">
        <v>0</v>
      </c>
      <c r="O637" s="29">
        <v>0</v>
      </c>
      <c r="P637" s="564"/>
      <c r="Q637" s="29">
        <v>0</v>
      </c>
      <c r="R637" s="29">
        <v>0</v>
      </c>
      <c r="S637" s="29">
        <v>0</v>
      </c>
      <c r="T637" s="539"/>
      <c r="U637" s="29">
        <v>0</v>
      </c>
      <c r="V637" s="29">
        <v>0</v>
      </c>
      <c r="W637" s="29">
        <v>0</v>
      </c>
      <c r="X637" s="29"/>
      <c r="Y637" s="541"/>
      <c r="Z637" s="501"/>
      <c r="AA637" s="738"/>
    </row>
    <row r="638" spans="1:31" ht="14.45">
      <c r="A638" s="6"/>
      <c r="B638" s="58"/>
      <c r="C638" s="10" t="s">
        <v>367</v>
      </c>
      <c r="D638" s="58"/>
      <c r="E638" s="6"/>
      <c r="F638" s="58"/>
      <c r="G638" s="29"/>
      <c r="H638" s="58"/>
      <c r="I638" s="29"/>
      <c r="J638" s="29"/>
      <c r="K638" s="29"/>
      <c r="L638" s="29"/>
      <c r="M638" s="29"/>
      <c r="N638" s="29"/>
      <c r="O638" s="29"/>
      <c r="P638" s="564"/>
      <c r="Q638" s="29"/>
      <c r="R638" s="29"/>
      <c r="S638" s="29"/>
      <c r="T638" s="539"/>
      <c r="U638" s="29"/>
      <c r="V638" s="29"/>
      <c r="W638" s="29"/>
      <c r="X638" s="29"/>
      <c r="Y638" s="541"/>
      <c r="Z638" s="501"/>
      <c r="AA638" s="738"/>
    </row>
    <row r="639" spans="1:31">
      <c r="A639" s="6"/>
      <c r="B639" s="58"/>
      <c r="C639" s="526" t="s">
        <v>368</v>
      </c>
      <c r="D639" s="58"/>
      <c r="F639" s="58"/>
      <c r="G639" s="29"/>
      <c r="H639" s="58"/>
      <c r="I639" s="58"/>
      <c r="J639" s="538"/>
      <c r="K639" s="538"/>
      <c r="L639" s="538"/>
      <c r="M639" s="538"/>
      <c r="N639" s="538"/>
      <c r="O639" s="538"/>
      <c r="P639" s="564"/>
      <c r="Q639" s="538"/>
      <c r="R639" s="538"/>
      <c r="S639" s="538"/>
      <c r="T639" s="564"/>
      <c r="U639" s="564"/>
      <c r="V639" s="565"/>
      <c r="W639" s="538"/>
      <c r="X639" s="599"/>
      <c r="Y639" s="541"/>
      <c r="Z639" s="501"/>
      <c r="AA639" s="738"/>
    </row>
    <row r="640" spans="1:31">
      <c r="A640" s="6">
        <f>MAX(A$636:A639)+1</f>
        <v>293</v>
      </c>
      <c r="B640" s="58"/>
      <c r="C640" s="697" t="s">
        <v>393</v>
      </c>
      <c r="D640" s="58"/>
      <c r="E640" s="522" t="s">
        <v>370</v>
      </c>
      <c r="F640" s="58"/>
      <c r="G640" s="29">
        <v>60333.714</v>
      </c>
      <c r="H640" s="58"/>
      <c r="I640" s="29">
        <v>0</v>
      </c>
      <c r="J640" s="29">
        <v>0</v>
      </c>
      <c r="K640" s="29"/>
      <c r="L640" s="29">
        <v>0</v>
      </c>
      <c r="M640" s="29">
        <v>0</v>
      </c>
      <c r="N640" s="29">
        <v>0</v>
      </c>
      <c r="O640" s="29">
        <v>0</v>
      </c>
      <c r="P640" s="564"/>
      <c r="Q640" s="29">
        <v>0</v>
      </c>
      <c r="R640" s="29">
        <v>0</v>
      </c>
      <c r="S640" s="29">
        <v>0</v>
      </c>
      <c r="T640" s="539"/>
      <c r="U640" s="29">
        <v>0</v>
      </c>
      <c r="V640" s="29">
        <v>0</v>
      </c>
      <c r="W640" s="29">
        <v>0</v>
      </c>
      <c r="X640" s="29"/>
      <c r="Y640" s="541"/>
      <c r="Z640" s="501"/>
      <c r="AA640" s="738"/>
    </row>
    <row r="641" spans="1:32">
      <c r="A641" s="6">
        <f>MAX(A$636:A640)+1</f>
        <v>294</v>
      </c>
      <c r="C641" s="697" t="s">
        <v>394</v>
      </c>
      <c r="E641" s="522" t="s">
        <v>370</v>
      </c>
      <c r="G641" s="29">
        <v>248379.71</v>
      </c>
      <c r="I641" s="29">
        <v>0</v>
      </c>
      <c r="J641" s="29">
        <v>0</v>
      </c>
      <c r="K641" s="29"/>
      <c r="L641" s="29">
        <v>0</v>
      </c>
      <c r="M641" s="29">
        <v>0</v>
      </c>
      <c r="N641" s="29">
        <v>0</v>
      </c>
      <c r="O641" s="29">
        <v>0</v>
      </c>
      <c r="P641" s="564"/>
      <c r="Q641" s="29">
        <v>0</v>
      </c>
      <c r="R641" s="29">
        <v>0</v>
      </c>
      <c r="S641" s="29">
        <v>0</v>
      </c>
      <c r="T641" s="539"/>
      <c r="U641" s="29">
        <v>0</v>
      </c>
      <c r="V641" s="29">
        <v>0</v>
      </c>
      <c r="W641" s="29">
        <v>0</v>
      </c>
      <c r="X641" s="29"/>
      <c r="Y641" s="541"/>
      <c r="Z641" s="501"/>
      <c r="AA641" s="738"/>
    </row>
    <row r="642" spans="1:32">
      <c r="A642" s="6"/>
      <c r="C642" s="526" t="s">
        <v>372</v>
      </c>
      <c r="E642" s="30"/>
      <c r="G642" s="29"/>
      <c r="I642" s="684"/>
      <c r="J642" s="538"/>
      <c r="K642" s="538"/>
      <c r="L642" s="538"/>
      <c r="M642" s="538"/>
      <c r="N642" s="538"/>
      <c r="O642" s="538"/>
      <c r="P642" s="64"/>
      <c r="Q642" s="538"/>
      <c r="R642" s="538"/>
      <c r="S642" s="538"/>
      <c r="T642" s="64"/>
      <c r="U642" s="564"/>
      <c r="V642" s="565"/>
      <c r="W642" s="538"/>
      <c r="X642" s="599"/>
      <c r="Y642" s="541"/>
      <c r="Z642" s="501"/>
      <c r="AA642" s="738"/>
    </row>
    <row r="643" spans="1:32">
      <c r="A643" s="6">
        <f>MAX(A$636:A642)+1</f>
        <v>295</v>
      </c>
      <c r="C643" s="698" t="s">
        <v>373</v>
      </c>
      <c r="E643" s="30" t="s">
        <v>262</v>
      </c>
      <c r="G643" s="29">
        <v>4963881.1019000001</v>
      </c>
      <c r="I643" s="684">
        <v>1.26E-2</v>
      </c>
      <c r="J643" s="538">
        <f>G643*I643/100</f>
        <v>625.44901883939997</v>
      </c>
      <c r="K643" s="538"/>
      <c r="L643" s="29">
        <v>108.47513420704212</v>
      </c>
      <c r="M643" s="29">
        <v>0</v>
      </c>
      <c r="N643" s="29">
        <v>0</v>
      </c>
      <c r="O643" s="538">
        <f>J643-L643-M643-N643</f>
        <v>516.97388463235779</v>
      </c>
      <c r="P643" s="64"/>
      <c r="Q643" s="29">
        <v>0</v>
      </c>
      <c r="R643" s="29">
        <v>0</v>
      </c>
      <c r="S643" s="538">
        <v>0</v>
      </c>
      <c r="T643" s="29"/>
      <c r="U643" s="564">
        <f>SUM(O643:S643)</f>
        <v>516.97388463235779</v>
      </c>
      <c r="V643" s="565">
        <f>U643/G643*100</f>
        <v>1.04147112716797E-2</v>
      </c>
      <c r="W643" s="538">
        <f>U643-J643</f>
        <v>-108.47513420704217</v>
      </c>
      <c r="X643" s="796">
        <f>V643/I643-1</f>
        <v>-0.17343561335875401</v>
      </c>
      <c r="Y643" s="541"/>
      <c r="Z643" s="501"/>
      <c r="AA643" s="738"/>
      <c r="AC643" s="738"/>
      <c r="AE643" s="744"/>
    </row>
    <row r="644" spans="1:32">
      <c r="A644" s="6">
        <f>MAX(A$636:A643)+1</f>
        <v>296</v>
      </c>
      <c r="C644" s="698" t="s">
        <v>374</v>
      </c>
      <c r="E644" s="30" t="s">
        <v>262</v>
      </c>
      <c r="G644" s="29">
        <v>41762.222750000008</v>
      </c>
      <c r="I644" s="684">
        <v>1.26E-2</v>
      </c>
      <c r="J644" s="538">
        <f t="shared" ref="J644:J647" si="283">G644*I644/100</f>
        <v>5.2620400665000009</v>
      </c>
      <c r="K644" s="538"/>
      <c r="L644" s="29">
        <v>0.91262514645176551</v>
      </c>
      <c r="M644" s="29">
        <v>0</v>
      </c>
      <c r="N644" s="29">
        <v>0</v>
      </c>
      <c r="O644" s="538">
        <f t="shared" ref="O644:O649" si="284">J644-L644-M644-N644</f>
        <v>4.3494149200482353</v>
      </c>
      <c r="P644" s="64"/>
      <c r="Q644" s="29">
        <v>0</v>
      </c>
      <c r="R644" s="29">
        <v>0</v>
      </c>
      <c r="S644" s="29">
        <v>0</v>
      </c>
      <c r="T644" s="64"/>
      <c r="U644" s="564">
        <f t="shared" ref="U644:U647" si="285">SUM(O644:S644)</f>
        <v>4.3494149200482353</v>
      </c>
      <c r="V644" s="565">
        <f>U644/G644*100</f>
        <v>1.0414711271679701E-2</v>
      </c>
      <c r="W644" s="538">
        <f t="shared" ref="W644:W649" si="286">U644-J644</f>
        <v>-0.91262514645176562</v>
      </c>
      <c r="X644" s="796">
        <f>V644/I644-1</f>
        <v>-0.1734356133587539</v>
      </c>
      <c r="Y644" s="541"/>
      <c r="Z644" s="501"/>
      <c r="AA644" s="738"/>
      <c r="AC644" s="738"/>
      <c r="AE644" s="744"/>
    </row>
    <row r="645" spans="1:32">
      <c r="A645" s="6"/>
      <c r="C645" s="10"/>
      <c r="E645" s="30"/>
      <c r="G645" s="29"/>
      <c r="I645" s="684"/>
      <c r="J645" s="538"/>
      <c r="K645" s="538"/>
      <c r="L645" s="29"/>
      <c r="M645" s="538"/>
      <c r="N645" s="29"/>
      <c r="O645" s="538"/>
      <c r="P645" s="64"/>
      <c r="Q645" s="29"/>
      <c r="R645" s="538"/>
      <c r="S645" s="538"/>
      <c r="T645" s="64"/>
      <c r="U645" s="564"/>
      <c r="V645" s="565"/>
      <c r="W645" s="538"/>
      <c r="X645" s="599"/>
      <c r="Y645" s="541"/>
      <c r="Z645" s="501"/>
      <c r="AA645" s="738"/>
      <c r="AC645" s="738"/>
      <c r="AE645" s="744"/>
    </row>
    <row r="646" spans="1:32">
      <c r="A646" s="6">
        <f>MAX(A$636:A645)+1</f>
        <v>297</v>
      </c>
      <c r="B646" s="58"/>
      <c r="C646" s="12" t="s">
        <v>375</v>
      </c>
      <c r="D646" s="58"/>
      <c r="E646" s="30" t="s">
        <v>262</v>
      </c>
      <c r="F646" s="58"/>
      <c r="G646" s="29">
        <v>24455.350999999999</v>
      </c>
      <c r="H646" s="58"/>
      <c r="I646" s="684">
        <v>1.26E-2</v>
      </c>
      <c r="J646" s="538">
        <f t="shared" si="283"/>
        <v>3.0813742259999999</v>
      </c>
      <c r="K646" s="538"/>
      <c r="L646" s="29">
        <v>0.53442002887416529</v>
      </c>
      <c r="M646" s="29">
        <v>0</v>
      </c>
      <c r="N646" s="29">
        <v>0</v>
      </c>
      <c r="O646" s="538">
        <f t="shared" si="284"/>
        <v>2.5469541971258347</v>
      </c>
      <c r="P646" s="564"/>
      <c r="Q646" s="29">
        <v>0</v>
      </c>
      <c r="R646" s="29">
        <v>0</v>
      </c>
      <c r="S646" s="29">
        <v>0</v>
      </c>
      <c r="T646" s="564"/>
      <c r="U646" s="564">
        <f t="shared" si="285"/>
        <v>2.5469541971258347</v>
      </c>
      <c r="V646" s="565">
        <f>U646/G646*100</f>
        <v>1.0414711271679703E-2</v>
      </c>
      <c r="W646" s="538">
        <f t="shared" si="286"/>
        <v>-0.53442002887416518</v>
      </c>
      <c r="X646" s="796">
        <f>V646/I646-1</f>
        <v>-0.17343561335875368</v>
      </c>
      <c r="Y646" s="541"/>
      <c r="Z646" s="501"/>
      <c r="AA646" s="738"/>
      <c r="AC646" s="738"/>
      <c r="AE646" s="744"/>
    </row>
    <row r="647" spans="1:32">
      <c r="A647" s="6">
        <f>MAX(A$636:A646)+1</f>
        <v>298</v>
      </c>
      <c r="B647" s="58"/>
      <c r="C647" s="12" t="s">
        <v>376</v>
      </c>
      <c r="D647" s="58"/>
      <c r="E647" s="30" t="s">
        <v>262</v>
      </c>
      <c r="F647" s="58"/>
      <c r="G647" s="29">
        <v>176.95000000000073</v>
      </c>
      <c r="H647" s="58"/>
      <c r="I647" s="684">
        <v>1.26E-2</v>
      </c>
      <c r="J647" s="538">
        <f t="shared" si="283"/>
        <v>2.2295700000000092E-2</v>
      </c>
      <c r="K647" s="538"/>
      <c r="L647" s="29">
        <v>3.8668684047627839E-3</v>
      </c>
      <c r="M647" s="29">
        <v>0</v>
      </c>
      <c r="N647" s="29">
        <v>0</v>
      </c>
      <c r="O647" s="538">
        <f t="shared" si="284"/>
        <v>1.8428831595237307E-2</v>
      </c>
      <c r="P647" s="564"/>
      <c r="Q647" s="29">
        <v>0</v>
      </c>
      <c r="R647" s="29">
        <v>0</v>
      </c>
      <c r="S647" s="29">
        <v>0</v>
      </c>
      <c r="T647" s="564"/>
      <c r="U647" s="564">
        <f t="shared" si="285"/>
        <v>1.8428831595237307E-2</v>
      </c>
      <c r="V647" s="565">
        <f>U647/G647*100</f>
        <v>1.0414711271679701E-2</v>
      </c>
      <c r="W647" s="538">
        <f t="shared" si="286"/>
        <v>-3.8668684047627848E-3</v>
      </c>
      <c r="X647" s="796">
        <f>V647/I647-1</f>
        <v>-0.1734356133587539</v>
      </c>
      <c r="Y647" s="541"/>
      <c r="Z647" s="501"/>
      <c r="AA647" s="738"/>
      <c r="AC647" s="738"/>
      <c r="AE647" s="744"/>
    </row>
    <row r="648" spans="1:32">
      <c r="A648" s="6"/>
      <c r="C648" s="10"/>
      <c r="E648" s="30"/>
      <c r="G648" s="29"/>
      <c r="I648" s="684"/>
      <c r="J648" s="538"/>
      <c r="K648" s="538"/>
      <c r="L648" s="538"/>
      <c r="M648" s="538"/>
      <c r="N648" s="538"/>
      <c r="O648" s="538"/>
      <c r="P648" s="64"/>
      <c r="Q648" s="538"/>
      <c r="R648" s="538"/>
      <c r="S648" s="538"/>
      <c r="T648" s="64"/>
      <c r="U648" s="564"/>
      <c r="V648" s="565"/>
      <c r="W648" s="538"/>
      <c r="X648" s="599"/>
      <c r="Y648" s="541"/>
      <c r="Z648" s="501"/>
      <c r="AA648" s="738"/>
      <c r="AC648" s="738"/>
      <c r="AE648" s="744"/>
    </row>
    <row r="649" spans="1:32">
      <c r="A649" s="6">
        <f>MAX(A$636:A648)+1</f>
        <v>299</v>
      </c>
      <c r="B649" s="58"/>
      <c r="C649" s="12" t="s">
        <v>377</v>
      </c>
      <c r="D649" s="58"/>
      <c r="E649" s="30" t="s">
        <v>331</v>
      </c>
      <c r="F649" s="58"/>
      <c r="G649" s="29">
        <v>0</v>
      </c>
      <c r="H649" s="58"/>
      <c r="I649" s="699">
        <v>3.0899999999999999E-3</v>
      </c>
      <c r="J649" s="29">
        <v>3215.4555231599979</v>
      </c>
      <c r="K649" s="538"/>
      <c r="L649" s="29">
        <v>0</v>
      </c>
      <c r="M649" s="29">
        <v>2139.6182019678349</v>
      </c>
      <c r="N649" s="29">
        <v>1075.8373211921632</v>
      </c>
      <c r="O649" s="538">
        <f t="shared" si="284"/>
        <v>0</v>
      </c>
      <c r="P649" s="64"/>
      <c r="Q649" s="29">
        <v>103.04176993967982</v>
      </c>
      <c r="R649" s="29">
        <v>2610.9651036030414</v>
      </c>
      <c r="S649" s="29">
        <v>1069.9399683232759</v>
      </c>
      <c r="T649" s="564"/>
      <c r="U649" s="564">
        <f>Q649+R649+S649</f>
        <v>3783.9468418659972</v>
      </c>
      <c r="V649" s="699">
        <v>3.6363108297250506E-3</v>
      </c>
      <c r="W649" s="538">
        <f t="shared" si="286"/>
        <v>568.49131870599922</v>
      </c>
      <c r="X649" s="796">
        <f>V649/I649-1</f>
        <v>0.17679962127024296</v>
      </c>
      <c r="Y649" s="541"/>
      <c r="Z649" s="501"/>
      <c r="AA649" s="738"/>
      <c r="AC649" s="738"/>
      <c r="AE649" s="744"/>
    </row>
    <row r="650" spans="1:32">
      <c r="A650" s="6"/>
      <c r="B650" s="58"/>
      <c r="C650" s="10"/>
      <c r="D650" s="58"/>
      <c r="E650" s="574"/>
      <c r="F650" s="58"/>
      <c r="G650" s="29"/>
      <c r="H650" s="58"/>
      <c r="I650" s="58"/>
      <c r="J650" s="538"/>
      <c r="K650" s="538"/>
      <c r="L650" s="538"/>
      <c r="M650" s="538"/>
      <c r="N650" s="538"/>
      <c r="O650" s="538"/>
      <c r="P650" s="564"/>
      <c r="Q650" s="538"/>
      <c r="R650" s="538"/>
      <c r="S650" s="538"/>
      <c r="T650" s="564"/>
      <c r="U650" s="564"/>
      <c r="V650" s="565"/>
      <c r="W650" s="538"/>
      <c r="X650" s="599"/>
      <c r="Y650" s="541"/>
      <c r="Z650" s="501"/>
      <c r="AA650" s="738"/>
    </row>
    <row r="651" spans="1:32">
      <c r="A651" s="6">
        <f>MAX(A$636:A650)+1</f>
        <v>300</v>
      </c>
      <c r="B651" s="58"/>
      <c r="C651" s="10" t="s">
        <v>378</v>
      </c>
      <c r="D651" s="58"/>
      <c r="E651" s="574"/>
      <c r="F651" s="58"/>
      <c r="G651" s="411">
        <f>G643+G644</f>
        <v>5005643.3246499998</v>
      </c>
      <c r="H651" s="58"/>
      <c r="I651" s="556">
        <f>J651/G651*100</f>
        <v>7.6898612272999767E-2</v>
      </c>
      <c r="J651" s="619">
        <f t="shared" ref="J651" si="287">SUM(J643:J649)</f>
        <v>3849.270251991898</v>
      </c>
      <c r="K651" s="564"/>
      <c r="L651" s="619">
        <f>SUM(L643:L649)</f>
        <v>109.9260462507728</v>
      </c>
      <c r="M651" s="619">
        <f t="shared" ref="M651:O651" si="288">SUM(M643:M649)</f>
        <v>2139.6182019678349</v>
      </c>
      <c r="N651" s="619">
        <f t="shared" si="288"/>
        <v>1075.8373211921632</v>
      </c>
      <c r="O651" s="619">
        <f t="shared" si="288"/>
        <v>523.88868258112711</v>
      </c>
      <c r="P651" s="564"/>
      <c r="Q651" s="619">
        <f>SUM(Q643:Q649)</f>
        <v>103.04176993967982</v>
      </c>
      <c r="R651" s="619">
        <f t="shared" ref="R651:S651" si="289">SUM(R643:R649)</f>
        <v>2610.9651036030414</v>
      </c>
      <c r="S651" s="619">
        <f t="shared" si="289"/>
        <v>1069.9399683232759</v>
      </c>
      <c r="T651" s="564"/>
      <c r="U651" s="619">
        <f>SUM(U643:U649)</f>
        <v>4307.835524447124</v>
      </c>
      <c r="V651" s="592">
        <f>U651/G651*100</f>
        <v>8.6059578061294106E-2</v>
      </c>
      <c r="W651" s="555">
        <f>SUM(W643:W649)</f>
        <v>458.56527245522636</v>
      </c>
      <c r="X651" s="609">
        <f>V651/I651-1</f>
        <v>0.11913044354782065</v>
      </c>
      <c r="Y651" s="541"/>
      <c r="Z651" s="501"/>
      <c r="AA651" s="738"/>
      <c r="AC651" s="738"/>
      <c r="AE651" s="744"/>
    </row>
    <row r="652" spans="1:32">
      <c r="A652" s="6"/>
      <c r="B652" s="58"/>
      <c r="D652" s="58"/>
      <c r="E652" s="574"/>
      <c r="F652" s="58"/>
      <c r="G652" s="132"/>
      <c r="H652" s="58"/>
      <c r="I652" s="58"/>
      <c r="J652" s="538"/>
      <c r="K652" s="538"/>
      <c r="L652" s="538"/>
      <c r="M652" s="538"/>
      <c r="N652" s="538"/>
      <c r="O652" s="538"/>
      <c r="P652" s="564"/>
      <c r="Q652" s="538"/>
      <c r="R652" s="538"/>
      <c r="S652" s="538"/>
      <c r="T652" s="564"/>
      <c r="U652" s="564"/>
      <c r="V652" s="565"/>
      <c r="W652" s="538"/>
      <c r="X652" s="605"/>
      <c r="Y652" s="501"/>
      <c r="Z652" s="501"/>
      <c r="AA652" s="1159"/>
      <c r="AB652" s="1159"/>
      <c r="AC652" s="1159"/>
      <c r="AD652" s="1159"/>
      <c r="AE652" s="1159"/>
      <c r="AF652" s="1159"/>
    </row>
    <row r="653" spans="1:32">
      <c r="A653" s="6"/>
      <c r="C653" s="521" t="s">
        <v>379</v>
      </c>
      <c r="E653" s="30"/>
      <c r="G653" s="129"/>
      <c r="J653" s="538"/>
      <c r="K653" s="538"/>
      <c r="L653" s="538"/>
      <c r="M653" s="538"/>
      <c r="N653" s="538"/>
      <c r="O653" s="538"/>
      <c r="P653" s="64"/>
      <c r="Q653" s="538"/>
      <c r="R653" s="538"/>
      <c r="S653" s="538"/>
      <c r="T653" s="64"/>
      <c r="U653" s="64"/>
      <c r="V653" s="580"/>
      <c r="W653" s="538"/>
      <c r="X653" s="605"/>
      <c r="Y653" s="501"/>
      <c r="Z653" s="501"/>
      <c r="AA653" s="738"/>
      <c r="AE653" s="744"/>
    </row>
    <row r="654" spans="1:32">
      <c r="A654" s="6"/>
      <c r="B654" s="58"/>
      <c r="C654" s="526" t="s">
        <v>380</v>
      </c>
      <c r="D654" s="58"/>
      <c r="F654" s="58"/>
      <c r="G654" s="29"/>
      <c r="H654" s="58"/>
      <c r="I654" s="58"/>
      <c r="J654" s="538"/>
      <c r="K654" s="538"/>
      <c r="L654" s="538"/>
      <c r="M654" s="538"/>
      <c r="N654" s="538"/>
      <c r="O654" s="538"/>
      <c r="P654" s="564"/>
      <c r="Q654" s="538"/>
      <c r="R654" s="538"/>
      <c r="S654" s="538"/>
      <c r="T654" s="564"/>
      <c r="U654" s="564"/>
      <c r="V654" s="565"/>
      <c r="W654" s="538"/>
      <c r="X654" s="605"/>
      <c r="Y654" s="501"/>
      <c r="Z654" s="501"/>
      <c r="AA654" s="738"/>
      <c r="AE654" s="744"/>
    </row>
    <row r="655" spans="1:32">
      <c r="A655" s="6">
        <f>MAX(A$636:A654)+1</f>
        <v>301</v>
      </c>
      <c r="B655" s="58"/>
      <c r="C655" s="697" t="s">
        <v>381</v>
      </c>
      <c r="D655" s="58"/>
      <c r="E655" s="522" t="s">
        <v>382</v>
      </c>
      <c r="F655" s="58"/>
      <c r="G655" s="29">
        <v>113600526</v>
      </c>
      <c r="H655" s="58"/>
      <c r="I655" s="29">
        <v>0</v>
      </c>
      <c r="J655" s="29">
        <v>0</v>
      </c>
      <c r="K655" s="29"/>
      <c r="L655" s="29">
        <v>0</v>
      </c>
      <c r="M655" s="29">
        <v>0</v>
      </c>
      <c r="N655" s="29">
        <v>0</v>
      </c>
      <c r="O655" s="29">
        <v>0</v>
      </c>
      <c r="P655" s="564"/>
      <c r="Q655" s="29">
        <v>0</v>
      </c>
      <c r="R655" s="29">
        <v>0</v>
      </c>
      <c r="S655" s="29">
        <v>0</v>
      </c>
      <c r="T655" s="539"/>
      <c r="U655" s="29">
        <v>0</v>
      </c>
      <c r="V655" s="29">
        <v>0</v>
      </c>
      <c r="W655" s="29">
        <v>0</v>
      </c>
      <c r="X655" s="29"/>
      <c r="Y655" s="541"/>
      <c r="Z655" s="501"/>
      <c r="AA655" s="738"/>
      <c r="AE655" s="744"/>
    </row>
    <row r="656" spans="1:32">
      <c r="A656" s="6"/>
      <c r="B656" s="58"/>
      <c r="C656" s="526" t="s">
        <v>383</v>
      </c>
      <c r="D656" s="58"/>
      <c r="E656" s="30"/>
      <c r="F656" s="58"/>
      <c r="G656" s="29"/>
      <c r="H656" s="58"/>
      <c r="I656" s="58"/>
      <c r="J656" s="538"/>
      <c r="K656" s="538"/>
      <c r="L656" s="538"/>
      <c r="M656" s="538"/>
      <c r="N656" s="538"/>
      <c r="O656" s="538"/>
      <c r="P656" s="564"/>
      <c r="Q656" s="538"/>
      <c r="R656" s="538"/>
      <c r="S656" s="538"/>
      <c r="T656" s="564"/>
      <c r="U656" s="564"/>
      <c r="V656" s="565"/>
      <c r="W656" s="538"/>
      <c r="X656" s="599"/>
      <c r="Y656" s="541"/>
      <c r="Z656" s="501"/>
      <c r="AA656" s="738"/>
      <c r="AE656" s="744"/>
    </row>
    <row r="657" spans="1:31">
      <c r="A657" s="6">
        <f>MAX(A$636:A656)+1</f>
        <v>302</v>
      </c>
      <c r="B657" s="58"/>
      <c r="C657" s="698" t="s">
        <v>384</v>
      </c>
      <c r="D657" s="58"/>
      <c r="E657" s="522" t="s">
        <v>382</v>
      </c>
      <c r="F657" s="58"/>
      <c r="G657" s="29">
        <v>2398062</v>
      </c>
      <c r="H657" s="58"/>
      <c r="I657" s="29">
        <v>0</v>
      </c>
      <c r="J657" s="29">
        <v>0</v>
      </c>
      <c r="K657" s="29"/>
      <c r="L657" s="29">
        <v>0</v>
      </c>
      <c r="M657" s="29">
        <v>0</v>
      </c>
      <c r="N657" s="29">
        <v>0</v>
      </c>
      <c r="O657" s="29">
        <v>0</v>
      </c>
      <c r="P657" s="564"/>
      <c r="Q657" s="29">
        <v>0</v>
      </c>
      <c r="R657" s="29">
        <v>0</v>
      </c>
      <c r="S657" s="29">
        <v>0</v>
      </c>
      <c r="T657" s="539"/>
      <c r="U657" s="29">
        <v>0</v>
      </c>
      <c r="V657" s="29">
        <v>0</v>
      </c>
      <c r="W657" s="29">
        <v>0</v>
      </c>
      <c r="X657" s="29"/>
      <c r="Y657" s="541"/>
      <c r="Z657" s="501"/>
      <c r="AA657" s="738"/>
      <c r="AE657" s="744"/>
    </row>
    <row r="658" spans="1:31">
      <c r="A658" s="6">
        <f>MAX(A$636:A657)+1</f>
        <v>303</v>
      </c>
      <c r="B658" s="58"/>
      <c r="C658" s="698" t="s">
        <v>385</v>
      </c>
      <c r="D658" s="58"/>
      <c r="E658" s="522" t="s">
        <v>382</v>
      </c>
      <c r="F658" s="58"/>
      <c r="G658" s="29">
        <v>900000</v>
      </c>
      <c r="H658" s="58"/>
      <c r="I658" s="29">
        <v>0</v>
      </c>
      <c r="J658" s="29">
        <v>0</v>
      </c>
      <c r="K658" s="29"/>
      <c r="L658" s="29">
        <v>0</v>
      </c>
      <c r="M658" s="29">
        <v>0</v>
      </c>
      <c r="N658" s="29">
        <v>0</v>
      </c>
      <c r="O658" s="29">
        <v>0</v>
      </c>
      <c r="P658" s="564"/>
      <c r="Q658" s="29">
        <v>0</v>
      </c>
      <c r="R658" s="29">
        <v>0</v>
      </c>
      <c r="S658" s="29">
        <v>0</v>
      </c>
      <c r="T658" s="539"/>
      <c r="U658" s="29">
        <v>0</v>
      </c>
      <c r="V658" s="29">
        <v>0</v>
      </c>
      <c r="W658" s="29">
        <v>0</v>
      </c>
      <c r="X658" s="29"/>
      <c r="Y658" s="541"/>
      <c r="Z658" s="501"/>
      <c r="AA658" s="738"/>
      <c r="AE658" s="744"/>
    </row>
    <row r="659" spans="1:31">
      <c r="A659" s="6">
        <f>MAX(A$636:A658)+1</f>
        <v>304</v>
      </c>
      <c r="B659" s="58"/>
      <c r="C659" s="697" t="s">
        <v>386</v>
      </c>
      <c r="D659" s="58"/>
      <c r="E659" s="522" t="s">
        <v>382</v>
      </c>
      <c r="F659" s="58"/>
      <c r="G659" s="29">
        <v>12000</v>
      </c>
      <c r="H659" s="58"/>
      <c r="I659" s="29">
        <v>0</v>
      </c>
      <c r="J659" s="29">
        <v>0</v>
      </c>
      <c r="K659" s="29"/>
      <c r="L659" s="29">
        <v>0</v>
      </c>
      <c r="M659" s="29">
        <v>0</v>
      </c>
      <c r="N659" s="29">
        <v>0</v>
      </c>
      <c r="O659" s="29">
        <v>0</v>
      </c>
      <c r="P659" s="564"/>
      <c r="Q659" s="29">
        <v>0</v>
      </c>
      <c r="R659" s="29">
        <v>0</v>
      </c>
      <c r="S659" s="29">
        <v>0</v>
      </c>
      <c r="T659" s="539"/>
      <c r="U659" s="29">
        <v>0</v>
      </c>
      <c r="V659" s="29">
        <v>0</v>
      </c>
      <c r="W659" s="29">
        <v>0</v>
      </c>
      <c r="X659" s="29"/>
      <c r="Y659" s="541"/>
      <c r="Z659" s="501"/>
      <c r="AA659" s="738"/>
      <c r="AE659" s="744"/>
    </row>
    <row r="660" spans="1:31">
      <c r="A660" s="6">
        <f>MAX(A$636:A659)+1</f>
        <v>305</v>
      </c>
      <c r="B660" s="58"/>
      <c r="C660" s="697" t="s">
        <v>387</v>
      </c>
      <c r="D660" s="58"/>
      <c r="E660" s="522" t="s">
        <v>382</v>
      </c>
      <c r="F660" s="58"/>
      <c r="G660" s="29">
        <v>180000</v>
      </c>
      <c r="H660" s="58"/>
      <c r="I660" s="29">
        <v>0</v>
      </c>
      <c r="J660" s="29">
        <v>0</v>
      </c>
      <c r="K660" s="29"/>
      <c r="L660" s="29">
        <v>0</v>
      </c>
      <c r="M660" s="29">
        <v>0</v>
      </c>
      <c r="N660" s="29">
        <v>0</v>
      </c>
      <c r="O660" s="29">
        <v>0</v>
      </c>
      <c r="P660" s="564"/>
      <c r="Q660" s="29">
        <v>0</v>
      </c>
      <c r="R660" s="29">
        <v>0</v>
      </c>
      <c r="S660" s="29">
        <v>0</v>
      </c>
      <c r="T660" s="539"/>
      <c r="U660" s="29">
        <v>0</v>
      </c>
      <c r="V660" s="29">
        <v>0</v>
      </c>
      <c r="W660" s="29">
        <v>0</v>
      </c>
      <c r="X660" s="29"/>
      <c r="Y660" s="541"/>
      <c r="Z660" s="501"/>
      <c r="AA660" s="738"/>
      <c r="AE660" s="744"/>
    </row>
    <row r="661" spans="1:31">
      <c r="A661" s="6"/>
      <c r="C661" s="526" t="s">
        <v>388</v>
      </c>
      <c r="E661" s="522"/>
      <c r="G661" s="29"/>
      <c r="I661" s="684"/>
      <c r="J661" s="538"/>
      <c r="K661" s="538"/>
      <c r="L661" s="538"/>
      <c r="M661" s="538"/>
      <c r="N661" s="538"/>
      <c r="O661" s="538"/>
      <c r="P661" s="64"/>
      <c r="Q661" s="538"/>
      <c r="R661" s="538"/>
      <c r="S661" s="538"/>
      <c r="T661" s="64"/>
      <c r="U661" s="564"/>
      <c r="V661" s="565"/>
      <c r="W661" s="538"/>
      <c r="X661" s="599"/>
      <c r="Y661" s="541"/>
      <c r="Z661" s="501"/>
      <c r="AA661" s="738"/>
      <c r="AE661" s="744"/>
    </row>
    <row r="662" spans="1:31">
      <c r="A662" s="6">
        <f>MAX(A$636:A661)+1</f>
        <v>306</v>
      </c>
      <c r="B662" s="581"/>
      <c r="C662" s="697" t="s">
        <v>389</v>
      </c>
      <c r="D662" s="581"/>
      <c r="E662" s="30" t="s">
        <v>331</v>
      </c>
      <c r="F662" s="581"/>
      <c r="G662" s="29">
        <v>31198326.559999999</v>
      </c>
      <c r="H662" s="581"/>
      <c r="I662" s="29">
        <v>0</v>
      </c>
      <c r="J662" s="29">
        <v>0</v>
      </c>
      <c r="K662" s="29"/>
      <c r="L662" s="29">
        <v>0</v>
      </c>
      <c r="M662" s="29">
        <v>0</v>
      </c>
      <c r="N662" s="29">
        <v>0</v>
      </c>
      <c r="O662" s="29">
        <v>0</v>
      </c>
      <c r="P662" s="564"/>
      <c r="Q662" s="29">
        <v>0</v>
      </c>
      <c r="R662" s="29">
        <v>0</v>
      </c>
      <c r="S662" s="29">
        <v>0</v>
      </c>
      <c r="T662" s="539"/>
      <c r="U662" s="29">
        <v>0</v>
      </c>
      <c r="V662" s="29">
        <v>0</v>
      </c>
      <c r="W662" s="29">
        <v>0</v>
      </c>
      <c r="X662" s="29"/>
      <c r="Y662" s="541"/>
      <c r="Z662" s="501"/>
      <c r="AA662" s="738"/>
      <c r="AE662" s="744"/>
    </row>
    <row r="663" spans="1:31">
      <c r="A663" s="6"/>
      <c r="B663" s="581"/>
      <c r="C663" s="697"/>
      <c r="D663" s="581"/>
      <c r="E663" s="30"/>
      <c r="F663" s="581"/>
      <c r="G663" s="29"/>
      <c r="H663" s="581"/>
      <c r="I663" s="29"/>
      <c r="J663" s="29"/>
      <c r="K663" s="29"/>
      <c r="L663" s="29"/>
      <c r="M663" s="29"/>
      <c r="N663" s="29"/>
      <c r="O663" s="29"/>
      <c r="P663" s="564"/>
      <c r="Q663" s="29"/>
      <c r="R663" s="29"/>
      <c r="S663" s="29"/>
      <c r="T663" s="539"/>
      <c r="U663" s="29"/>
      <c r="V663" s="29"/>
      <c r="W663" s="29"/>
      <c r="X663" s="29"/>
      <c r="Y663" s="541"/>
      <c r="Z663" s="501"/>
      <c r="AA663" s="738"/>
      <c r="AE663" s="744"/>
    </row>
    <row r="664" spans="1:31">
      <c r="A664" s="6">
        <f>MAX(A$636:A663)+1</f>
        <v>307</v>
      </c>
      <c r="B664" s="3"/>
      <c r="C664" s="12" t="s">
        <v>390</v>
      </c>
      <c r="D664" s="3"/>
      <c r="E664" s="30" t="s">
        <v>331</v>
      </c>
      <c r="F664" s="3"/>
      <c r="G664" s="29">
        <v>0</v>
      </c>
      <c r="H664" s="3"/>
      <c r="I664" s="699">
        <v>3.0899999999999999E-3</v>
      </c>
      <c r="J664" s="29">
        <v>737.06227340000055</v>
      </c>
      <c r="K664" s="538"/>
      <c r="L664" s="29">
        <v>0</v>
      </c>
      <c r="M664" s="29">
        <v>425.80073937659938</v>
      </c>
      <c r="N664" s="29">
        <v>311.26153402340117</v>
      </c>
      <c r="O664" s="538">
        <f>J664-L664-M664-N664</f>
        <v>0</v>
      </c>
      <c r="P664" s="584"/>
      <c r="Q664" s="29">
        <v>0</v>
      </c>
      <c r="R664" s="29">
        <v>519.60245551200785</v>
      </c>
      <c r="S664" s="29">
        <v>309.55531035511177</v>
      </c>
      <c r="T664" s="584"/>
      <c r="U664" s="564">
        <f>SUM(O664:S664)</f>
        <v>829.15776586711968</v>
      </c>
      <c r="V664" s="699">
        <v>3.6363108297250506E-3</v>
      </c>
      <c r="W664" s="538">
        <f>U664-J664</f>
        <v>92.095492467119129</v>
      </c>
      <c r="X664" s="803">
        <f>V664/I664-1</f>
        <v>0.17679962127024296</v>
      </c>
      <c r="Y664" s="541"/>
      <c r="Z664" s="501"/>
      <c r="AA664" s="738"/>
      <c r="AC664" s="738"/>
      <c r="AE664" s="744"/>
    </row>
    <row r="665" spans="1:31">
      <c r="A665" s="6"/>
      <c r="B665" s="5"/>
      <c r="D665" s="5"/>
      <c r="E665" s="30"/>
      <c r="F665" s="5"/>
      <c r="G665" s="17"/>
      <c r="H665" s="5"/>
      <c r="I665" s="5"/>
      <c r="J665" s="538"/>
      <c r="K665" s="538"/>
      <c r="L665" s="538"/>
      <c r="M665" s="538"/>
      <c r="N665" s="538"/>
      <c r="O665" s="538"/>
      <c r="P665" s="585"/>
      <c r="Q665" s="538"/>
      <c r="R665" s="538"/>
      <c r="S665" s="538"/>
      <c r="T665" s="585"/>
      <c r="U665" s="585"/>
      <c r="V665" s="758"/>
      <c r="W665" s="538"/>
      <c r="X665" s="541"/>
      <c r="Y665" s="541"/>
      <c r="Z665" s="501"/>
      <c r="AA665" s="738"/>
      <c r="AE665" s="744"/>
    </row>
    <row r="666" spans="1:31">
      <c r="A666" s="6">
        <f>MAX(A$636:A665)+1</f>
        <v>308</v>
      </c>
      <c r="B666" s="58"/>
      <c r="C666" s="10" t="s">
        <v>391</v>
      </c>
      <c r="D666" s="58"/>
      <c r="E666" s="6"/>
      <c r="F666" s="58"/>
      <c r="G666" s="703">
        <f>G651</f>
        <v>5005643.3246499998</v>
      </c>
      <c r="H666" s="58"/>
      <c r="I666" s="556">
        <f>J666/G666*100</f>
        <v>1.4724626298689324E-2</v>
      </c>
      <c r="J666" s="555">
        <f t="shared" ref="J666" si="290">SUM(J664:J665)</f>
        <v>737.06227340000055</v>
      </c>
      <c r="K666" s="538"/>
      <c r="L666" s="555">
        <f>SUM(L664:L665)</f>
        <v>0</v>
      </c>
      <c r="M666" s="555">
        <f t="shared" ref="M666:O666" si="291">SUM(M664:M665)</f>
        <v>425.80073937659938</v>
      </c>
      <c r="N666" s="555">
        <f t="shared" si="291"/>
        <v>311.26153402340117</v>
      </c>
      <c r="O666" s="555">
        <f t="shared" si="291"/>
        <v>0</v>
      </c>
      <c r="P666" s="538"/>
      <c r="Q666" s="131">
        <f>SUM(Q664:Q665)</f>
        <v>0</v>
      </c>
      <c r="R666" s="131">
        <f t="shared" ref="R666:S666" si="292">SUM(R664:R665)</f>
        <v>519.60245551200785</v>
      </c>
      <c r="S666" s="131">
        <f t="shared" si="292"/>
        <v>309.55531035511177</v>
      </c>
      <c r="T666" s="132"/>
      <c r="U666" s="619">
        <f>SUM(Q666:T666)</f>
        <v>829.15776586711968</v>
      </c>
      <c r="V666" s="592">
        <f>U666/G666*100</f>
        <v>1.6564459592715693E-2</v>
      </c>
      <c r="W666" s="555">
        <f>SUM(W664:W665)</f>
        <v>92.095492467119129</v>
      </c>
      <c r="X666" s="562">
        <f>V666/I666-1</f>
        <v>0.12494940494280238</v>
      </c>
      <c r="Y666" s="541"/>
      <c r="Z666" s="501"/>
      <c r="AA666" s="738"/>
      <c r="AC666" s="738"/>
      <c r="AE666" s="744"/>
    </row>
    <row r="667" spans="1:31">
      <c r="A667" s="6"/>
      <c r="B667" s="58"/>
      <c r="C667" s="10"/>
      <c r="D667" s="58"/>
      <c r="E667" s="6"/>
      <c r="F667" s="58"/>
      <c r="G667" s="6"/>
      <c r="H667" s="58"/>
      <c r="I667" s="58"/>
      <c r="J667" s="538"/>
      <c r="K667" s="538"/>
      <c r="L667" s="538"/>
      <c r="M667" s="538"/>
      <c r="N667" s="538"/>
      <c r="O667" s="538"/>
      <c r="P667" s="564"/>
      <c r="Q667" s="538"/>
      <c r="R667" s="538"/>
      <c r="S667" s="538"/>
      <c r="T667" s="564"/>
      <c r="U667" s="564"/>
      <c r="V667" s="565"/>
      <c r="W667" s="538"/>
      <c r="X667" s="501"/>
      <c r="Y667" s="501"/>
      <c r="Z667" s="501"/>
      <c r="AC667" s="738"/>
      <c r="AE667" s="530"/>
    </row>
    <row r="668" spans="1:31" ht="12.95" thickBot="1">
      <c r="A668" s="6">
        <f>MAX(A$636:A667)+1</f>
        <v>309</v>
      </c>
      <c r="B668" s="58"/>
      <c r="C668" s="10" t="s">
        <v>395</v>
      </c>
      <c r="D668" s="58"/>
      <c r="E668" s="574"/>
      <c r="F668" s="58"/>
      <c r="G668" s="804">
        <f>G666</f>
        <v>5005643.3246499998</v>
      </c>
      <c r="H668" s="58"/>
      <c r="I668" s="572">
        <f>J668/G668*100</f>
        <v>9.1623238571689081E-2</v>
      </c>
      <c r="J668" s="628">
        <f>J651+J666</f>
        <v>4586.3325253918983</v>
      </c>
      <c r="K668" s="564"/>
      <c r="L668" s="628">
        <f>L651+L666</f>
        <v>109.9260462507728</v>
      </c>
      <c r="M668" s="628">
        <f>M651+M666</f>
        <v>2565.4189413444342</v>
      </c>
      <c r="N668" s="628">
        <f>N651+N666</f>
        <v>1387.0988552155645</v>
      </c>
      <c r="O668" s="628">
        <f>O651+O666</f>
        <v>523.88868258112711</v>
      </c>
      <c r="P668" s="564"/>
      <c r="Q668" s="628">
        <f>Q651+Q666</f>
        <v>103.04176993967982</v>
      </c>
      <c r="R668" s="628">
        <f>R651+R666</f>
        <v>3130.5675591150493</v>
      </c>
      <c r="S668" s="628">
        <f>S651+S666</f>
        <v>1379.4952786783876</v>
      </c>
      <c r="T668" s="564"/>
      <c r="U668" s="628">
        <f>U651+U666</f>
        <v>5136.9932903142435</v>
      </c>
      <c r="V668" s="590">
        <f>U668/G668*100</f>
        <v>0.10262403765400981</v>
      </c>
      <c r="W668" s="587">
        <f>W651+W666</f>
        <v>550.66076492234549</v>
      </c>
      <c r="X668" s="573">
        <f>V668/I668-1</f>
        <v>0.12006559966458008</v>
      </c>
      <c r="Y668" s="541"/>
      <c r="Z668" s="501"/>
      <c r="AA668" s="738"/>
      <c r="AC668" s="738"/>
      <c r="AE668" s="744"/>
    </row>
    <row r="669" spans="1:31" ht="13.5" thickTop="1">
      <c r="A669" s="6"/>
      <c r="B669" s="58"/>
      <c r="C669" s="9"/>
      <c r="D669" s="58"/>
      <c r="E669" s="128"/>
      <c r="F669" s="58"/>
      <c r="G669" s="575"/>
      <c r="H669" s="58"/>
      <c r="I669" s="58"/>
      <c r="J669" s="538"/>
      <c r="K669" s="538"/>
      <c r="L669" s="538"/>
      <c r="M669" s="538"/>
      <c r="N669" s="538"/>
      <c r="O669" s="538"/>
      <c r="P669" s="564"/>
      <c r="Q669" s="538"/>
      <c r="R669" s="538"/>
      <c r="S669" s="538"/>
      <c r="T669" s="564"/>
      <c r="U669" s="564"/>
      <c r="V669" s="564"/>
      <c r="W669" s="538"/>
      <c r="X669" s="522"/>
      <c r="Y669" s="501"/>
      <c r="Z669" s="501"/>
      <c r="AA669" s="741"/>
      <c r="AC669" s="741"/>
      <c r="AE669" s="741"/>
    </row>
    <row r="670" spans="1:31" ht="12.95">
      <c r="A670" s="6"/>
      <c r="B670" s="58"/>
      <c r="C670" s="9"/>
      <c r="D670" s="58"/>
      <c r="E670" s="128"/>
      <c r="F670" s="58"/>
      <c r="G670" s="575"/>
      <c r="H670" s="58"/>
      <c r="I670" s="58"/>
      <c r="J670" s="538"/>
      <c r="K670" s="538"/>
      <c r="L670" s="538"/>
      <c r="M670" s="538"/>
      <c r="N670" s="538"/>
      <c r="O670" s="538"/>
      <c r="P670" s="564"/>
      <c r="Q670" s="538"/>
      <c r="R670" s="538"/>
      <c r="S670" s="538"/>
      <c r="T670" s="564"/>
      <c r="U670" s="564"/>
      <c r="V670" s="564"/>
      <c r="W670" s="538"/>
      <c r="X670" s="522"/>
      <c r="Y670" s="501"/>
      <c r="Z670" s="501"/>
      <c r="AA670" s="741"/>
      <c r="AC670" s="741"/>
      <c r="AE670" s="741"/>
    </row>
    <row r="671" spans="1:31" ht="12.95">
      <c r="A671" s="6"/>
      <c r="B671" s="58"/>
      <c r="C671" s="9"/>
      <c r="D671" s="58"/>
      <c r="E671" s="128"/>
      <c r="F671" s="58"/>
      <c r="G671" s="575"/>
      <c r="H671" s="58"/>
      <c r="I671" s="58"/>
      <c r="J671" s="538"/>
      <c r="K671" s="538"/>
      <c r="L671" s="538"/>
      <c r="M671" s="538"/>
      <c r="N671" s="538"/>
      <c r="O671" s="538"/>
      <c r="P671" s="564"/>
      <c r="Q671" s="538"/>
      <c r="R671" s="538"/>
      <c r="S671" s="538"/>
      <c r="T671" s="564"/>
      <c r="U671" s="564"/>
      <c r="V671" s="564"/>
      <c r="W671" s="538"/>
      <c r="X671" s="522"/>
      <c r="Y671" s="501"/>
      <c r="Z671" s="501"/>
      <c r="AA671" s="741"/>
      <c r="AC671" s="741"/>
      <c r="AE671" s="741"/>
    </row>
    <row r="672" spans="1:31" ht="12.95">
      <c r="A672" s="6"/>
      <c r="B672" s="58"/>
      <c r="C672" s="9"/>
      <c r="D672" s="58"/>
      <c r="E672" s="128"/>
      <c r="F672" s="58"/>
      <c r="G672" s="575"/>
      <c r="H672" s="58"/>
      <c r="I672" s="58"/>
      <c r="J672" s="538"/>
      <c r="K672" s="538"/>
      <c r="L672" s="538"/>
      <c r="M672" s="538"/>
      <c r="N672" s="538"/>
      <c r="O672" s="538"/>
      <c r="P672" s="564"/>
      <c r="Q672" s="538"/>
      <c r="R672" s="538"/>
      <c r="S672" s="538"/>
      <c r="T672" s="564"/>
      <c r="U672" s="564"/>
      <c r="V672" s="564"/>
      <c r="W672" s="538"/>
      <c r="X672" s="522"/>
      <c r="Y672" s="501"/>
      <c r="Z672" s="501"/>
      <c r="AA672" s="741"/>
      <c r="AC672" s="741"/>
      <c r="AE672" s="741"/>
    </row>
    <row r="673" spans="1:31">
      <c r="A673" s="1156" t="s">
        <v>279</v>
      </c>
      <c r="B673" s="1156"/>
      <c r="C673" s="1156"/>
      <c r="D673" s="1156"/>
      <c r="E673" s="1156"/>
      <c r="F673" s="1156"/>
      <c r="G673" s="1156"/>
      <c r="H673" s="1156"/>
      <c r="I673" s="1156"/>
      <c r="J673" s="1156"/>
      <c r="K673" s="1156"/>
      <c r="L673" s="1156"/>
      <c r="M673" s="1156"/>
      <c r="N673" s="1156"/>
      <c r="O673" s="1156"/>
      <c r="P673" s="1156"/>
      <c r="Q673" s="1156"/>
      <c r="R673" s="1156"/>
      <c r="S673" s="1156"/>
      <c r="T673" s="1156"/>
      <c r="U673" s="1156"/>
      <c r="V673" s="1156"/>
      <c r="W673" s="1156"/>
      <c r="X673" s="1156"/>
      <c r="Y673" s="501"/>
      <c r="Z673" s="501"/>
      <c r="AA673" s="741"/>
      <c r="AC673" s="741"/>
      <c r="AE673" s="741"/>
    </row>
    <row r="674" spans="1:31">
      <c r="A674" s="1156" t="s">
        <v>499</v>
      </c>
      <c r="B674" s="1156"/>
      <c r="C674" s="1156"/>
      <c r="D674" s="1156"/>
      <c r="E674" s="1156"/>
      <c r="F674" s="1156"/>
      <c r="G674" s="1156"/>
      <c r="H674" s="1156"/>
      <c r="I674" s="1156"/>
      <c r="J674" s="1156"/>
      <c r="K674" s="1156"/>
      <c r="L674" s="1156"/>
      <c r="M674" s="1156"/>
      <c r="N674" s="1156"/>
      <c r="O674" s="1156"/>
      <c r="P674" s="1156"/>
      <c r="Q674" s="1156"/>
      <c r="R674" s="1156"/>
      <c r="S674" s="1156"/>
      <c r="T674" s="1156"/>
      <c r="U674" s="1156"/>
      <c r="V674" s="1156"/>
      <c r="W674" s="1156"/>
      <c r="X674" s="1156"/>
      <c r="Y674" s="501"/>
      <c r="Z674" s="501"/>
      <c r="AA674" s="741"/>
      <c r="AC674" s="741"/>
      <c r="AE674" s="741"/>
    </row>
    <row r="675" spans="1:31">
      <c r="A675" s="57"/>
      <c r="B675" s="57"/>
      <c r="C675" s="57"/>
      <c r="D675" s="57"/>
      <c r="E675" s="3"/>
      <c r="F675" s="57"/>
      <c r="G675" s="3"/>
      <c r="H675" s="57"/>
      <c r="I675" s="57"/>
      <c r="J675" s="501"/>
      <c r="K675" s="501"/>
      <c r="L675" s="4"/>
      <c r="M675" s="4"/>
      <c r="N675" s="501"/>
      <c r="O675" s="501"/>
      <c r="P675" s="57"/>
      <c r="Q675" s="501"/>
      <c r="R675" s="501"/>
      <c r="S675" s="501"/>
      <c r="T675" s="57"/>
      <c r="U675" s="57"/>
      <c r="V675" s="57"/>
      <c r="W675" s="501"/>
      <c r="X675" s="522"/>
      <c r="Y675" s="501"/>
      <c r="Z675" s="501"/>
      <c r="AA675" s="741"/>
      <c r="AC675" s="741"/>
      <c r="AE675" s="741"/>
    </row>
    <row r="676" spans="1:31">
      <c r="A676" s="3"/>
      <c r="B676" s="3"/>
      <c r="C676" s="3"/>
      <c r="D676" s="3"/>
      <c r="E676" s="58"/>
      <c r="F676" s="58"/>
      <c r="G676" s="1152" t="s">
        <v>231</v>
      </c>
      <c r="H676" s="1152"/>
      <c r="I676" s="1152"/>
      <c r="J676" s="1152"/>
      <c r="K676" s="58"/>
      <c r="L676" s="1152" t="s">
        <v>94</v>
      </c>
      <c r="M676" s="1152"/>
      <c r="N676" s="1152"/>
      <c r="O676" s="58"/>
      <c r="P676" s="3"/>
      <c r="Q676" s="1152" t="s">
        <v>95</v>
      </c>
      <c r="R676" s="1152"/>
      <c r="S676" s="1152"/>
      <c r="T676" s="3"/>
      <c r="U676" s="1152" t="s">
        <v>232</v>
      </c>
      <c r="V676" s="1152"/>
      <c r="W676" s="1152"/>
      <c r="X676" s="1152"/>
      <c r="Y676" s="501"/>
      <c r="Z676" s="501"/>
      <c r="AA676" s="741"/>
      <c r="AC676" s="741"/>
      <c r="AE676" s="741"/>
    </row>
    <row r="677" spans="1:31" ht="37.5">
      <c r="A677" s="5" t="s">
        <v>56</v>
      </c>
      <c r="B677" s="5"/>
      <c r="C677" s="5"/>
      <c r="D677" s="5"/>
      <c r="E677" s="6" t="s">
        <v>233</v>
      </c>
      <c r="F677" s="5"/>
      <c r="G677" s="17" t="s">
        <v>234</v>
      </c>
      <c r="H677" s="5"/>
      <c r="I677" s="17" t="s">
        <v>235</v>
      </c>
      <c r="J677" s="5" t="s">
        <v>101</v>
      </c>
      <c r="K677" s="5"/>
      <c r="L677" s="5" t="s">
        <v>491</v>
      </c>
      <c r="M677" s="5" t="s">
        <v>492</v>
      </c>
      <c r="N677" s="5" t="s">
        <v>493</v>
      </c>
      <c r="O677" s="5" t="s">
        <v>494</v>
      </c>
      <c r="P677" s="5"/>
      <c r="Q677" s="5" t="s">
        <v>491</v>
      </c>
      <c r="R677" s="5" t="s">
        <v>492</v>
      </c>
      <c r="S677" s="5" t="s">
        <v>493</v>
      </c>
      <c r="T677" s="5"/>
      <c r="U677" s="17" t="s">
        <v>113</v>
      </c>
      <c r="V677" s="17" t="s">
        <v>242</v>
      </c>
      <c r="W677" s="17" t="s">
        <v>243</v>
      </c>
      <c r="X677" s="5" t="s">
        <v>244</v>
      </c>
      <c r="Y677" s="501"/>
      <c r="Z677" s="501"/>
      <c r="AA677" s="741"/>
      <c r="AC677" s="741"/>
      <c r="AE677" s="741"/>
    </row>
    <row r="678" spans="1:31" ht="14.45">
      <c r="A678" s="237" t="s">
        <v>57</v>
      </c>
      <c r="B678" s="58"/>
      <c r="C678" s="59" t="s">
        <v>194</v>
      </c>
      <c r="D678" s="58"/>
      <c r="E678" s="237" t="s">
        <v>245</v>
      </c>
      <c r="F678" s="58"/>
      <c r="G678" s="237" t="s">
        <v>246</v>
      </c>
      <c r="H678" s="58"/>
      <c r="I678" s="237" t="s">
        <v>247</v>
      </c>
      <c r="J678" s="237" t="s">
        <v>248</v>
      </c>
      <c r="K678" s="6"/>
      <c r="L678" s="237" t="s">
        <v>248</v>
      </c>
      <c r="M678" s="237" t="s">
        <v>248</v>
      </c>
      <c r="N678" s="237" t="s">
        <v>248</v>
      </c>
      <c r="O678" s="237" t="s">
        <v>248</v>
      </c>
      <c r="P678" s="58"/>
      <c r="Q678" s="237" t="s">
        <v>248</v>
      </c>
      <c r="R678" s="237" t="s">
        <v>248</v>
      </c>
      <c r="S678" s="237" t="s">
        <v>248</v>
      </c>
      <c r="T678" s="58"/>
      <c r="U678" s="237" t="s">
        <v>248</v>
      </c>
      <c r="V678" s="237" t="s">
        <v>247</v>
      </c>
      <c r="W678" s="237" t="s">
        <v>248</v>
      </c>
      <c r="X678" s="237" t="s">
        <v>249</v>
      </c>
      <c r="Y678" s="501"/>
      <c r="Z678" s="501"/>
      <c r="AA678" s="741"/>
      <c r="AC678" s="741"/>
      <c r="AE678" s="741"/>
    </row>
    <row r="679" spans="1:31">
      <c r="A679" s="6"/>
      <c r="B679" s="58"/>
      <c r="C679" s="58"/>
      <c r="D679" s="58"/>
      <c r="E679" s="6"/>
      <c r="F679" s="58"/>
      <c r="G679" s="6" t="s">
        <v>9</v>
      </c>
      <c r="H679" s="6"/>
      <c r="I679" s="6" t="s">
        <v>10</v>
      </c>
      <c r="J679" s="6" t="s">
        <v>58</v>
      </c>
      <c r="K679" s="6"/>
      <c r="L679" s="123" t="s">
        <v>12</v>
      </c>
      <c r="M679" s="123" t="s">
        <v>13</v>
      </c>
      <c r="N679" s="6" t="s">
        <v>115</v>
      </c>
      <c r="O679" s="6" t="s">
        <v>495</v>
      </c>
      <c r="P679" s="6"/>
      <c r="Q679" s="6" t="s">
        <v>210</v>
      </c>
      <c r="R679" s="6" t="s">
        <v>118</v>
      </c>
      <c r="S679" s="6" t="s">
        <v>119</v>
      </c>
      <c r="T679" s="6"/>
      <c r="U679" s="6" t="s">
        <v>496</v>
      </c>
      <c r="V679" s="6" t="s">
        <v>121</v>
      </c>
      <c r="W679" s="6" t="s">
        <v>497</v>
      </c>
      <c r="X679" s="6" t="s">
        <v>498</v>
      </c>
      <c r="Y679" s="501"/>
      <c r="Z679" s="501"/>
      <c r="AA679" s="741"/>
      <c r="AC679" s="741"/>
      <c r="AE679" s="741"/>
    </row>
    <row r="680" spans="1:31" ht="12.95">
      <c r="A680" s="6"/>
      <c r="B680" s="58"/>
      <c r="C680" s="9"/>
      <c r="D680" s="58"/>
      <c r="E680" s="128"/>
      <c r="F680" s="58"/>
      <c r="G680" s="575"/>
      <c r="H680" s="58"/>
      <c r="I680" s="58"/>
      <c r="J680" s="538"/>
      <c r="K680" s="538"/>
      <c r="L680" s="538"/>
      <c r="M680" s="538"/>
      <c r="N680" s="538"/>
      <c r="O680" s="538"/>
      <c r="P680" s="564"/>
      <c r="Q680" s="538"/>
      <c r="R680" s="538"/>
      <c r="S680" s="538"/>
      <c r="T680" s="564"/>
      <c r="U680" s="564"/>
      <c r="V680" s="564"/>
      <c r="W680" s="538"/>
      <c r="X680" s="522"/>
      <c r="Y680" s="501"/>
      <c r="Z680" s="501"/>
      <c r="AA680" s="741"/>
      <c r="AC680" s="741"/>
      <c r="AE680" s="741"/>
    </row>
    <row r="681" spans="1:31">
      <c r="A681" s="6"/>
      <c r="C681" s="9" t="s">
        <v>154</v>
      </c>
      <c r="E681" s="30"/>
      <c r="G681" s="29"/>
      <c r="J681" s="538"/>
      <c r="K681" s="538"/>
      <c r="L681" s="538"/>
      <c r="M681" s="538"/>
      <c r="N681" s="538"/>
      <c r="O681" s="538"/>
      <c r="P681" s="64"/>
      <c r="Q681" s="538"/>
      <c r="R681" s="538"/>
      <c r="S681" s="538"/>
      <c r="T681" s="64"/>
      <c r="U681" s="64"/>
      <c r="V681" s="64"/>
      <c r="W681" s="538"/>
      <c r="X681" s="522"/>
      <c r="Y681" s="501"/>
      <c r="Z681" s="501"/>
    </row>
    <row r="682" spans="1:31">
      <c r="A682" s="6">
        <v>310</v>
      </c>
      <c r="B682" s="58"/>
      <c r="C682" s="10" t="s">
        <v>258</v>
      </c>
      <c r="D682" s="58"/>
      <c r="E682" s="6" t="s">
        <v>366</v>
      </c>
      <c r="F682" s="58"/>
      <c r="G682" s="29">
        <v>12.000000000000004</v>
      </c>
      <c r="H682" s="58"/>
      <c r="I682" s="29">
        <v>0</v>
      </c>
      <c r="J682" s="29">
        <v>0</v>
      </c>
      <c r="K682" s="29"/>
      <c r="L682" s="29">
        <v>0</v>
      </c>
      <c r="M682" s="29">
        <v>0</v>
      </c>
      <c r="N682" s="29">
        <v>0</v>
      </c>
      <c r="O682" s="29">
        <v>0</v>
      </c>
      <c r="P682" s="564"/>
      <c r="Q682" s="29">
        <v>0</v>
      </c>
      <c r="R682" s="29">
        <v>0</v>
      </c>
      <c r="S682" s="29">
        <v>0</v>
      </c>
      <c r="T682" s="539"/>
      <c r="U682" s="29">
        <v>0</v>
      </c>
      <c r="V682" s="29">
        <v>0</v>
      </c>
      <c r="W682" s="29">
        <v>0</v>
      </c>
      <c r="X682" s="29"/>
      <c r="Y682" s="541"/>
      <c r="Z682" s="501"/>
      <c r="AA682" s="738"/>
      <c r="AE682" s="739"/>
    </row>
    <row r="683" spans="1:31" ht="14.45">
      <c r="A683" s="6"/>
      <c r="B683" s="58"/>
      <c r="C683" s="10" t="s">
        <v>367</v>
      </c>
      <c r="D683" s="58"/>
      <c r="E683" s="6"/>
      <c r="F683" s="58"/>
      <c r="G683" s="29"/>
      <c r="H683" s="58"/>
      <c r="I683" s="29"/>
      <c r="J683" s="29"/>
      <c r="K683" s="29"/>
      <c r="L683" s="29"/>
      <c r="M683" s="29"/>
      <c r="N683" s="29"/>
      <c r="O683" s="29"/>
      <c r="P683" s="564"/>
      <c r="Q683" s="29"/>
      <c r="R683" s="29"/>
      <c r="S683" s="29"/>
      <c r="T683" s="539"/>
      <c r="U683" s="29"/>
      <c r="V683" s="29"/>
      <c r="W683" s="29"/>
      <c r="X683" s="29"/>
      <c r="Y683" s="541"/>
      <c r="Z683" s="501"/>
      <c r="AA683" s="738"/>
      <c r="AE683" s="739"/>
    </row>
    <row r="684" spans="1:31">
      <c r="A684" s="6">
        <f>MAX(A$681:A683)+1</f>
        <v>311</v>
      </c>
      <c r="B684" s="58"/>
      <c r="C684" s="526" t="s">
        <v>368</v>
      </c>
      <c r="D684" s="58"/>
      <c r="E684" s="522" t="s">
        <v>370</v>
      </c>
      <c r="F684" s="58"/>
      <c r="G684" s="29">
        <v>28200</v>
      </c>
      <c r="H684" s="58"/>
      <c r="I684" s="29">
        <v>0</v>
      </c>
      <c r="J684" s="29">
        <v>0</v>
      </c>
      <c r="K684" s="29"/>
      <c r="L684" s="29">
        <v>0</v>
      </c>
      <c r="M684" s="29">
        <v>0</v>
      </c>
      <c r="N684" s="29">
        <v>0</v>
      </c>
      <c r="O684" s="29">
        <v>0</v>
      </c>
      <c r="P684" s="564"/>
      <c r="Q684" s="29">
        <v>0</v>
      </c>
      <c r="R684" s="29">
        <v>0</v>
      </c>
      <c r="S684" s="29">
        <v>0</v>
      </c>
      <c r="T684" s="539"/>
      <c r="U684" s="29">
        <v>0</v>
      </c>
      <c r="V684" s="29">
        <v>0</v>
      </c>
      <c r="W684" s="29">
        <v>0</v>
      </c>
      <c r="X684" s="29"/>
      <c r="Y684" s="541"/>
      <c r="Z684" s="501"/>
      <c r="AA684" s="738"/>
    </row>
    <row r="685" spans="1:31">
      <c r="A685" s="6">
        <f>MAX(A$681:A684)+1</f>
        <v>312</v>
      </c>
      <c r="B685" s="58"/>
      <c r="C685" s="12" t="s">
        <v>372</v>
      </c>
      <c r="D685" s="58"/>
      <c r="E685" s="522" t="s">
        <v>262</v>
      </c>
      <c r="F685" s="58"/>
      <c r="G685" s="29">
        <v>249200.14546999999</v>
      </c>
      <c r="H685" s="58"/>
      <c r="I685" s="684">
        <v>4.1000000000000003E-3</v>
      </c>
      <c r="J685" s="538">
        <f>G685*I685/100</f>
        <v>10.217205964270001</v>
      </c>
      <c r="K685" s="538"/>
      <c r="L685" s="29">
        <v>10.217205964270001</v>
      </c>
      <c r="M685" s="29">
        <v>0</v>
      </c>
      <c r="N685" s="29">
        <v>0</v>
      </c>
      <c r="O685" s="538">
        <f>J685-L685-M685-N685</f>
        <v>0</v>
      </c>
      <c r="P685" s="564"/>
      <c r="Q685" s="29">
        <v>0</v>
      </c>
      <c r="R685" s="29">
        <v>0</v>
      </c>
      <c r="S685" s="29">
        <v>0</v>
      </c>
      <c r="T685" s="564"/>
      <c r="U685" s="564">
        <f>SUM(O685:S685)</f>
        <v>0</v>
      </c>
      <c r="V685" s="564">
        <f>U685/G685*100</f>
        <v>0</v>
      </c>
      <c r="W685" s="538">
        <f>U685-J685</f>
        <v>-10.217205964270001</v>
      </c>
      <c r="X685" s="796">
        <f>V685/I685-1</f>
        <v>-1</v>
      </c>
      <c r="Y685" s="541"/>
      <c r="Z685" s="501"/>
      <c r="AA685" s="738"/>
      <c r="AC685" s="738"/>
      <c r="AE685" s="744"/>
    </row>
    <row r="686" spans="1:31">
      <c r="A686" s="6"/>
      <c r="B686" s="58"/>
      <c r="C686" s="12"/>
      <c r="D686" s="58"/>
      <c r="E686" s="522"/>
      <c r="F686" s="58"/>
      <c r="G686" s="29"/>
      <c r="H686" s="58"/>
      <c r="I686" s="684"/>
      <c r="J686" s="538"/>
      <c r="K686" s="538"/>
      <c r="L686" s="29"/>
      <c r="M686" s="29"/>
      <c r="N686" s="29"/>
      <c r="O686" s="538"/>
      <c r="P686" s="564"/>
      <c r="Q686" s="29"/>
      <c r="R686" s="29"/>
      <c r="S686" s="29"/>
      <c r="T686" s="564"/>
      <c r="U686" s="564"/>
      <c r="V686" s="565"/>
      <c r="W686" s="538"/>
      <c r="X686" s="796"/>
      <c r="Y686" s="541"/>
      <c r="Z686" s="501"/>
      <c r="AA686" s="738"/>
      <c r="AC686" s="738"/>
      <c r="AE686" s="744"/>
    </row>
    <row r="687" spans="1:31">
      <c r="A687" s="6">
        <f>MAX(A$681:A686)+1</f>
        <v>313</v>
      </c>
      <c r="B687" s="58"/>
      <c r="C687" s="12" t="s">
        <v>377</v>
      </c>
      <c r="D687" s="58"/>
      <c r="E687" s="522" t="s">
        <v>262</v>
      </c>
      <c r="F687" s="58"/>
      <c r="G687" s="29">
        <v>0</v>
      </c>
      <c r="H687" s="58"/>
      <c r="I687" s="699">
        <v>4.1900000000000001E-3</v>
      </c>
      <c r="J687" s="29">
        <v>216.63544388</v>
      </c>
      <c r="K687" s="538"/>
      <c r="L687" s="29">
        <v>0</v>
      </c>
      <c r="M687" s="29">
        <v>104.835140629248</v>
      </c>
      <c r="N687" s="29">
        <v>111.80030325075201</v>
      </c>
      <c r="O687" s="538">
        <f>J687-L687-M687-N687</f>
        <v>0</v>
      </c>
      <c r="P687" s="564"/>
      <c r="Q687" s="29">
        <v>9.5773387864319055</v>
      </c>
      <c r="R687" s="29">
        <v>127.92978371680481</v>
      </c>
      <c r="S687" s="29">
        <v>111.18745423898166</v>
      </c>
      <c r="T687" s="564"/>
      <c r="U687" s="564">
        <f>SUM(O687:S687)</f>
        <v>248.69457674221837</v>
      </c>
      <c r="V687" s="699">
        <v>4.8100636621914127E-3</v>
      </c>
      <c r="W687" s="538">
        <f>U687-J687</f>
        <v>32.059132862218377</v>
      </c>
      <c r="X687" s="599">
        <f>IFERROR(V687/I687-1,"-")</f>
        <v>0.14798655422229423</v>
      </c>
      <c r="Y687" s="541"/>
      <c r="Z687" s="501"/>
      <c r="AA687" s="738"/>
      <c r="AC687" s="738"/>
      <c r="AE687" s="744"/>
    </row>
    <row r="688" spans="1:31">
      <c r="A688" s="6"/>
      <c r="B688" s="58"/>
      <c r="C688" s="12"/>
      <c r="D688" s="58"/>
      <c r="E688" s="522"/>
      <c r="F688" s="58"/>
      <c r="G688" s="29"/>
      <c r="H688" s="58"/>
      <c r="I688" s="684"/>
      <c r="J688" s="538"/>
      <c r="K688" s="538"/>
      <c r="L688" s="538"/>
      <c r="M688" s="538"/>
      <c r="N688" s="538"/>
      <c r="O688" s="538"/>
      <c r="P688" s="564"/>
      <c r="Q688" s="538"/>
      <c r="R688" s="538"/>
      <c r="S688" s="538"/>
      <c r="T688" s="564"/>
      <c r="U688" s="564"/>
      <c r="V688" s="565"/>
      <c r="W688" s="538"/>
      <c r="X688" s="599"/>
      <c r="Y688" s="541"/>
      <c r="Z688" s="501"/>
      <c r="AA688" s="738"/>
      <c r="AC688" s="738"/>
    </row>
    <row r="689" spans="1:31">
      <c r="A689" s="6">
        <f>MAX(A$681:A688)+1</f>
        <v>314</v>
      </c>
      <c r="B689" s="58"/>
      <c r="C689" s="10" t="s">
        <v>378</v>
      </c>
      <c r="D689" s="58"/>
      <c r="E689" s="30"/>
      <c r="F689" s="58"/>
      <c r="G689" s="411">
        <f>G685</f>
        <v>249200.14546999999</v>
      </c>
      <c r="H689" s="58"/>
      <c r="I689" s="668">
        <f>J689/G689*100</f>
        <v>9.1032310360982388E-2</v>
      </c>
      <c r="J689" s="555">
        <f t="shared" ref="J689" si="293">SUM(J685:J688)</f>
        <v>226.85264984426999</v>
      </c>
      <c r="K689" s="538"/>
      <c r="L689" s="555">
        <f>SUM(L685:L688)</f>
        <v>10.217205964270001</v>
      </c>
      <c r="M689" s="555">
        <f t="shared" ref="M689:O689" si="294">SUM(M685:M688)</f>
        <v>104.835140629248</v>
      </c>
      <c r="N689" s="555">
        <f t="shared" si="294"/>
        <v>111.80030325075201</v>
      </c>
      <c r="O689" s="555">
        <f t="shared" si="294"/>
        <v>0</v>
      </c>
      <c r="P689" s="538"/>
      <c r="Q689" s="619">
        <f>SUM(Q685:Q688)</f>
        <v>9.5773387864319055</v>
      </c>
      <c r="R689" s="619">
        <f t="shared" ref="R689:S689" si="295">SUM(R685:R688)</f>
        <v>127.92978371680481</v>
      </c>
      <c r="S689" s="619">
        <f t="shared" si="295"/>
        <v>111.18745423898166</v>
      </c>
      <c r="T689" s="564"/>
      <c r="U689" s="619">
        <f>SUM(U685:U688)</f>
        <v>248.69457674221837</v>
      </c>
      <c r="V689" s="592">
        <f>U689/G689*100</f>
        <v>9.9797123421887221E-2</v>
      </c>
      <c r="W689" s="555">
        <f>SUM(W682:W687)</f>
        <v>21.841926897948376</v>
      </c>
      <c r="X689" s="609">
        <f>V689/I689-1</f>
        <v>9.6282441104137195E-2</v>
      </c>
      <c r="Y689" s="541"/>
      <c r="Z689" s="501"/>
      <c r="AA689" s="738"/>
      <c r="AC689" s="738"/>
      <c r="AE689" s="744"/>
    </row>
    <row r="690" spans="1:31">
      <c r="A690" s="6"/>
      <c r="E690" s="30"/>
      <c r="G690" s="29"/>
      <c r="I690" s="684"/>
      <c r="J690" s="538"/>
      <c r="K690" s="538"/>
      <c r="L690" s="538"/>
      <c r="M690" s="538"/>
      <c r="N690" s="538"/>
      <c r="O690" s="538"/>
      <c r="P690" s="64"/>
      <c r="Q690" s="538"/>
      <c r="R690" s="538"/>
      <c r="S690" s="538"/>
      <c r="T690" s="64"/>
      <c r="U690" s="64"/>
      <c r="V690" s="580"/>
      <c r="W690" s="538"/>
      <c r="X690" s="605"/>
      <c r="Y690" s="501"/>
      <c r="Z690" s="501"/>
      <c r="AA690" s="738"/>
      <c r="AE690" s="744"/>
    </row>
    <row r="691" spans="1:31">
      <c r="A691" s="6"/>
      <c r="C691" s="521" t="s">
        <v>379</v>
      </c>
      <c r="E691" s="30"/>
      <c r="G691" s="29"/>
      <c r="I691" s="684"/>
      <c r="J691" s="538"/>
      <c r="K691" s="538"/>
      <c r="L691" s="538"/>
      <c r="M691" s="538"/>
      <c r="N691" s="538"/>
      <c r="O691" s="538"/>
      <c r="P691" s="64"/>
      <c r="Q691" s="538"/>
      <c r="R691" s="538"/>
      <c r="S691" s="538"/>
      <c r="T691" s="64"/>
      <c r="U691" s="64"/>
      <c r="V691" s="580"/>
      <c r="W691" s="538"/>
      <c r="X691" s="605"/>
      <c r="Y691" s="501"/>
      <c r="Z691" s="501"/>
      <c r="AA691" s="738"/>
      <c r="AE691" s="744"/>
    </row>
    <row r="692" spans="1:31">
      <c r="A692" s="6"/>
      <c r="B692" s="58"/>
      <c r="C692" s="526" t="s">
        <v>380</v>
      </c>
      <c r="D692" s="58"/>
      <c r="E692" s="522"/>
      <c r="F692" s="58"/>
      <c r="G692" s="29"/>
      <c r="H692" s="58"/>
      <c r="I692" s="684"/>
      <c r="J692" s="538"/>
      <c r="K692" s="538"/>
      <c r="L692" s="538"/>
      <c r="M692" s="538"/>
      <c r="N692" s="538"/>
      <c r="O692" s="538"/>
      <c r="P692" s="564"/>
      <c r="Q692" s="538"/>
      <c r="R692" s="538"/>
      <c r="S692" s="538"/>
      <c r="T692" s="564"/>
      <c r="U692" s="564"/>
      <c r="V692" s="565"/>
      <c r="W692" s="538"/>
      <c r="X692" s="605"/>
      <c r="Y692" s="501"/>
      <c r="Z692" s="501"/>
      <c r="AA692" s="738"/>
      <c r="AE692" s="744"/>
    </row>
    <row r="693" spans="1:31">
      <c r="A693" s="6">
        <f>MAX(A$681:A692)+1</f>
        <v>315</v>
      </c>
      <c r="C693" s="697" t="s">
        <v>381</v>
      </c>
      <c r="E693" s="522" t="s">
        <v>382</v>
      </c>
      <c r="G693" s="29">
        <v>38472252</v>
      </c>
      <c r="I693" s="29">
        <v>0</v>
      </c>
      <c r="J693" s="29">
        <v>0</v>
      </c>
      <c r="K693" s="29"/>
      <c r="L693" s="29">
        <v>0</v>
      </c>
      <c r="M693" s="29">
        <v>0</v>
      </c>
      <c r="N693" s="29">
        <v>0</v>
      </c>
      <c r="O693" s="29">
        <v>0</v>
      </c>
      <c r="P693" s="564"/>
      <c r="Q693" s="29">
        <v>0</v>
      </c>
      <c r="R693" s="29">
        <v>0</v>
      </c>
      <c r="S693" s="29">
        <v>0</v>
      </c>
      <c r="T693" s="539"/>
      <c r="U693" s="29">
        <v>0</v>
      </c>
      <c r="V693" s="29">
        <v>0</v>
      </c>
      <c r="W693" s="29">
        <v>0</v>
      </c>
      <c r="X693" s="29"/>
      <c r="Y693" s="541"/>
      <c r="Z693" s="501"/>
      <c r="AA693" s="738"/>
      <c r="AE693" s="744"/>
    </row>
    <row r="694" spans="1:31">
      <c r="A694" s="6"/>
      <c r="C694" s="526" t="s">
        <v>383</v>
      </c>
      <c r="E694" s="30"/>
      <c r="G694" s="29"/>
      <c r="I694" s="684"/>
      <c r="J694" s="538"/>
      <c r="K694" s="538"/>
      <c r="L694" s="538"/>
      <c r="M694" s="538"/>
      <c r="N694" s="538"/>
      <c r="O694" s="538"/>
      <c r="P694" s="64"/>
      <c r="Q694" s="538"/>
      <c r="R694" s="538"/>
      <c r="S694" s="538"/>
      <c r="T694" s="64"/>
      <c r="U694" s="64"/>
      <c r="V694" s="580"/>
      <c r="W694" s="538"/>
      <c r="X694" s="599"/>
      <c r="Y694" s="541"/>
      <c r="Z694" s="501"/>
      <c r="AA694" s="738"/>
      <c r="AE694" s="744"/>
    </row>
    <row r="695" spans="1:31">
      <c r="A695" s="6">
        <f>MAX(A$681:A694)+1</f>
        <v>316</v>
      </c>
      <c r="B695" s="58"/>
      <c r="C695" s="697" t="s">
        <v>384</v>
      </c>
      <c r="D695" s="58"/>
      <c r="E695" s="522" t="s">
        <v>382</v>
      </c>
      <c r="F695" s="58"/>
      <c r="G695" s="29">
        <v>0</v>
      </c>
      <c r="H695" s="58"/>
      <c r="I695" s="29">
        <v>0</v>
      </c>
      <c r="J695" s="29">
        <v>0</v>
      </c>
      <c r="K695" s="29"/>
      <c r="L695" s="29">
        <v>0</v>
      </c>
      <c r="M695" s="29">
        <v>0</v>
      </c>
      <c r="N695" s="29">
        <v>0</v>
      </c>
      <c r="O695" s="29">
        <v>0</v>
      </c>
      <c r="P695" s="564"/>
      <c r="Q695" s="29">
        <v>0</v>
      </c>
      <c r="R695" s="29">
        <v>0</v>
      </c>
      <c r="S695" s="29">
        <v>0</v>
      </c>
      <c r="T695" s="539"/>
      <c r="U695" s="29">
        <v>0</v>
      </c>
      <c r="V695" s="29">
        <v>0</v>
      </c>
      <c r="W695" s="29">
        <v>0</v>
      </c>
      <c r="X695" s="29"/>
      <c r="Y695" s="541"/>
      <c r="Z695" s="501"/>
      <c r="AA695" s="738"/>
      <c r="AE695" s="744"/>
    </row>
    <row r="696" spans="1:31">
      <c r="A696" s="6">
        <f>MAX(A$681:A695)+1</f>
        <v>317</v>
      </c>
      <c r="B696" s="58"/>
      <c r="C696" s="697" t="s">
        <v>385</v>
      </c>
      <c r="D696" s="58"/>
      <c r="E696" s="522" t="s">
        <v>382</v>
      </c>
      <c r="F696" s="58"/>
      <c r="G696" s="29">
        <v>649668</v>
      </c>
      <c r="H696" s="58"/>
      <c r="I696" s="29">
        <v>0</v>
      </c>
      <c r="J696" s="29">
        <v>0</v>
      </c>
      <c r="K696" s="29"/>
      <c r="L696" s="29">
        <v>0</v>
      </c>
      <c r="M696" s="29">
        <v>0</v>
      </c>
      <c r="N696" s="29">
        <v>0</v>
      </c>
      <c r="O696" s="29">
        <v>0</v>
      </c>
      <c r="P696" s="564"/>
      <c r="Q696" s="29">
        <v>0</v>
      </c>
      <c r="R696" s="29">
        <v>0</v>
      </c>
      <c r="S696" s="29">
        <v>0</v>
      </c>
      <c r="T696" s="539"/>
      <c r="U696" s="29">
        <v>0</v>
      </c>
      <c r="V696" s="29">
        <v>0</v>
      </c>
      <c r="W696" s="29">
        <v>0</v>
      </c>
      <c r="X696" s="29"/>
      <c r="Y696" s="541"/>
      <c r="Z696" s="501"/>
      <c r="AA696" s="738"/>
      <c r="AE696" s="744"/>
    </row>
    <row r="697" spans="1:31">
      <c r="A697" s="6">
        <f>MAX(A$681:A696)+1</f>
        <v>318</v>
      </c>
      <c r="C697" s="697" t="s">
        <v>386</v>
      </c>
      <c r="E697" s="522" t="s">
        <v>382</v>
      </c>
      <c r="G697" s="29">
        <v>0</v>
      </c>
      <c r="I697" s="29">
        <v>0</v>
      </c>
      <c r="J697" s="29">
        <v>0</v>
      </c>
      <c r="K697" s="29"/>
      <c r="L697" s="29">
        <v>0</v>
      </c>
      <c r="M697" s="29">
        <v>0</v>
      </c>
      <c r="N697" s="29">
        <v>0</v>
      </c>
      <c r="O697" s="29">
        <v>0</v>
      </c>
      <c r="P697" s="564"/>
      <c r="Q697" s="29">
        <v>0</v>
      </c>
      <c r="R697" s="29">
        <v>0</v>
      </c>
      <c r="S697" s="29">
        <v>0</v>
      </c>
      <c r="T697" s="539"/>
      <c r="U697" s="29">
        <v>0</v>
      </c>
      <c r="V697" s="29">
        <v>0</v>
      </c>
      <c r="W697" s="29">
        <v>0</v>
      </c>
      <c r="X697" s="29"/>
      <c r="Y697" s="541"/>
      <c r="Z697" s="501"/>
      <c r="AA697" s="738"/>
      <c r="AE697" s="744"/>
    </row>
    <row r="698" spans="1:31">
      <c r="A698" s="6">
        <f>MAX(A$681:A697)+1</f>
        <v>319</v>
      </c>
      <c r="B698" s="58"/>
      <c r="C698" s="697" t="s">
        <v>387</v>
      </c>
      <c r="D698" s="58"/>
      <c r="E698" s="522" t="s">
        <v>382</v>
      </c>
      <c r="F698" s="58"/>
      <c r="G698" s="29">
        <v>0</v>
      </c>
      <c r="H698" s="58"/>
      <c r="I698" s="29">
        <v>0</v>
      </c>
      <c r="J698" s="29">
        <v>0</v>
      </c>
      <c r="K698" s="29"/>
      <c r="L698" s="29">
        <v>0</v>
      </c>
      <c r="M698" s="29">
        <v>0</v>
      </c>
      <c r="N698" s="29">
        <v>0</v>
      </c>
      <c r="O698" s="29">
        <v>0</v>
      </c>
      <c r="P698" s="564"/>
      <c r="Q698" s="29">
        <v>0</v>
      </c>
      <c r="R698" s="29">
        <v>0</v>
      </c>
      <c r="S698" s="29">
        <v>0</v>
      </c>
      <c r="T698" s="539"/>
      <c r="U698" s="29">
        <v>0</v>
      </c>
      <c r="V698" s="29">
        <v>0</v>
      </c>
      <c r="W698" s="29">
        <v>0</v>
      </c>
      <c r="X698" s="29"/>
      <c r="Y698" s="541"/>
      <c r="Z698" s="501"/>
      <c r="AA698" s="738"/>
      <c r="AE698" s="744"/>
    </row>
    <row r="699" spans="1:31">
      <c r="A699" s="6"/>
      <c r="B699" s="58"/>
      <c r="C699" s="526" t="s">
        <v>388</v>
      </c>
      <c r="D699" s="58"/>
      <c r="E699" s="574"/>
      <c r="F699" s="58"/>
      <c r="G699" s="29"/>
      <c r="H699" s="58"/>
      <c r="I699" s="684"/>
      <c r="J699" s="538"/>
      <c r="K699" s="538"/>
      <c r="L699" s="538"/>
      <c r="M699" s="538"/>
      <c r="N699" s="538"/>
      <c r="O699" s="538"/>
      <c r="P699" s="564"/>
      <c r="Q699" s="538"/>
      <c r="R699" s="538"/>
      <c r="S699" s="538"/>
      <c r="T699" s="564"/>
      <c r="U699" s="64"/>
      <c r="V699" s="580"/>
      <c r="W699" s="538"/>
      <c r="X699" s="599"/>
      <c r="Y699" s="541"/>
      <c r="Z699" s="501"/>
      <c r="AA699" s="738"/>
      <c r="AE699" s="744"/>
    </row>
    <row r="700" spans="1:31">
      <c r="A700" s="6">
        <f>MAX(A$681:A699)+1</f>
        <v>320</v>
      </c>
      <c r="B700" s="58"/>
      <c r="C700" s="697" t="s">
        <v>389</v>
      </c>
      <c r="D700" s="58"/>
      <c r="E700" s="522" t="s">
        <v>331</v>
      </c>
      <c r="F700" s="58"/>
      <c r="G700" s="29">
        <v>6433273.9199999999</v>
      </c>
      <c r="H700" s="58"/>
      <c r="I700" s="29">
        <v>0</v>
      </c>
      <c r="J700" s="29">
        <v>0</v>
      </c>
      <c r="K700" s="29"/>
      <c r="L700" s="29">
        <v>0</v>
      </c>
      <c r="M700" s="29">
        <v>0</v>
      </c>
      <c r="N700" s="29">
        <v>0</v>
      </c>
      <c r="O700" s="29">
        <v>0</v>
      </c>
      <c r="P700" s="564"/>
      <c r="Q700" s="29">
        <v>0</v>
      </c>
      <c r="R700" s="29">
        <v>0</v>
      </c>
      <c r="S700" s="29">
        <v>0</v>
      </c>
      <c r="T700" s="539"/>
      <c r="U700" s="29">
        <v>0</v>
      </c>
      <c r="V700" s="29">
        <v>0</v>
      </c>
      <c r="W700" s="29">
        <v>0</v>
      </c>
      <c r="X700" s="29"/>
      <c r="Y700" s="541"/>
      <c r="Z700" s="501"/>
      <c r="AA700" s="738"/>
      <c r="AE700" s="744"/>
    </row>
    <row r="701" spans="1:31">
      <c r="A701" s="6"/>
      <c r="B701" s="58"/>
      <c r="C701" s="697"/>
      <c r="D701" s="58"/>
      <c r="E701" s="522"/>
      <c r="F701" s="58"/>
      <c r="G701" s="29"/>
      <c r="H701" s="58"/>
      <c r="I701" s="29"/>
      <c r="J701" s="29"/>
      <c r="K701" s="29"/>
      <c r="L701" s="29"/>
      <c r="M701" s="29"/>
      <c r="N701" s="29"/>
      <c r="O701" s="29"/>
      <c r="P701" s="564"/>
      <c r="Q701" s="29"/>
      <c r="R701" s="29"/>
      <c r="S701" s="29"/>
      <c r="T701" s="539"/>
      <c r="U701" s="29"/>
      <c r="V701" s="29"/>
      <c r="W701" s="29"/>
      <c r="X701" s="29"/>
      <c r="Y701" s="541"/>
      <c r="Z701" s="501"/>
      <c r="AA701" s="738"/>
      <c r="AE701" s="744"/>
    </row>
    <row r="702" spans="1:31">
      <c r="A702" s="6">
        <f>MAX(A$681:A701)+1</f>
        <v>321</v>
      </c>
      <c r="C702" s="12" t="s">
        <v>390</v>
      </c>
      <c r="E702" s="522" t="s">
        <v>331</v>
      </c>
      <c r="G702" s="29">
        <v>0</v>
      </c>
      <c r="I702" s="699">
        <v>4.1900000000000001E-3</v>
      </c>
      <c r="J702" s="29">
        <v>151.98647672000001</v>
      </c>
      <c r="K702" s="538"/>
      <c r="L702" s="29">
        <v>0</v>
      </c>
      <c r="M702" s="29">
        <v>58.760979199992988</v>
      </c>
      <c r="N702" s="29">
        <v>93.225497520007025</v>
      </c>
      <c r="O702" s="29">
        <f>J702-L702-M702-N702</f>
        <v>0</v>
      </c>
      <c r="P702" s="64"/>
      <c r="Q702" s="29">
        <v>0</v>
      </c>
      <c r="R702" s="29">
        <v>71.705721143903546</v>
      </c>
      <c r="S702" s="29">
        <v>92.714468905900361</v>
      </c>
      <c r="T702" s="64"/>
      <c r="U702" s="64">
        <f>SUM(Q702:S702)</f>
        <v>164.42019004980392</v>
      </c>
      <c r="V702" s="699">
        <v>4.8100636621914127E-3</v>
      </c>
      <c r="W702" s="538">
        <f>U702-J702</f>
        <v>12.433713329803908</v>
      </c>
      <c r="X702" s="599">
        <f>IFERROR(V702/I702-1,"-")</f>
        <v>0.14798655422229423</v>
      </c>
      <c r="Y702" s="541"/>
      <c r="Z702" s="501"/>
      <c r="AA702" s="738"/>
      <c r="AC702" s="738"/>
      <c r="AE702" s="744"/>
    </row>
    <row r="703" spans="1:31">
      <c r="A703" s="6"/>
      <c r="B703" s="58"/>
      <c r="D703" s="58"/>
      <c r="E703" s="30"/>
      <c r="F703" s="58"/>
      <c r="G703" s="29"/>
      <c r="H703" s="58"/>
      <c r="I703" s="58"/>
      <c r="J703" s="538"/>
      <c r="K703" s="538"/>
      <c r="L703" s="538"/>
      <c r="M703" s="538"/>
      <c r="N703" s="538"/>
      <c r="O703" s="29"/>
      <c r="P703" s="564"/>
      <c r="Q703" s="538"/>
      <c r="R703" s="538"/>
      <c r="S703" s="538"/>
      <c r="T703" s="564"/>
      <c r="U703" s="564"/>
      <c r="V703" s="565"/>
      <c r="W703" s="538"/>
      <c r="X703" s="599"/>
      <c r="Y703" s="541"/>
      <c r="Z703" s="501"/>
      <c r="AA703" s="738"/>
      <c r="AC703" s="738"/>
      <c r="AE703" s="744"/>
    </row>
    <row r="704" spans="1:31">
      <c r="A704" s="6">
        <f>MAX(A$681:A703)+1</f>
        <v>322</v>
      </c>
      <c r="B704" s="58"/>
      <c r="C704" s="10" t="s">
        <v>391</v>
      </c>
      <c r="D704" s="58"/>
      <c r="E704" s="522"/>
      <c r="F704" s="58"/>
      <c r="G704" s="411">
        <f>G689</f>
        <v>249200.14546999999</v>
      </c>
      <c r="H704" s="58"/>
      <c r="I704" s="556">
        <f>J704/G704*100</f>
        <v>6.0989722310694612E-2</v>
      </c>
      <c r="J704" s="555">
        <f t="shared" ref="J704" si="296">SUM(J702:J703)</f>
        <v>151.98647672000001</v>
      </c>
      <c r="K704" s="538"/>
      <c r="L704" s="555">
        <f>SUM(L702:L703)</f>
        <v>0</v>
      </c>
      <c r="M704" s="555">
        <f t="shared" ref="M704:O704" si="297">SUM(M702:M703)</f>
        <v>58.760979199992988</v>
      </c>
      <c r="N704" s="555">
        <f t="shared" si="297"/>
        <v>93.225497520007025</v>
      </c>
      <c r="O704" s="555">
        <f t="shared" si="297"/>
        <v>0</v>
      </c>
      <c r="P704" s="564"/>
      <c r="Q704" s="619">
        <f>SUM(Q702:Q703)</f>
        <v>0</v>
      </c>
      <c r="R704" s="619">
        <f t="shared" ref="R704:S704" si="298">SUM(R702:R703)</f>
        <v>71.705721143903546</v>
      </c>
      <c r="S704" s="619">
        <f t="shared" si="298"/>
        <v>92.714468905900361</v>
      </c>
      <c r="T704" s="564"/>
      <c r="U704" s="619">
        <f>SUM(U702)</f>
        <v>164.42019004980392</v>
      </c>
      <c r="V704" s="592">
        <f>U704/G704*100</f>
        <v>6.5979170975081824E-2</v>
      </c>
      <c r="W704" s="555">
        <f>SUM(W693:W702)</f>
        <v>12.433713329803908</v>
      </c>
      <c r="X704" s="609">
        <f>V704/I704-1</f>
        <v>8.1808023964593524E-2</v>
      </c>
      <c r="Y704" s="541"/>
      <c r="Z704" s="501"/>
      <c r="AA704" s="738"/>
      <c r="AC704" s="738"/>
      <c r="AE704" s="744"/>
    </row>
    <row r="705" spans="1:31">
      <c r="A705" s="6"/>
      <c r="B705" s="58"/>
      <c r="C705" s="10"/>
      <c r="D705" s="58"/>
      <c r="E705" s="30"/>
      <c r="F705" s="58"/>
      <c r="G705" s="29"/>
      <c r="H705" s="58"/>
      <c r="I705" s="58"/>
      <c r="J705" s="538"/>
      <c r="K705" s="538"/>
      <c r="L705" s="538"/>
      <c r="M705" s="538"/>
      <c r="N705" s="538"/>
      <c r="O705" s="538"/>
      <c r="P705" s="564"/>
      <c r="Q705" s="538"/>
      <c r="R705" s="538"/>
      <c r="S705" s="538"/>
      <c r="T705" s="564"/>
      <c r="U705" s="564"/>
      <c r="V705" s="565"/>
      <c r="W705" s="538"/>
      <c r="X705" s="605"/>
      <c r="Y705" s="501"/>
      <c r="Z705" s="501"/>
      <c r="AA705" s="738"/>
      <c r="AE705" s="744"/>
    </row>
    <row r="706" spans="1:31">
      <c r="A706" s="6">
        <f>MAX(A$681:A705)+1</f>
        <v>323</v>
      </c>
      <c r="B706" s="58"/>
      <c r="C706" s="10" t="s">
        <v>396</v>
      </c>
      <c r="D706" s="58"/>
      <c r="E706" s="30"/>
      <c r="F706" s="58"/>
      <c r="G706" s="132"/>
      <c r="H706" s="58"/>
      <c r="I706" s="58"/>
      <c r="J706" s="538"/>
      <c r="K706" s="538"/>
      <c r="L706" s="538"/>
      <c r="M706" s="538"/>
      <c r="N706" s="538"/>
      <c r="O706" s="538"/>
      <c r="P706" s="564"/>
      <c r="Q706" s="538"/>
      <c r="R706" s="538"/>
      <c r="S706" s="538"/>
      <c r="T706" s="564"/>
      <c r="U706" s="564"/>
      <c r="V706" s="565"/>
      <c r="W706" s="538"/>
      <c r="X706" s="605"/>
      <c r="Y706" s="501"/>
      <c r="Z706" s="501"/>
      <c r="AA706" s="738"/>
      <c r="AE706" s="744"/>
    </row>
    <row r="707" spans="1:31" ht="12.95" thickBot="1">
      <c r="A707" s="6"/>
      <c r="B707" s="58"/>
      <c r="C707" s="10"/>
      <c r="D707" s="58"/>
      <c r="E707" s="30"/>
      <c r="F707" s="58"/>
      <c r="G707" s="439">
        <f>G689</f>
        <v>249200.14546999999</v>
      </c>
      <c r="H707" s="58"/>
      <c r="I707" s="572">
        <f>J707/G707*100</f>
        <v>0.15202203267167702</v>
      </c>
      <c r="J707" s="628">
        <f>J689+J704</f>
        <v>378.83912656427003</v>
      </c>
      <c r="K707" s="564"/>
      <c r="L707" s="628">
        <f>L689+L704</f>
        <v>10.217205964270001</v>
      </c>
      <c r="M707" s="628">
        <f>M689+M704</f>
        <v>163.59611982924099</v>
      </c>
      <c r="N707" s="628">
        <f>N689+N704</f>
        <v>205.02580077075902</v>
      </c>
      <c r="O707" s="628">
        <f>O689+O704</f>
        <v>0</v>
      </c>
      <c r="P707" s="564"/>
      <c r="Q707" s="628">
        <f>Q689+Q704</f>
        <v>9.5773387864319055</v>
      </c>
      <c r="R707" s="628">
        <f>R689+R704</f>
        <v>199.63550486070835</v>
      </c>
      <c r="S707" s="628">
        <f>S689+S704</f>
        <v>203.90192314488201</v>
      </c>
      <c r="T707" s="564"/>
      <c r="U707" s="628">
        <f>U689+U704</f>
        <v>413.11476679202229</v>
      </c>
      <c r="V707" s="590">
        <f>U707/G707*100</f>
        <v>0.16577629439696906</v>
      </c>
      <c r="W707" s="628">
        <f>W689+W704</f>
        <v>34.275640227752284</v>
      </c>
      <c r="X707" s="799">
        <f>V707/I707-1</f>
        <v>9.0475449404082253E-2</v>
      </c>
      <c r="Y707" s="630"/>
      <c r="Z707" s="501"/>
      <c r="AA707" s="738"/>
      <c r="AC707" s="738"/>
      <c r="AE707" s="744"/>
    </row>
    <row r="708" spans="1:31" ht="12.95" thickTop="1">
      <c r="A708" s="6"/>
      <c r="B708" s="58"/>
      <c r="C708" s="10"/>
      <c r="D708" s="58"/>
      <c r="E708" s="30"/>
      <c r="F708" s="58"/>
      <c r="G708" s="132"/>
      <c r="H708" s="58"/>
      <c r="I708" s="548"/>
      <c r="J708" s="564"/>
      <c r="K708" s="564"/>
      <c r="L708" s="564"/>
      <c r="M708" s="564"/>
      <c r="N708" s="564"/>
      <c r="O708" s="564"/>
      <c r="P708" s="564"/>
      <c r="Q708" s="564"/>
      <c r="R708" s="564"/>
      <c r="S708" s="564"/>
      <c r="T708" s="564"/>
      <c r="U708" s="564"/>
      <c r="V708" s="564"/>
      <c r="W708" s="564"/>
      <c r="X708" s="783"/>
      <c r="Y708" s="630"/>
      <c r="Z708" s="501"/>
      <c r="AE708" s="744"/>
    </row>
    <row r="709" spans="1:31" ht="13.5" thickBot="1">
      <c r="A709" s="6">
        <f>MAX(A$681:A708)+1</f>
        <v>324</v>
      </c>
      <c r="B709" s="58"/>
      <c r="C709" s="501" t="s">
        <v>156</v>
      </c>
      <c r="D709" s="58"/>
      <c r="E709" s="128"/>
      <c r="F709" s="58"/>
      <c r="G709" s="575"/>
      <c r="H709" s="58"/>
      <c r="I709" s="58"/>
      <c r="J709" s="439">
        <f>J33+J57+J85+J106+J137+J146+J188+J213+J246+J266+J307+J336+J388+J404+J442+J459+J487+J516+J548+J566+J589+J623+J668+J707</f>
        <v>3115357.1241047904</v>
      </c>
      <c r="K709" s="539"/>
      <c r="L709" s="439">
        <f t="shared" ref="L709:U709" si="299">L33+L57+L85+L106+L137+L146+L188+L213+L246+L266+L307+L336+L388+L404+L442+L459+L487+L516+L548+L566+L589+L623+L668+L707</f>
        <v>4279.0945088308627</v>
      </c>
      <c r="M709" s="439">
        <f t="shared" si="299"/>
        <v>38156.803959081393</v>
      </c>
      <c r="N709" s="439">
        <f t="shared" si="299"/>
        <v>20462.561851652143</v>
      </c>
      <c r="O709" s="439">
        <f t="shared" si="299"/>
        <v>3052458.6637852257</v>
      </c>
      <c r="P709" s="539"/>
      <c r="Q709" s="627">
        <f t="shared" si="299"/>
        <v>3884.1941707516062</v>
      </c>
      <c r="R709" s="627">
        <f t="shared" si="299"/>
        <v>42874.998378134667</v>
      </c>
      <c r="S709" s="439">
        <f t="shared" si="299"/>
        <v>19261.161824881954</v>
      </c>
      <c r="T709" s="539">
        <f t="shared" si="299"/>
        <v>0</v>
      </c>
      <c r="U709" s="439">
        <f t="shared" si="299"/>
        <v>3118479.0181589941</v>
      </c>
      <c r="V709" s="539"/>
      <c r="W709" s="439">
        <f>W33+W57+W85+W106+W137+W146+W188+W213+W246+W266+W307+W336+W388+W404+W442+W459+W487+W516+W548+W566+W589+W623+W668+W707</f>
        <v>3121.8940542039777</v>
      </c>
      <c r="X709" s="522"/>
      <c r="Y709" s="501"/>
      <c r="Z709" s="501"/>
      <c r="AA709" s="738"/>
      <c r="AC709" s="738"/>
      <c r="AE709" s="744"/>
    </row>
    <row r="710" spans="1:31" ht="13.5" thickTop="1">
      <c r="A710" s="6"/>
      <c r="B710" s="58"/>
      <c r="C710" s="501"/>
      <c r="D710" s="58"/>
      <c r="E710" s="128"/>
      <c r="F710" s="58"/>
      <c r="G710" s="575"/>
      <c r="H710" s="58"/>
      <c r="I710" s="58"/>
      <c r="J710" s="539"/>
      <c r="K710" s="539"/>
      <c r="L710" s="539"/>
      <c r="M710" s="539"/>
      <c r="N710" s="539"/>
      <c r="O710" s="539"/>
      <c r="P710" s="539"/>
      <c r="Q710" s="539"/>
      <c r="R710" s="539"/>
      <c r="S710" s="539"/>
      <c r="T710" s="539"/>
      <c r="U710" s="539"/>
      <c r="V710" s="564"/>
      <c r="W710" s="564"/>
      <c r="X710" s="522"/>
      <c r="Y710" s="501"/>
      <c r="Z710" s="501"/>
      <c r="AA710" s="738"/>
      <c r="AC710" s="738"/>
    </row>
    <row r="711" spans="1:31">
      <c r="J711" s="501"/>
      <c r="K711" s="501"/>
      <c r="L711" s="2"/>
      <c r="M711" s="2"/>
      <c r="N711" s="501"/>
      <c r="O711" s="501"/>
      <c r="Q711" s="501"/>
      <c r="R711" s="501"/>
      <c r="S711" s="501"/>
      <c r="W711" s="501"/>
      <c r="X711" s="535"/>
      <c r="Y711" s="501"/>
      <c r="Z711" s="501"/>
      <c r="AA711" s="738"/>
      <c r="AC711" s="738"/>
    </row>
    <row r="712" spans="1:31">
      <c r="J712" s="501"/>
      <c r="K712" s="501"/>
      <c r="L712" s="2"/>
      <c r="M712" s="2"/>
      <c r="N712" s="501"/>
      <c r="O712" s="501"/>
      <c r="Q712" s="501"/>
      <c r="R712" s="501"/>
      <c r="S712" s="501"/>
      <c r="W712" s="501"/>
      <c r="X712" s="522"/>
      <c r="Y712" s="501"/>
      <c r="Z712" s="534"/>
      <c r="AA712" s="738"/>
      <c r="AC712" s="738"/>
    </row>
    <row r="713" spans="1:31">
      <c r="J713" s="501"/>
      <c r="K713" s="501"/>
      <c r="L713" s="2"/>
      <c r="M713" s="2"/>
      <c r="N713" s="501"/>
      <c r="O713" s="501"/>
      <c r="Q713" s="501"/>
      <c r="R713" s="501"/>
      <c r="S713" s="501"/>
      <c r="W713" s="538"/>
      <c r="X713" s="535"/>
      <c r="Y713" s="501"/>
      <c r="Z713" s="534"/>
      <c r="AA713" s="738"/>
      <c r="AC713" s="738"/>
    </row>
    <row r="714" spans="1:31">
      <c r="A714" s="1156" t="s">
        <v>279</v>
      </c>
      <c r="B714" s="1156"/>
      <c r="C714" s="1156"/>
      <c r="D714" s="1156"/>
      <c r="E714" s="1156"/>
      <c r="F714" s="1156"/>
      <c r="G714" s="1156"/>
      <c r="H714" s="1156"/>
      <c r="I714" s="1156"/>
      <c r="J714" s="1156"/>
      <c r="K714" s="1156"/>
      <c r="L714" s="1156"/>
      <c r="M714" s="1156"/>
      <c r="N714" s="1156"/>
      <c r="O714" s="1156"/>
      <c r="P714" s="1156"/>
      <c r="Q714" s="1156"/>
      <c r="R714" s="1156"/>
      <c r="S714" s="1156"/>
      <c r="T714" s="1156"/>
      <c r="U714" s="1156"/>
      <c r="V714" s="1156"/>
      <c r="W714" s="1156"/>
      <c r="X714" s="1156"/>
      <c r="Y714" s="779"/>
      <c r="Z714" s="501"/>
    </row>
    <row r="715" spans="1:31">
      <c r="A715" s="1156" t="s">
        <v>499</v>
      </c>
      <c r="B715" s="1156"/>
      <c r="C715" s="1156"/>
      <c r="D715" s="1156"/>
      <c r="E715" s="1156"/>
      <c r="F715" s="1156"/>
      <c r="G715" s="1156"/>
      <c r="H715" s="1156"/>
      <c r="I715" s="1156"/>
      <c r="J715" s="1156"/>
      <c r="K715" s="1156"/>
      <c r="L715" s="1156"/>
      <c r="M715" s="1156"/>
      <c r="N715" s="1156"/>
      <c r="O715" s="1156"/>
      <c r="P715" s="1156"/>
      <c r="Q715" s="1156"/>
      <c r="R715" s="1156"/>
      <c r="S715" s="1156"/>
      <c r="T715" s="1156"/>
      <c r="U715" s="1156"/>
      <c r="V715" s="1156"/>
      <c r="W715" s="1156"/>
      <c r="X715" s="1156"/>
      <c r="Y715" s="713"/>
      <c r="Z715" s="713"/>
    </row>
    <row r="716" spans="1:31">
      <c r="A716" s="57"/>
      <c r="B716" s="57"/>
      <c r="C716" s="57"/>
      <c r="D716" s="57"/>
      <c r="E716" s="3"/>
      <c r="F716" s="57"/>
      <c r="G716" s="3"/>
      <c r="H716" s="57"/>
      <c r="I716" s="57"/>
      <c r="J716" s="501"/>
      <c r="K716" s="501"/>
      <c r="L716" s="4"/>
      <c r="M716" s="4"/>
      <c r="N716" s="501"/>
      <c r="O716" s="501"/>
      <c r="P716" s="57"/>
      <c r="Q716" s="501"/>
      <c r="R716" s="501"/>
      <c r="S716" s="501"/>
      <c r="T716" s="57"/>
      <c r="U716" s="57"/>
      <c r="V716" s="57"/>
      <c r="W716" s="501"/>
      <c r="X716" s="522"/>
      <c r="Y716" s="501"/>
      <c r="Z716" s="501"/>
    </row>
    <row r="717" spans="1:31">
      <c r="A717" s="3"/>
      <c r="B717" s="3"/>
      <c r="C717" s="3"/>
      <c r="D717" s="3"/>
      <c r="E717" s="58"/>
      <c r="F717" s="58"/>
      <c r="G717" s="1152" t="s">
        <v>231</v>
      </c>
      <c r="H717" s="1152"/>
      <c r="I717" s="1152"/>
      <c r="J717" s="1152"/>
      <c r="K717" s="58"/>
      <c r="L717" s="1152" t="s">
        <v>94</v>
      </c>
      <c r="M717" s="1152"/>
      <c r="N717" s="1152"/>
      <c r="O717" s="58"/>
      <c r="P717" s="3"/>
      <c r="Q717" s="1152" t="s">
        <v>95</v>
      </c>
      <c r="R717" s="1152"/>
      <c r="S717" s="1152"/>
      <c r="T717" s="3"/>
      <c r="U717" s="1152" t="s">
        <v>232</v>
      </c>
      <c r="V717" s="1152"/>
      <c r="W717" s="1152"/>
      <c r="X717" s="1152"/>
      <c r="Y717" s="6"/>
      <c r="Z717" s="501"/>
    </row>
    <row r="718" spans="1:31" ht="37.5">
      <c r="A718" s="5" t="s">
        <v>56</v>
      </c>
      <c r="B718" s="5"/>
      <c r="C718" s="5"/>
      <c r="D718" s="5"/>
      <c r="E718" s="6" t="s">
        <v>233</v>
      </c>
      <c r="F718" s="5"/>
      <c r="G718" s="17" t="s">
        <v>234</v>
      </c>
      <c r="H718" s="5"/>
      <c r="I718" s="17" t="s">
        <v>235</v>
      </c>
      <c r="J718" s="5" t="s">
        <v>101</v>
      </c>
      <c r="K718" s="5"/>
      <c r="L718" s="5" t="s">
        <v>491</v>
      </c>
      <c r="M718" s="5" t="s">
        <v>492</v>
      </c>
      <c r="N718" s="5" t="s">
        <v>493</v>
      </c>
      <c r="O718" s="5" t="s">
        <v>239</v>
      </c>
      <c r="P718" s="5"/>
      <c r="Q718" s="5" t="s">
        <v>491</v>
      </c>
      <c r="R718" s="5" t="s">
        <v>492</v>
      </c>
      <c r="S718" s="5" t="s">
        <v>493</v>
      </c>
      <c r="T718" s="5"/>
      <c r="U718" s="17" t="s">
        <v>113</v>
      </c>
      <c r="V718" s="17" t="s">
        <v>242</v>
      </c>
      <c r="W718" s="17" t="s">
        <v>243</v>
      </c>
      <c r="X718" s="5" t="s">
        <v>244</v>
      </c>
      <c r="Y718" s="5"/>
      <c r="Z718" s="501"/>
    </row>
    <row r="719" spans="1:31">
      <c r="A719" s="237" t="s">
        <v>57</v>
      </c>
      <c r="B719" s="58"/>
      <c r="C719" s="59" t="s">
        <v>194</v>
      </c>
      <c r="D719" s="58"/>
      <c r="E719" s="237" t="s">
        <v>245</v>
      </c>
      <c r="F719" s="58"/>
      <c r="G719" s="237" t="s">
        <v>246</v>
      </c>
      <c r="H719" s="58"/>
      <c r="I719" s="237" t="s">
        <v>397</v>
      </c>
      <c r="J719" s="237" t="s">
        <v>248</v>
      </c>
      <c r="K719" s="6"/>
      <c r="L719" s="237" t="s">
        <v>248</v>
      </c>
      <c r="M719" s="237" t="s">
        <v>248</v>
      </c>
      <c r="N719" s="237" t="s">
        <v>248</v>
      </c>
      <c r="O719" s="237" t="s">
        <v>248</v>
      </c>
      <c r="P719" s="58"/>
      <c r="Q719" s="237" t="s">
        <v>248</v>
      </c>
      <c r="R719" s="237" t="s">
        <v>248</v>
      </c>
      <c r="S719" s="237" t="s">
        <v>248</v>
      </c>
      <c r="T719" s="58"/>
      <c r="U719" s="237" t="s">
        <v>248</v>
      </c>
      <c r="V719" s="237" t="s">
        <v>397</v>
      </c>
      <c r="W719" s="237" t="s">
        <v>248</v>
      </c>
      <c r="X719" s="237" t="s">
        <v>249</v>
      </c>
      <c r="Y719" s="6"/>
      <c r="Z719" s="501"/>
    </row>
    <row r="720" spans="1:31">
      <c r="A720" s="6"/>
      <c r="B720" s="58"/>
      <c r="C720" s="58"/>
      <c r="D720" s="58"/>
      <c r="E720" s="6"/>
      <c r="F720" s="58"/>
      <c r="G720" s="6" t="s">
        <v>9</v>
      </c>
      <c r="H720" s="6"/>
      <c r="I720" s="6" t="s">
        <v>10</v>
      </c>
      <c r="J720" s="6" t="s">
        <v>58</v>
      </c>
      <c r="K720" s="6"/>
      <c r="L720" s="123" t="s">
        <v>12</v>
      </c>
      <c r="M720" s="123" t="s">
        <v>13</v>
      </c>
      <c r="N720" s="6" t="s">
        <v>115</v>
      </c>
      <c r="O720" s="6" t="s">
        <v>495</v>
      </c>
      <c r="P720" s="6"/>
      <c r="Q720" s="6" t="s">
        <v>210</v>
      </c>
      <c r="R720" s="6" t="s">
        <v>118</v>
      </c>
      <c r="S720" s="6" t="s">
        <v>119</v>
      </c>
      <c r="T720" s="6"/>
      <c r="U720" s="6" t="s">
        <v>496</v>
      </c>
      <c r="V720" s="6" t="s">
        <v>121</v>
      </c>
      <c r="W720" s="6" t="s">
        <v>497</v>
      </c>
      <c r="X720" s="6" t="s">
        <v>498</v>
      </c>
      <c r="Y720" s="501"/>
      <c r="Z720" s="501"/>
    </row>
    <row r="721" spans="1:31">
      <c r="A721" s="6"/>
      <c r="C721" s="652" t="s">
        <v>157</v>
      </c>
      <c r="E721" s="30"/>
      <c r="G721" s="29"/>
      <c r="J721" s="538"/>
      <c r="K721" s="538"/>
      <c r="L721" s="538"/>
      <c r="M721" s="538"/>
      <c r="N721" s="538"/>
      <c r="O721" s="538"/>
      <c r="P721" s="64"/>
      <c r="Q721" s="538"/>
      <c r="R721" s="538"/>
      <c r="S721" s="538"/>
      <c r="T721" s="64"/>
      <c r="U721" s="64"/>
      <c r="V721" s="64"/>
      <c r="W721" s="538"/>
      <c r="X721" s="605"/>
      <c r="Y721" s="501"/>
      <c r="Z721" s="501"/>
    </row>
    <row r="722" spans="1:31">
      <c r="A722" s="6"/>
      <c r="C722" s="9" t="s">
        <v>158</v>
      </c>
      <c r="E722" s="30"/>
      <c r="J722" s="538"/>
      <c r="K722" s="538"/>
      <c r="L722" s="538"/>
      <c r="M722" s="538"/>
      <c r="N722" s="538"/>
      <c r="O722" s="538"/>
      <c r="P722" s="64"/>
      <c r="Q722" s="538"/>
      <c r="R722" s="538"/>
      <c r="S722" s="538"/>
      <c r="T722" s="64"/>
      <c r="U722" s="64"/>
      <c r="V722" s="64"/>
      <c r="W722" s="538"/>
      <c r="X722" s="605"/>
      <c r="Y722" s="501"/>
      <c r="Z722" s="501"/>
    </row>
    <row r="723" spans="1:31">
      <c r="A723" s="6"/>
      <c r="B723" s="58"/>
      <c r="C723" s="521" t="s">
        <v>398</v>
      </c>
      <c r="D723" s="58"/>
      <c r="E723" s="30"/>
      <c r="F723" s="58"/>
      <c r="H723" s="58"/>
      <c r="I723" s="58"/>
      <c r="J723" s="538"/>
      <c r="K723" s="538"/>
      <c r="L723" s="538"/>
      <c r="M723" s="538"/>
      <c r="N723" s="538"/>
      <c r="O723" s="538"/>
      <c r="P723" s="564"/>
      <c r="Q723" s="538"/>
      <c r="R723" s="538"/>
      <c r="S723" s="538"/>
      <c r="T723" s="564"/>
      <c r="U723" s="564"/>
      <c r="V723" s="564"/>
      <c r="W723" s="538"/>
      <c r="X723" s="605"/>
      <c r="Y723" s="501"/>
      <c r="Z723" s="501"/>
    </row>
    <row r="724" spans="1:31">
      <c r="A724" s="6">
        <v>325</v>
      </c>
      <c r="B724" s="58"/>
      <c r="C724" s="705" t="s">
        <v>399</v>
      </c>
      <c r="D724" s="58"/>
      <c r="E724" s="522" t="s">
        <v>382</v>
      </c>
      <c r="F724" s="58"/>
      <c r="G724" s="29">
        <v>91095.48</v>
      </c>
      <c r="H724" s="58"/>
      <c r="I724" s="29">
        <v>0</v>
      </c>
      <c r="J724" s="29">
        <v>0</v>
      </c>
      <c r="K724" s="29"/>
      <c r="L724" s="29">
        <v>0</v>
      </c>
      <c r="M724" s="29">
        <v>0</v>
      </c>
      <c r="N724" s="29">
        <v>0</v>
      </c>
      <c r="O724" s="29">
        <v>0</v>
      </c>
      <c r="P724" s="564"/>
      <c r="Q724" s="29">
        <v>0</v>
      </c>
      <c r="R724" s="29">
        <v>0</v>
      </c>
      <c r="S724" s="29">
        <v>0</v>
      </c>
      <c r="T724" s="539"/>
      <c r="U724" s="29">
        <v>0</v>
      </c>
      <c r="V724" s="29">
        <v>0</v>
      </c>
      <c r="W724" s="29">
        <v>0</v>
      </c>
      <c r="X724" s="29"/>
      <c r="Y724" s="541"/>
      <c r="Z724" s="501"/>
      <c r="AA724" s="738"/>
      <c r="AE724" s="744"/>
    </row>
    <row r="725" spans="1:31">
      <c r="A725" s="1">
        <f>MAX(A$723:A724)+1</f>
        <v>326</v>
      </c>
      <c r="C725" s="705" t="s">
        <v>400</v>
      </c>
      <c r="E725" s="522" t="s">
        <v>331</v>
      </c>
      <c r="G725" s="564">
        <v>0</v>
      </c>
      <c r="I725" s="29">
        <v>0</v>
      </c>
      <c r="J725" s="29">
        <v>0</v>
      </c>
      <c r="K725" s="29"/>
      <c r="L725" s="29">
        <v>0</v>
      </c>
      <c r="M725" s="29">
        <v>0</v>
      </c>
      <c r="N725" s="29">
        <v>0</v>
      </c>
      <c r="O725" s="29">
        <v>0</v>
      </c>
      <c r="P725" s="564"/>
      <c r="Q725" s="29">
        <v>0</v>
      </c>
      <c r="R725" s="29">
        <v>0</v>
      </c>
      <c r="S725" s="29">
        <v>0</v>
      </c>
      <c r="T725" s="539"/>
      <c r="U725" s="29">
        <v>0</v>
      </c>
      <c r="V725" s="29">
        <v>0</v>
      </c>
      <c r="W725" s="29">
        <v>0</v>
      </c>
      <c r="X725" s="29"/>
      <c r="Y725" s="541"/>
      <c r="Z725" s="501"/>
    </row>
    <row r="726" spans="1:31">
      <c r="E726" s="30"/>
      <c r="G726" s="29"/>
      <c r="I726" s="759"/>
      <c r="J726" s="538"/>
      <c r="K726" s="538"/>
      <c r="L726" s="538"/>
      <c r="M726" s="538"/>
      <c r="N726" s="538"/>
      <c r="O726" s="538"/>
      <c r="P726" s="64"/>
      <c r="Q726" s="538"/>
      <c r="R726" s="538"/>
      <c r="S726" s="538"/>
      <c r="T726" s="64"/>
      <c r="U726" s="64"/>
      <c r="V726" s="64"/>
      <c r="W726" s="538"/>
      <c r="X726" s="605"/>
      <c r="Y726" s="501"/>
      <c r="Z726" s="501"/>
      <c r="AA726" s="563"/>
    </row>
    <row r="727" spans="1:31" ht="12.95" thickBot="1">
      <c r="A727" s="1">
        <f>MAX(A$723:A726)+1</f>
        <v>327</v>
      </c>
      <c r="C727" s="501" t="s">
        <v>401</v>
      </c>
      <c r="E727" s="30"/>
      <c r="G727" s="589">
        <f>G724+G725</f>
        <v>91095.48</v>
      </c>
      <c r="I727" s="710">
        <v>0</v>
      </c>
      <c r="J727" s="587">
        <f t="shared" ref="J727" si="300">SUM(J724:J726)</f>
        <v>0</v>
      </c>
      <c r="K727" s="538"/>
      <c r="L727" s="587">
        <f>SUM(L724:L726)</f>
        <v>0</v>
      </c>
      <c r="M727" s="587">
        <f t="shared" ref="M727:O727" si="301">SUM(M724:M726)</f>
        <v>0</v>
      </c>
      <c r="N727" s="587">
        <f t="shared" si="301"/>
        <v>0</v>
      </c>
      <c r="O727" s="587">
        <f t="shared" si="301"/>
        <v>0</v>
      </c>
      <c r="P727" s="538"/>
      <c r="Q727" s="587">
        <f>SUM(Q724:Q726)</f>
        <v>0</v>
      </c>
      <c r="R727" s="587">
        <f t="shared" ref="R727:S727" si="302">SUM(R724:R726)</f>
        <v>0</v>
      </c>
      <c r="S727" s="587">
        <f t="shared" si="302"/>
        <v>0</v>
      </c>
      <c r="T727" s="64"/>
      <c r="U727" s="710">
        <f>SUM(U724:U726)</f>
        <v>0</v>
      </c>
      <c r="V727" s="710">
        <v>0</v>
      </c>
      <c r="W727" s="587">
        <v>0</v>
      </c>
      <c r="X727" s="615"/>
      <c r="Y727" s="541"/>
      <c r="Z727" s="501"/>
      <c r="AA727" s="746"/>
    </row>
    <row r="728" spans="1:31" ht="12.95" thickTop="1">
      <c r="C728" s="12"/>
      <c r="E728" s="30"/>
      <c r="G728" s="29"/>
      <c r="J728" s="538"/>
      <c r="K728" s="538"/>
      <c r="L728" s="538"/>
      <c r="M728" s="538"/>
      <c r="N728" s="538"/>
      <c r="O728" s="538"/>
      <c r="P728" s="64"/>
      <c r="Q728" s="538"/>
      <c r="R728" s="538"/>
      <c r="S728" s="538"/>
      <c r="T728" s="64"/>
      <c r="U728" s="64"/>
      <c r="V728" s="64"/>
      <c r="W728" s="538"/>
      <c r="X728" s="605"/>
      <c r="Y728" s="501"/>
      <c r="Z728" s="501"/>
      <c r="AA728" s="563"/>
    </row>
    <row r="729" spans="1:31">
      <c r="B729" s="58"/>
      <c r="C729" s="9" t="s">
        <v>159</v>
      </c>
      <c r="D729" s="58"/>
      <c r="E729" s="30"/>
      <c r="F729" s="58"/>
      <c r="G729" s="29"/>
      <c r="H729" s="58"/>
      <c r="I729" s="58"/>
      <c r="J729" s="538"/>
      <c r="K729" s="538"/>
      <c r="L729" s="538"/>
      <c r="M729" s="538"/>
      <c r="N729" s="538"/>
      <c r="O729" s="538"/>
      <c r="P729" s="564"/>
      <c r="Q729" s="538"/>
      <c r="R729" s="538"/>
      <c r="S729" s="538"/>
      <c r="T729" s="564"/>
      <c r="U729" s="564"/>
      <c r="V729" s="564"/>
      <c r="W729" s="538"/>
      <c r="X729" s="605"/>
      <c r="Y729" s="501"/>
      <c r="Z729" s="501"/>
      <c r="AA729" s="563"/>
    </row>
    <row r="730" spans="1:31">
      <c r="A730" s="1">
        <f>MAX(A$723:A729)+1</f>
        <v>328</v>
      </c>
      <c r="C730" s="711" t="s">
        <v>402</v>
      </c>
      <c r="E730" s="522" t="s">
        <v>382</v>
      </c>
      <c r="G730" s="29">
        <v>1210000</v>
      </c>
      <c r="I730" s="29">
        <v>0</v>
      </c>
      <c r="J730" s="29">
        <v>0</v>
      </c>
      <c r="K730" s="29"/>
      <c r="L730" s="29">
        <v>0</v>
      </c>
      <c r="M730" s="29">
        <v>0</v>
      </c>
      <c r="N730" s="29">
        <v>0</v>
      </c>
      <c r="O730" s="29">
        <v>0</v>
      </c>
      <c r="P730" s="564"/>
      <c r="Q730" s="29">
        <v>0</v>
      </c>
      <c r="R730" s="29">
        <v>0</v>
      </c>
      <c r="S730" s="29">
        <v>0</v>
      </c>
      <c r="T730" s="539"/>
      <c r="U730" s="29">
        <v>0</v>
      </c>
      <c r="V730" s="29">
        <v>0</v>
      </c>
      <c r="W730" s="29">
        <v>0</v>
      </c>
      <c r="X730" s="29"/>
      <c r="Y730" s="541"/>
      <c r="Z730" s="501"/>
      <c r="AA730" s="746"/>
      <c r="AE730" s="744"/>
    </row>
    <row r="731" spans="1:31">
      <c r="B731" s="58"/>
      <c r="C731" s="521"/>
      <c r="D731" s="58"/>
      <c r="E731" s="574"/>
      <c r="F731" s="58"/>
      <c r="G731" s="29"/>
      <c r="H731" s="58"/>
      <c r="I731" s="58"/>
      <c r="J731" s="538"/>
      <c r="K731" s="538"/>
      <c r="L731" s="538"/>
      <c r="M731" s="538"/>
      <c r="N731" s="538"/>
      <c r="O731" s="538"/>
      <c r="P731" s="564"/>
      <c r="Q731" s="538"/>
      <c r="R731" s="538"/>
      <c r="S731" s="538"/>
      <c r="T731" s="564"/>
      <c r="U731" s="564"/>
      <c r="V731" s="564"/>
      <c r="W731" s="538"/>
      <c r="X731" s="605"/>
      <c r="Y731" s="501"/>
      <c r="Z731" s="501"/>
      <c r="AA731" s="563"/>
    </row>
    <row r="732" spans="1:31" ht="12.95" thickBot="1">
      <c r="A732" s="1">
        <f>MAX(A$723:A731)+1</f>
        <v>329</v>
      </c>
      <c r="B732" s="58"/>
      <c r="C732" s="501" t="s">
        <v>403</v>
      </c>
      <c r="D732" s="58"/>
      <c r="E732" s="30"/>
      <c r="F732" s="58"/>
      <c r="G732" s="439">
        <f>G730</f>
        <v>1210000</v>
      </c>
      <c r="H732" s="58"/>
      <c r="I732" s="628">
        <v>0</v>
      </c>
      <c r="J732" s="587">
        <f>SUM(J730:J731)</f>
        <v>0</v>
      </c>
      <c r="K732" s="538"/>
      <c r="L732" s="587">
        <f>SUM(L730:L731)</f>
        <v>0</v>
      </c>
      <c r="M732" s="587">
        <f>SUM(M730:M731)</f>
        <v>0</v>
      </c>
      <c r="N732" s="587">
        <f>SUM(N730:N731)</f>
        <v>0</v>
      </c>
      <c r="O732" s="587">
        <f>SUM(O730:O731)</f>
        <v>0</v>
      </c>
      <c r="P732" s="538"/>
      <c r="Q732" s="628">
        <f>SUM(Q730:Q731)</f>
        <v>0</v>
      </c>
      <c r="R732" s="628">
        <f>SUM(R730:R731)</f>
        <v>0</v>
      </c>
      <c r="S732" s="628">
        <f>SUM(S730:S731)</f>
        <v>0</v>
      </c>
      <c r="T732" s="564"/>
      <c r="U732" s="628">
        <f>SUM(U730:U731)</f>
        <v>0</v>
      </c>
      <c r="V732" s="628">
        <f>V730</f>
        <v>0</v>
      </c>
      <c r="W732" s="587">
        <f>SUM(W730:W731)</f>
        <v>0</v>
      </c>
      <c r="X732" s="615"/>
      <c r="Y732" s="541"/>
      <c r="Z732" s="501"/>
      <c r="AA732" s="746"/>
    </row>
    <row r="733" spans="1:31" ht="12.95" thickTop="1">
      <c r="G733" s="129"/>
      <c r="J733" s="538"/>
      <c r="K733" s="538"/>
      <c r="L733" s="538"/>
      <c r="M733" s="538"/>
      <c r="N733" s="538"/>
      <c r="O733" s="538"/>
      <c r="P733" s="64"/>
      <c r="Q733" s="538"/>
      <c r="R733" s="538"/>
      <c r="S733" s="538"/>
      <c r="T733" s="64"/>
      <c r="U733" s="64"/>
      <c r="V733" s="64"/>
      <c r="W733" s="538"/>
      <c r="X733" s="605"/>
      <c r="Y733" s="501"/>
      <c r="Z733" s="501"/>
    </row>
    <row r="734" spans="1:31">
      <c r="B734" s="58"/>
      <c r="C734" s="713" t="s">
        <v>505</v>
      </c>
      <c r="D734" s="58"/>
      <c r="E734" s="30"/>
      <c r="F734" s="58"/>
      <c r="G734" s="29"/>
      <c r="H734" s="58"/>
      <c r="I734" s="58"/>
      <c r="J734" s="538"/>
      <c r="K734" s="538"/>
      <c r="L734" s="538"/>
      <c r="M734" s="538"/>
      <c r="N734" s="538"/>
      <c r="O734" s="538"/>
      <c r="P734" s="564"/>
      <c r="Q734" s="538"/>
      <c r="R734" s="538"/>
      <c r="S734" s="538"/>
      <c r="T734" s="564"/>
      <c r="U734" s="564"/>
      <c r="V734" s="564"/>
      <c r="W734" s="538"/>
      <c r="X734" s="605"/>
      <c r="Y734" s="501"/>
      <c r="Z734" s="501"/>
    </row>
    <row r="735" spans="1:31">
      <c r="A735" s="1">
        <f>MAX(A$723:A734)+1</f>
        <v>330</v>
      </c>
      <c r="B735" s="58"/>
      <c r="C735" s="521" t="s">
        <v>405</v>
      </c>
      <c r="D735" s="58"/>
      <c r="E735" s="30"/>
      <c r="F735" s="58"/>
      <c r="G735" s="29"/>
      <c r="H735" s="58"/>
      <c r="I735" s="58"/>
      <c r="J735" s="29">
        <v>0</v>
      </c>
      <c r="K735" s="29"/>
      <c r="L735" s="538"/>
      <c r="M735" s="538"/>
      <c r="N735" s="538"/>
      <c r="O735" s="29">
        <v>0</v>
      </c>
      <c r="P735" s="564"/>
      <c r="Q735" s="538"/>
      <c r="R735" s="538"/>
      <c r="S735" s="538"/>
      <c r="T735" s="564"/>
      <c r="U735" s="29">
        <v>0</v>
      </c>
      <c r="V735" s="564"/>
      <c r="W735" s="538">
        <v>0</v>
      </c>
      <c r="X735" s="605"/>
      <c r="Y735" s="501"/>
      <c r="Z735" s="501"/>
      <c r="AA735" s="746"/>
    </row>
    <row r="736" spans="1:31">
      <c r="B736" s="58"/>
      <c r="C736" s="10"/>
      <c r="D736" s="58"/>
      <c r="E736" s="30"/>
      <c r="F736" s="58"/>
      <c r="G736" s="132"/>
      <c r="H736" s="58"/>
      <c r="I736" s="58"/>
      <c r="J736" s="538"/>
      <c r="K736" s="538"/>
      <c r="L736" s="538"/>
      <c r="M736" s="538"/>
      <c r="N736" s="538"/>
      <c r="O736" s="538"/>
      <c r="P736" s="564"/>
      <c r="Q736" s="538"/>
      <c r="R736" s="538"/>
      <c r="S736" s="538"/>
      <c r="T736" s="564"/>
      <c r="U736" s="564"/>
      <c r="V736" s="564"/>
      <c r="W736" s="538"/>
      <c r="X736" s="605"/>
      <c r="Y736" s="501"/>
      <c r="Z736" s="501"/>
    </row>
    <row r="737" spans="1:46">
      <c r="B737" s="58"/>
      <c r="C737" s="9" t="s">
        <v>406</v>
      </c>
      <c r="D737" s="58"/>
      <c r="E737" s="574"/>
      <c r="F737" s="58"/>
      <c r="G737" s="132"/>
      <c r="H737" s="58"/>
      <c r="I737" s="58"/>
      <c r="J737" s="538"/>
      <c r="K737" s="538"/>
      <c r="L737" s="538"/>
      <c r="M737" s="538"/>
      <c r="N737" s="538"/>
      <c r="O737" s="538"/>
      <c r="P737" s="564"/>
      <c r="Q737" s="538"/>
      <c r="R737" s="538"/>
      <c r="S737" s="538"/>
      <c r="T737" s="564"/>
      <c r="U737" s="564"/>
      <c r="V737" s="564"/>
      <c r="W737" s="538"/>
      <c r="X737" s="605"/>
      <c r="Y737" s="501"/>
      <c r="Z737" s="501"/>
    </row>
    <row r="738" spans="1:46">
      <c r="B738" s="58"/>
      <c r="C738" s="10" t="s">
        <v>407</v>
      </c>
      <c r="D738" s="58"/>
      <c r="E738" s="501"/>
      <c r="F738" s="58"/>
      <c r="G738" s="132"/>
      <c r="H738" s="58"/>
      <c r="I738" s="564"/>
      <c r="J738" s="538"/>
      <c r="K738" s="538"/>
      <c r="L738" s="538"/>
      <c r="M738" s="538"/>
      <c r="N738" s="538"/>
      <c r="O738" s="538"/>
      <c r="P738" s="564"/>
      <c r="Q738" s="538"/>
      <c r="R738" s="538"/>
      <c r="S738" s="538"/>
      <c r="T738" s="564"/>
      <c r="U738" s="564"/>
      <c r="V738" s="564"/>
      <c r="W738" s="538"/>
      <c r="X738" s="605"/>
      <c r="Y738" s="501"/>
      <c r="Z738" s="501"/>
    </row>
    <row r="739" spans="1:46">
      <c r="A739" s="1">
        <f>MAX(A$723:A738)+1</f>
        <v>331</v>
      </c>
      <c r="B739" s="58"/>
      <c r="C739" s="526" t="s">
        <v>408</v>
      </c>
      <c r="D739" s="581"/>
      <c r="E739" s="522" t="s">
        <v>382</v>
      </c>
      <c r="F739" s="581"/>
      <c r="G739" s="29">
        <v>22020420</v>
      </c>
      <c r="H739" s="581"/>
      <c r="I739" s="29">
        <v>0</v>
      </c>
      <c r="J739" s="29">
        <v>0</v>
      </c>
      <c r="K739" s="538"/>
      <c r="L739" s="29">
        <v>0</v>
      </c>
      <c r="M739" s="29">
        <v>0</v>
      </c>
      <c r="N739" s="29">
        <v>0</v>
      </c>
      <c r="O739" s="29">
        <v>0</v>
      </c>
      <c r="P739" s="582"/>
      <c r="Q739" s="29">
        <v>0</v>
      </c>
      <c r="R739" s="29">
        <v>0</v>
      </c>
      <c r="S739" s="29">
        <v>0</v>
      </c>
      <c r="T739" s="538"/>
      <c r="U739" s="29">
        <v>0</v>
      </c>
      <c r="V739" s="29">
        <v>0</v>
      </c>
      <c r="W739" s="29">
        <v>0</v>
      </c>
      <c r="X739" s="599"/>
      <c r="Y739" s="501"/>
      <c r="Z739" s="501"/>
      <c r="AA739" s="252"/>
      <c r="AB739" s="252"/>
      <c r="AC739" s="252"/>
      <c r="AD739" s="252"/>
      <c r="AE739" s="252"/>
      <c r="AT739" s="600"/>
    </row>
    <row r="740" spans="1:46">
      <c r="A740" s="1">
        <f>MAX(A$723:A739)+1</f>
        <v>332</v>
      </c>
      <c r="C740" s="714" t="s">
        <v>409</v>
      </c>
      <c r="D740" s="57"/>
      <c r="E740" s="522" t="s">
        <v>382</v>
      </c>
      <c r="F740" s="57"/>
      <c r="G740" s="29">
        <v>5417148</v>
      </c>
      <c r="H740" s="57"/>
      <c r="I740" s="29">
        <v>0</v>
      </c>
      <c r="J740" s="29">
        <v>0</v>
      </c>
      <c r="K740" s="538"/>
      <c r="L740" s="29">
        <v>0</v>
      </c>
      <c r="M740" s="29">
        <v>0</v>
      </c>
      <c r="N740" s="29">
        <v>0</v>
      </c>
      <c r="O740" s="29">
        <v>0</v>
      </c>
      <c r="P740" s="583"/>
      <c r="Q740" s="29">
        <v>0</v>
      </c>
      <c r="R740" s="29">
        <v>0</v>
      </c>
      <c r="S740" s="29">
        <v>0</v>
      </c>
      <c r="T740" s="538"/>
      <c r="U740" s="29">
        <v>0</v>
      </c>
      <c r="V740" s="29">
        <v>0</v>
      </c>
      <c r="W740" s="29">
        <v>0</v>
      </c>
      <c r="X740" s="599"/>
      <c r="Y740" s="501"/>
      <c r="Z740" s="501"/>
      <c r="AA740" s="252"/>
      <c r="AB740" s="252"/>
      <c r="AC740" s="252"/>
      <c r="AD740" s="252"/>
      <c r="AE740" s="252"/>
      <c r="AT740" s="600"/>
    </row>
    <row r="741" spans="1:46">
      <c r="A741" s="1">
        <f>MAX(A$723:A740)+1</f>
        <v>333</v>
      </c>
      <c r="B741" s="581"/>
      <c r="C741" s="526" t="s">
        <v>410</v>
      </c>
      <c r="D741" s="58"/>
      <c r="E741" s="522" t="s">
        <v>382</v>
      </c>
      <c r="F741" s="58"/>
      <c r="G741" s="29">
        <v>594000</v>
      </c>
      <c r="H741" s="58"/>
      <c r="I741" s="29"/>
      <c r="J741" s="29"/>
      <c r="K741" s="538"/>
      <c r="L741" s="29">
        <v>0</v>
      </c>
      <c r="M741" s="29"/>
      <c r="N741" s="29">
        <v>0</v>
      </c>
      <c r="O741" s="29"/>
      <c r="P741" s="564"/>
      <c r="Q741" s="29">
        <v>0</v>
      </c>
      <c r="R741" s="29"/>
      <c r="S741" s="29">
        <v>0</v>
      </c>
      <c r="T741" s="538"/>
      <c r="U741" s="29"/>
      <c r="V741" s="29"/>
      <c r="W741" s="29"/>
      <c r="X741" s="501"/>
      <c r="Y741" s="541"/>
      <c r="Z741" s="501"/>
      <c r="AA741" s="738"/>
      <c r="AE741" s="764"/>
    </row>
    <row r="742" spans="1:46">
      <c r="A742" s="1">
        <f>MAX(A$723:A741)+1</f>
        <v>334</v>
      </c>
      <c r="B742" s="57"/>
      <c r="C742" s="714" t="s">
        <v>409</v>
      </c>
      <c r="E742" s="522" t="s">
        <v>382</v>
      </c>
      <c r="G742" s="29">
        <v>594000</v>
      </c>
      <c r="I742" s="29">
        <v>0</v>
      </c>
      <c r="J742" s="29">
        <v>0</v>
      </c>
      <c r="K742" s="538"/>
      <c r="L742" s="29">
        <v>0</v>
      </c>
      <c r="M742" s="29">
        <v>0</v>
      </c>
      <c r="N742" s="29">
        <v>0</v>
      </c>
      <c r="O742" s="29">
        <v>0</v>
      </c>
      <c r="P742" s="64"/>
      <c r="Q742" s="29">
        <v>0</v>
      </c>
      <c r="R742" s="29">
        <v>0</v>
      </c>
      <c r="S742" s="29">
        <v>0</v>
      </c>
      <c r="T742" s="538"/>
      <c r="U742" s="29">
        <v>0</v>
      </c>
      <c r="V742" s="29">
        <v>0</v>
      </c>
      <c r="W742" s="29">
        <v>0</v>
      </c>
      <c r="X742" s="501"/>
      <c r="Y742" s="541"/>
      <c r="Z742" s="501"/>
      <c r="AA742" s="738"/>
      <c r="AE742" s="764"/>
    </row>
    <row r="743" spans="1:46">
      <c r="B743" s="5"/>
      <c r="C743" s="12" t="s">
        <v>412</v>
      </c>
      <c r="D743" s="58"/>
      <c r="E743" s="522" t="s">
        <v>382</v>
      </c>
      <c r="F743" s="58"/>
      <c r="J743" s="501"/>
      <c r="K743" s="501"/>
      <c r="L743" s="501"/>
      <c r="M743" s="501"/>
      <c r="N743" s="501"/>
      <c r="O743" s="501"/>
      <c r="Q743" s="501"/>
      <c r="R743" s="501"/>
      <c r="S743" s="501"/>
      <c r="W743" s="501"/>
      <c r="X743" s="522"/>
      <c r="Y743" s="501"/>
      <c r="Z743" s="501"/>
      <c r="AA743" s="252"/>
      <c r="AB743" s="252"/>
      <c r="AC743" s="252"/>
      <c r="AD743" s="252"/>
      <c r="AE743" s="252"/>
      <c r="AT743" s="600"/>
    </row>
    <row r="744" spans="1:46">
      <c r="A744" s="1">
        <f>MAX(A$723:A743)+1</f>
        <v>335</v>
      </c>
      <c r="B744" s="58"/>
      <c r="C744" s="714" t="s">
        <v>413</v>
      </c>
      <c r="D744" s="5"/>
      <c r="E744" s="522" t="s">
        <v>382</v>
      </c>
      <c r="F744" s="5"/>
      <c r="G744" s="29">
        <v>654156</v>
      </c>
      <c r="H744" s="5"/>
      <c r="I744" s="29">
        <v>0</v>
      </c>
      <c r="J744" s="29">
        <v>0</v>
      </c>
      <c r="K744" s="538"/>
      <c r="L744" s="29">
        <v>0</v>
      </c>
      <c r="M744" s="29">
        <v>0</v>
      </c>
      <c r="N744" s="29">
        <v>0</v>
      </c>
      <c r="O744" s="29">
        <v>0</v>
      </c>
      <c r="P744" s="585"/>
      <c r="Q744" s="29">
        <v>0</v>
      </c>
      <c r="R744" s="29">
        <v>0</v>
      </c>
      <c r="S744" s="29">
        <v>0</v>
      </c>
      <c r="T744" s="538"/>
      <c r="U744" s="29">
        <v>0</v>
      </c>
      <c r="V744" s="29">
        <v>0</v>
      </c>
      <c r="W744" s="29">
        <v>0</v>
      </c>
      <c r="X744" s="501"/>
      <c r="Y744" s="501"/>
      <c r="Z744" s="501"/>
      <c r="AA744" s="252"/>
      <c r="AB744" s="252"/>
      <c r="AC744" s="252"/>
      <c r="AD744" s="252"/>
      <c r="AE744" s="252"/>
      <c r="AT744" s="600"/>
    </row>
    <row r="745" spans="1:46">
      <c r="A745" s="1">
        <f>MAX(A$723:A744)+1</f>
        <v>336</v>
      </c>
      <c r="B745" s="58"/>
      <c r="C745" s="526" t="s">
        <v>411</v>
      </c>
      <c r="D745" s="58"/>
      <c r="E745" s="6"/>
      <c r="F745" s="58"/>
      <c r="G745" s="29">
        <v>4604866</v>
      </c>
      <c r="H745" s="58"/>
      <c r="I745" s="29">
        <v>0</v>
      </c>
      <c r="J745" s="29">
        <v>0</v>
      </c>
      <c r="K745" s="538"/>
      <c r="L745" s="29">
        <v>0</v>
      </c>
      <c r="M745" s="29">
        <v>0</v>
      </c>
      <c r="N745" s="29">
        <v>0</v>
      </c>
      <c r="O745" s="29">
        <v>0</v>
      </c>
      <c r="P745" s="564"/>
      <c r="Q745" s="29">
        <v>0</v>
      </c>
      <c r="R745" s="29">
        <v>0</v>
      </c>
      <c r="S745" s="29">
        <v>0</v>
      </c>
      <c r="T745" s="538"/>
      <c r="U745" s="29">
        <v>0</v>
      </c>
      <c r="V745" s="29">
        <v>0</v>
      </c>
      <c r="W745" s="29">
        <v>0</v>
      </c>
      <c r="X745" s="599"/>
      <c r="Y745" s="541"/>
      <c r="Z745" s="501"/>
      <c r="AA745" s="738"/>
      <c r="AE745" s="764"/>
    </row>
    <row r="746" spans="1:46">
      <c r="B746" s="58"/>
      <c r="C746" s="714"/>
      <c r="D746" s="58"/>
      <c r="E746" s="6"/>
      <c r="F746" s="58"/>
      <c r="G746" s="6"/>
      <c r="H746" s="58"/>
      <c r="I746" s="564"/>
      <c r="J746" s="564"/>
      <c r="K746" s="538"/>
      <c r="L746" s="564"/>
      <c r="M746" s="564"/>
      <c r="N746" s="564"/>
      <c r="O746" s="564"/>
      <c r="P746" s="564"/>
      <c r="Q746" s="564"/>
      <c r="R746" s="564"/>
      <c r="S746" s="564"/>
      <c r="T746" s="538"/>
      <c r="U746" s="564"/>
      <c r="V746" s="564"/>
      <c r="W746" s="564"/>
      <c r="X746" s="501"/>
      <c r="Y746" s="541"/>
      <c r="Z746" s="501"/>
      <c r="AA746" s="738"/>
      <c r="AE746" s="764"/>
    </row>
    <row r="747" spans="1:46">
      <c r="B747" s="58"/>
      <c r="C747" s="526"/>
      <c r="D747" s="58"/>
      <c r="E747" s="6"/>
      <c r="F747" s="58"/>
      <c r="G747" s="6"/>
      <c r="H747" s="58"/>
      <c r="I747" s="564"/>
      <c r="J747" s="564"/>
      <c r="K747" s="538"/>
      <c r="L747" s="564"/>
      <c r="M747" s="564"/>
      <c r="N747" s="564"/>
      <c r="O747" s="564"/>
      <c r="P747" s="564"/>
      <c r="Q747" s="564"/>
      <c r="R747" s="564"/>
      <c r="S747" s="564"/>
      <c r="T747" s="538"/>
      <c r="U747" s="564"/>
      <c r="V747" s="564"/>
      <c r="W747" s="564"/>
      <c r="X747" s="599"/>
      <c r="Y747" s="541"/>
      <c r="Z747" s="501"/>
      <c r="AA747" s="738"/>
      <c r="AE747" s="764"/>
    </row>
    <row r="748" spans="1:46">
      <c r="B748" s="58"/>
      <c r="C748" s="521" t="s">
        <v>414</v>
      </c>
      <c r="D748" s="58"/>
      <c r="E748" s="574"/>
      <c r="F748" s="58"/>
      <c r="G748" s="132"/>
      <c r="H748" s="58"/>
      <c r="I748" s="564"/>
      <c r="J748" s="564"/>
      <c r="K748" s="538"/>
      <c r="L748" s="564"/>
      <c r="M748" s="564"/>
      <c r="N748" s="564"/>
      <c r="O748" s="564"/>
      <c r="P748" s="564"/>
      <c r="Q748" s="564"/>
      <c r="R748" s="564"/>
      <c r="S748" s="564"/>
      <c r="T748" s="538"/>
      <c r="U748" s="564"/>
      <c r="V748" s="564"/>
      <c r="W748" s="564"/>
      <c r="X748" s="599"/>
      <c r="Y748" s="541"/>
      <c r="Z748" s="501"/>
      <c r="AA748" s="738"/>
      <c r="AE748" s="764"/>
    </row>
    <row r="749" spans="1:46">
      <c r="A749" s="1">
        <f>MAX(A$723:A748)+1</f>
        <v>337</v>
      </c>
      <c r="B749" s="58"/>
      <c r="C749" s="526" t="s">
        <v>415</v>
      </c>
      <c r="D749" s="58"/>
      <c r="E749" s="522" t="s">
        <v>382</v>
      </c>
      <c r="F749" s="58"/>
      <c r="G749" s="29">
        <v>393912</v>
      </c>
      <c r="H749" s="58"/>
      <c r="I749" s="29">
        <v>0</v>
      </c>
      <c r="J749" s="29">
        <v>0</v>
      </c>
      <c r="K749" s="538"/>
      <c r="L749" s="29">
        <v>0</v>
      </c>
      <c r="M749" s="29">
        <v>0</v>
      </c>
      <c r="N749" s="29">
        <v>0</v>
      </c>
      <c r="O749" s="29">
        <v>0</v>
      </c>
      <c r="P749" s="564"/>
      <c r="Q749" s="29">
        <v>0</v>
      </c>
      <c r="R749" s="29">
        <v>0</v>
      </c>
      <c r="S749" s="29">
        <v>0</v>
      </c>
      <c r="T749" s="538"/>
      <c r="U749" s="29">
        <v>0</v>
      </c>
      <c r="V749" s="29">
        <v>0</v>
      </c>
      <c r="W749" s="29">
        <v>0</v>
      </c>
      <c r="X749" s="599"/>
      <c r="Y749" s="541"/>
      <c r="Z749" s="501"/>
      <c r="AA749" s="738"/>
      <c r="AE749" s="764"/>
    </row>
    <row r="750" spans="1:46">
      <c r="A750" s="1">
        <f>MAX(A$723:A749)+1</f>
        <v>338</v>
      </c>
      <c r="B750" s="58"/>
      <c r="C750" s="526" t="s">
        <v>410</v>
      </c>
      <c r="D750" s="58"/>
      <c r="E750" s="522" t="s">
        <v>382</v>
      </c>
      <c r="F750" s="58"/>
      <c r="G750" s="29">
        <v>0</v>
      </c>
      <c r="H750" s="29"/>
      <c r="I750" s="29">
        <v>0</v>
      </c>
      <c r="J750" s="29">
        <v>0</v>
      </c>
      <c r="K750" s="538"/>
      <c r="L750" s="29">
        <v>0</v>
      </c>
      <c r="M750" s="29">
        <v>0</v>
      </c>
      <c r="N750" s="29">
        <v>0</v>
      </c>
      <c r="O750" s="29">
        <v>0</v>
      </c>
      <c r="P750" s="564"/>
      <c r="Q750" s="29">
        <v>0</v>
      </c>
      <c r="R750" s="29">
        <v>0</v>
      </c>
      <c r="S750" s="29">
        <v>0</v>
      </c>
      <c r="T750" s="538"/>
      <c r="U750" s="29">
        <v>0</v>
      </c>
      <c r="V750" s="29">
        <v>0</v>
      </c>
      <c r="W750" s="29">
        <v>0</v>
      </c>
      <c r="X750" s="599"/>
      <c r="Y750" s="541"/>
      <c r="Z750" s="501"/>
      <c r="AA750" s="738"/>
      <c r="AE750" s="764"/>
    </row>
    <row r="751" spans="1:46">
      <c r="A751" s="1">
        <f>MAX(A$723:A750)+1</f>
        <v>339</v>
      </c>
      <c r="C751" s="526" t="s">
        <v>411</v>
      </c>
      <c r="E751" s="522" t="s">
        <v>382</v>
      </c>
      <c r="G751" s="29">
        <v>0</v>
      </c>
      <c r="I751" s="29">
        <v>0</v>
      </c>
      <c r="J751" s="29">
        <v>0</v>
      </c>
      <c r="K751" s="538"/>
      <c r="L751" s="29">
        <v>0</v>
      </c>
      <c r="M751" s="29">
        <v>0</v>
      </c>
      <c r="N751" s="29">
        <v>0</v>
      </c>
      <c r="O751" s="29">
        <v>0</v>
      </c>
      <c r="P751" s="564"/>
      <c r="Q751" s="29">
        <v>0</v>
      </c>
      <c r="R751" s="29">
        <v>0</v>
      </c>
      <c r="S751" s="29">
        <v>0</v>
      </c>
      <c r="T751" s="538"/>
      <c r="U751" s="29">
        <v>0</v>
      </c>
      <c r="V751" s="29">
        <v>0</v>
      </c>
      <c r="W751" s="29">
        <v>0</v>
      </c>
      <c r="X751" s="599"/>
      <c r="Y751" s="541"/>
      <c r="Z751" s="501"/>
      <c r="AA751" s="738"/>
      <c r="AE751" s="764"/>
    </row>
    <row r="752" spans="1:46">
      <c r="A752" s="1">
        <f>MAX(A$723:A751)+1</f>
        <v>340</v>
      </c>
      <c r="B752" s="58"/>
      <c r="C752" s="526" t="s">
        <v>416</v>
      </c>
      <c r="D752" s="58"/>
      <c r="E752" s="522" t="s">
        <v>382</v>
      </c>
      <c r="F752" s="58"/>
      <c r="G752" s="29">
        <v>12566292</v>
      </c>
      <c r="H752" s="58"/>
      <c r="I752" s="29">
        <v>0</v>
      </c>
      <c r="J752" s="29">
        <v>0</v>
      </c>
      <c r="K752" s="538"/>
      <c r="L752" s="29">
        <v>0</v>
      </c>
      <c r="M752" s="29">
        <v>0</v>
      </c>
      <c r="N752" s="29">
        <v>0</v>
      </c>
      <c r="O752" s="29">
        <v>0</v>
      </c>
      <c r="P752" s="564"/>
      <c r="Q752" s="29">
        <v>0</v>
      </c>
      <c r="R752" s="29">
        <v>0</v>
      </c>
      <c r="S752" s="29">
        <v>0</v>
      </c>
      <c r="T752" s="538"/>
      <c r="U752" s="29">
        <v>0</v>
      </c>
      <c r="V752" s="29">
        <v>0</v>
      </c>
      <c r="W752" s="29">
        <v>0</v>
      </c>
      <c r="X752" s="599"/>
      <c r="Y752" s="541"/>
      <c r="Z752" s="501"/>
      <c r="AA752" s="738"/>
      <c r="AE752" s="764"/>
    </row>
    <row r="753" spans="1:31">
      <c r="A753" s="1">
        <f>MAX(A$723:A752)+1</f>
        <v>341</v>
      </c>
      <c r="C753" s="526" t="s">
        <v>417</v>
      </c>
      <c r="E753" s="522" t="s">
        <v>382</v>
      </c>
      <c r="G753" s="29">
        <v>759948</v>
      </c>
      <c r="I753" s="29">
        <v>0</v>
      </c>
      <c r="J753" s="29">
        <v>0</v>
      </c>
      <c r="K753" s="538"/>
      <c r="L753" s="29">
        <v>0</v>
      </c>
      <c r="M753" s="29">
        <v>0</v>
      </c>
      <c r="N753" s="29">
        <v>0</v>
      </c>
      <c r="O753" s="29">
        <v>0</v>
      </c>
      <c r="P753" s="64"/>
      <c r="Q753" s="29">
        <v>0</v>
      </c>
      <c r="R753" s="29">
        <v>0</v>
      </c>
      <c r="S753" s="29">
        <v>0</v>
      </c>
      <c r="T753" s="538"/>
      <c r="U753" s="29">
        <v>0</v>
      </c>
      <c r="V753" s="29">
        <v>0</v>
      </c>
      <c r="W753" s="29">
        <v>0</v>
      </c>
      <c r="X753" s="599"/>
      <c r="Y753" s="541"/>
      <c r="Z753" s="501"/>
      <c r="AA753" s="738"/>
      <c r="AE753" s="764"/>
    </row>
    <row r="754" spans="1:31">
      <c r="A754" s="1">
        <f>MAX(A$723:A753)+1</f>
        <v>342</v>
      </c>
      <c r="B754" s="58"/>
      <c r="C754" s="526" t="s">
        <v>411</v>
      </c>
      <c r="D754" s="501"/>
      <c r="E754" s="522" t="s">
        <v>382</v>
      </c>
      <c r="F754" s="501"/>
      <c r="G754" s="29">
        <v>0</v>
      </c>
      <c r="I754" s="29">
        <v>0</v>
      </c>
      <c r="J754" s="29">
        <v>0</v>
      </c>
      <c r="K754" s="538"/>
      <c r="L754" s="29">
        <v>0</v>
      </c>
      <c r="M754" s="29">
        <v>0</v>
      </c>
      <c r="N754" s="29">
        <v>0</v>
      </c>
      <c r="O754" s="29">
        <v>0</v>
      </c>
      <c r="P754" s="564"/>
      <c r="Q754" s="29">
        <v>0</v>
      </c>
      <c r="R754" s="29">
        <v>0</v>
      </c>
      <c r="S754" s="29">
        <v>0</v>
      </c>
      <c r="T754" s="538"/>
      <c r="U754" s="29">
        <v>0</v>
      </c>
      <c r="V754" s="29">
        <v>0</v>
      </c>
      <c r="W754" s="29">
        <v>0</v>
      </c>
      <c r="X754" s="599"/>
      <c r="Y754" s="541"/>
      <c r="Z754" s="501"/>
      <c r="AE754" s="764"/>
    </row>
    <row r="755" spans="1:31">
      <c r="C755" s="521" t="s">
        <v>418</v>
      </c>
      <c r="E755" s="30"/>
      <c r="G755" s="29"/>
      <c r="I755" s="64"/>
      <c r="J755" s="538"/>
      <c r="K755" s="538"/>
      <c r="L755" s="538"/>
      <c r="M755" s="538"/>
      <c r="N755" s="538"/>
      <c r="O755" s="538"/>
      <c r="P755" s="64"/>
      <c r="Q755" s="538"/>
      <c r="R755" s="538"/>
      <c r="S755" s="538"/>
      <c r="T755" s="64"/>
      <c r="U755" s="564"/>
      <c r="V755" s="766"/>
      <c r="W755" s="538"/>
      <c r="X755" s="605"/>
      <c r="Y755" s="501"/>
      <c r="Z755" s="501"/>
    </row>
    <row r="756" spans="1:31">
      <c r="A756" s="1">
        <f>MAX(A$723:A755)+1</f>
        <v>343</v>
      </c>
      <c r="B756" s="58"/>
      <c r="C756" s="12" t="s">
        <v>419</v>
      </c>
      <c r="D756" s="58"/>
      <c r="E756" s="522" t="s">
        <v>331</v>
      </c>
      <c r="F756" s="58"/>
      <c r="G756" s="29">
        <v>349244186.82099998</v>
      </c>
      <c r="H756" s="58"/>
      <c r="I756" s="29">
        <v>0</v>
      </c>
      <c r="J756" s="29">
        <v>15561.312225236692</v>
      </c>
      <c r="K756" s="29"/>
      <c r="L756" s="29">
        <v>0</v>
      </c>
      <c r="M756" s="29">
        <v>3333.3135730441568</v>
      </c>
      <c r="N756" s="29">
        <v>12227.998652192535</v>
      </c>
      <c r="O756" s="29">
        <f>J756-L756-M756-N756</f>
        <v>0</v>
      </c>
      <c r="P756" s="564"/>
      <c r="Q756" s="29">
        <v>0</v>
      </c>
      <c r="R756" s="29">
        <v>4067.625434565964</v>
      </c>
      <c r="S756" s="29">
        <v>12160.969165938659</v>
      </c>
      <c r="T756" s="564"/>
      <c r="U756" s="564">
        <f>SUM(O756:S756)</f>
        <v>16228.594600504623</v>
      </c>
      <c r="V756" s="29">
        <v>0</v>
      </c>
      <c r="W756" s="538">
        <f>U756-J756</f>
        <v>667.28237526793055</v>
      </c>
      <c r="X756" s="29"/>
      <c r="Y756" s="29"/>
      <c r="Z756" s="501"/>
      <c r="AA756" s="738"/>
      <c r="AC756" s="738"/>
    </row>
    <row r="757" spans="1:31">
      <c r="A757" s="1">
        <f>MAX(A$723:A756)+1</f>
        <v>344</v>
      </c>
      <c r="B757" s="58"/>
      <c r="C757" s="12" t="s">
        <v>420</v>
      </c>
      <c r="D757" s="58"/>
      <c r="E757" s="522" t="s">
        <v>331</v>
      </c>
      <c r="F757" s="58"/>
      <c r="G757" s="29">
        <v>17399687.223999999</v>
      </c>
      <c r="H757" s="58"/>
      <c r="I757" s="29">
        <v>0</v>
      </c>
      <c r="J757" s="29">
        <v>160.76437939710056</v>
      </c>
      <c r="K757" s="29"/>
      <c r="L757" s="29">
        <v>0</v>
      </c>
      <c r="M757" s="29">
        <v>34.436561656883327</v>
      </c>
      <c r="N757" s="29">
        <v>126.32781774021721</v>
      </c>
      <c r="O757" s="29">
        <f t="shared" ref="O757:O761" si="303">J757-L757-M757-N757</f>
        <v>0</v>
      </c>
      <c r="P757" s="564"/>
      <c r="Q757" s="29">
        <v>0</v>
      </c>
      <c r="R757" s="29">
        <v>42.022759336924246</v>
      </c>
      <c r="S757" s="29">
        <v>125.63533412425102</v>
      </c>
      <c r="T757" s="564"/>
      <c r="U757" s="564">
        <f t="shared" ref="U757:U761" si="304">SUM(O757:S757)</f>
        <v>167.65809346117527</v>
      </c>
      <c r="V757" s="29">
        <v>0</v>
      </c>
      <c r="W757" s="538">
        <f>U757-J757</f>
        <v>6.8937140640747145</v>
      </c>
      <c r="X757" s="29"/>
      <c r="Y757" s="29"/>
      <c r="Z757" s="501"/>
      <c r="AA757" s="738"/>
      <c r="AC757" s="738"/>
    </row>
    <row r="758" spans="1:31">
      <c r="B758" s="58"/>
      <c r="C758" s="521"/>
      <c r="D758" s="58"/>
      <c r="E758" s="574"/>
      <c r="F758" s="58"/>
      <c r="G758" s="29"/>
      <c r="H758" s="58"/>
      <c r="I758" s="564"/>
      <c r="J758" s="29"/>
      <c r="K758" s="29"/>
      <c r="L758" s="29"/>
      <c r="M758" s="29"/>
      <c r="N758" s="29"/>
      <c r="O758" s="29"/>
      <c r="P758" s="564"/>
      <c r="Q758" s="29"/>
      <c r="R758" s="29"/>
      <c r="S758" s="29"/>
      <c r="T758" s="564"/>
      <c r="U758" s="564"/>
      <c r="V758" s="564"/>
      <c r="W758" s="538"/>
      <c r="X758" s="605"/>
      <c r="Y758" s="501"/>
      <c r="Z758" s="501"/>
      <c r="AA758" s="738"/>
      <c r="AC758" s="738"/>
    </row>
    <row r="759" spans="1:31">
      <c r="B759" s="58"/>
      <c r="C759" s="521" t="s">
        <v>421</v>
      </c>
      <c r="D759" s="58"/>
      <c r="E759" s="30"/>
      <c r="F759" s="58"/>
      <c r="G759" s="132"/>
      <c r="H759" s="58"/>
      <c r="I759" s="564"/>
      <c r="J759" s="29"/>
      <c r="K759" s="29"/>
      <c r="L759" s="29"/>
      <c r="M759" s="29"/>
      <c r="N759" s="29"/>
      <c r="O759" s="29"/>
      <c r="P759" s="564"/>
      <c r="Q759" s="29"/>
      <c r="R759" s="29"/>
      <c r="S759" s="29"/>
      <c r="T759" s="564"/>
      <c r="U759" s="564"/>
      <c r="V759" s="564"/>
      <c r="W759" s="538"/>
      <c r="X759" s="605"/>
      <c r="Y759" s="501"/>
      <c r="Z759" s="501"/>
      <c r="AA759" s="738"/>
      <c r="AC759" s="738"/>
    </row>
    <row r="760" spans="1:31">
      <c r="A760" s="1">
        <f>MAX(A$723:A759)+1</f>
        <v>345</v>
      </c>
      <c r="C760" s="12" t="s">
        <v>419</v>
      </c>
      <c r="E760" s="522" t="s">
        <v>331</v>
      </c>
      <c r="G760" s="29">
        <v>4834911.8473035097</v>
      </c>
      <c r="I760" s="29">
        <v>0</v>
      </c>
      <c r="J760" s="29">
        <v>225.86213270525406</v>
      </c>
      <c r="K760" s="29"/>
      <c r="L760" s="29">
        <v>0</v>
      </c>
      <c r="M760" s="29">
        <v>132.09169027347178</v>
      </c>
      <c r="N760" s="29">
        <v>93.770442431782286</v>
      </c>
      <c r="O760" s="29">
        <f t="shared" si="303"/>
        <v>0</v>
      </c>
      <c r="P760" s="64"/>
      <c r="Q760" s="29">
        <v>0</v>
      </c>
      <c r="R760" s="29">
        <v>161.19081126846794</v>
      </c>
      <c r="S760" s="29">
        <v>93.25642662586182</v>
      </c>
      <c r="T760" s="64"/>
      <c r="U760" s="564">
        <f t="shared" si="304"/>
        <v>254.44723789432976</v>
      </c>
      <c r="V760" s="29">
        <v>0</v>
      </c>
      <c r="W760" s="538">
        <f>U760-J760</f>
        <v>28.585105189075705</v>
      </c>
      <c r="X760" s="29"/>
      <c r="Y760" s="29"/>
      <c r="Z760" s="501"/>
      <c r="AA760" s="738"/>
      <c r="AC760" s="738"/>
    </row>
    <row r="761" spans="1:31">
      <c r="A761" s="1">
        <f>MAX(A$723:A760)+1</f>
        <v>346</v>
      </c>
      <c r="B761" s="58"/>
      <c r="C761" s="12" t="s">
        <v>420</v>
      </c>
      <c r="D761" s="58"/>
      <c r="E761" s="522" t="s">
        <v>331</v>
      </c>
      <c r="F761" s="58"/>
      <c r="G761" s="29">
        <v>204967728.36268201</v>
      </c>
      <c r="H761" s="58"/>
      <c r="I761" s="29">
        <v>0</v>
      </c>
      <c r="J761" s="29">
        <v>3043.347625504985</v>
      </c>
      <c r="K761" s="29"/>
      <c r="L761" s="29">
        <v>0</v>
      </c>
      <c r="M761" s="29">
        <v>1779.850952117388</v>
      </c>
      <c r="N761" s="29">
        <v>1263.4966733875974</v>
      </c>
      <c r="O761" s="29">
        <f t="shared" si="303"/>
        <v>0</v>
      </c>
      <c r="P761" s="564"/>
      <c r="Q761" s="29">
        <v>0</v>
      </c>
      <c r="R761" s="29">
        <v>2171.942976237126</v>
      </c>
      <c r="S761" s="29">
        <v>1256.5706395116067</v>
      </c>
      <c r="T761" s="564"/>
      <c r="U761" s="564">
        <f t="shared" si="304"/>
        <v>3428.5136157487327</v>
      </c>
      <c r="V761" s="29">
        <v>0</v>
      </c>
      <c r="W761" s="538">
        <f>U761-J761</f>
        <v>385.16599024374773</v>
      </c>
      <c r="X761" s="29"/>
      <c r="Y761" s="29"/>
      <c r="Z761" s="501"/>
      <c r="AA761" s="738"/>
      <c r="AC761" s="738"/>
    </row>
    <row r="762" spans="1:31">
      <c r="B762" s="58"/>
      <c r="D762" s="58"/>
      <c r="E762" s="30"/>
      <c r="F762" s="58"/>
      <c r="G762" s="29"/>
      <c r="H762" s="58"/>
      <c r="I762" s="58"/>
      <c r="J762" s="538"/>
      <c r="K762" s="538"/>
      <c r="L762" s="538"/>
      <c r="M762" s="538"/>
      <c r="N762" s="538"/>
      <c r="O762" s="538"/>
      <c r="P762" s="564"/>
      <c r="Q762" s="538"/>
      <c r="R762" s="538"/>
      <c r="S762" s="538"/>
      <c r="T762" s="564"/>
      <c r="U762" s="564"/>
      <c r="V762" s="766"/>
      <c r="W762" s="538"/>
      <c r="X762" s="605"/>
      <c r="Y762" s="501"/>
      <c r="Z762" s="501"/>
    </row>
    <row r="763" spans="1:31" ht="12.95" thickBot="1">
      <c r="A763" s="1">
        <f>MAX(A$723:A762)+1</f>
        <v>347</v>
      </c>
      <c r="B763" s="58"/>
      <c r="C763" s="16" t="s">
        <v>422</v>
      </c>
      <c r="D763" s="58"/>
      <c r="E763" s="30"/>
      <c r="F763" s="58"/>
      <c r="G763" s="439">
        <f>SUM(G739:G762)</f>
        <v>624051256.25498545</v>
      </c>
      <c r="H763" s="58"/>
      <c r="I763" s="590">
        <f>J763/G763*100</f>
        <v>3.0432254037614259E-3</v>
      </c>
      <c r="J763" s="628">
        <f>SUM(J739:J761)</f>
        <v>18991.286362844032</v>
      </c>
      <c r="K763" s="564"/>
      <c r="L763" s="628">
        <f>SUM(L739:L761)</f>
        <v>0</v>
      </c>
      <c r="M763" s="628">
        <f>SUM(M739:M761)</f>
        <v>5279.6927770919001</v>
      </c>
      <c r="N763" s="628">
        <f>SUM(N739:N761)</f>
        <v>13711.593585752131</v>
      </c>
      <c r="O763" s="628">
        <f>SUM(O739:O761)</f>
        <v>0</v>
      </c>
      <c r="P763" s="564"/>
      <c r="Q763" s="628">
        <f>SUM(Q739:Q761)</f>
        <v>0</v>
      </c>
      <c r="R763" s="628">
        <f>SUM(R739:R761)</f>
        <v>6442.7819814084814</v>
      </c>
      <c r="S763" s="628">
        <f>SUM(S739:S761)</f>
        <v>13636.431566200377</v>
      </c>
      <c r="T763" s="564"/>
      <c r="U763" s="628">
        <f>SUM(U739:U761)</f>
        <v>20079.213547608859</v>
      </c>
      <c r="V763" s="763">
        <f>U763/G763*100</f>
        <v>3.2175583890507466E-3</v>
      </c>
      <c r="W763" s="628">
        <f>SUM(W739:W761)</f>
        <v>1087.9271847648288</v>
      </c>
      <c r="X763" s="799">
        <f>IFERROR(V763/I763-1,"-")</f>
        <v>5.7285597403940347E-2</v>
      </c>
      <c r="Y763" s="630"/>
      <c r="Z763" s="501"/>
      <c r="AA763" s="738"/>
      <c r="AC763" s="738"/>
    </row>
    <row r="764" spans="1:31" ht="12.95" thickTop="1">
      <c r="A764" s="6"/>
      <c r="B764" s="58"/>
      <c r="C764" s="16"/>
      <c r="D764" s="58"/>
      <c r="E764" s="30"/>
      <c r="F764" s="58"/>
      <c r="G764" s="132"/>
      <c r="H764" s="58"/>
      <c r="I764" s="548"/>
      <c r="J764" s="564"/>
      <c r="K764" s="564"/>
      <c r="L764" s="564"/>
      <c r="M764" s="564"/>
      <c r="N764" s="564"/>
      <c r="O764" s="564"/>
      <c r="P764" s="564"/>
      <c r="Q764" s="564"/>
      <c r="R764" s="564"/>
      <c r="S764" s="564"/>
      <c r="T764" s="564"/>
      <c r="U764" s="564"/>
      <c r="V764" s="564"/>
      <c r="W764" s="564"/>
      <c r="X764" s="783"/>
      <c r="Y764" s="630"/>
      <c r="Z764" s="501"/>
    </row>
    <row r="765" spans="1:31">
      <c r="J765" s="501"/>
      <c r="K765" s="501"/>
      <c r="L765" s="2"/>
      <c r="M765" s="2"/>
      <c r="N765" s="501"/>
      <c r="O765" s="501"/>
      <c r="Q765" s="501"/>
      <c r="R765" s="501"/>
      <c r="S765" s="501"/>
      <c r="W765" s="501"/>
      <c r="X765" s="522"/>
      <c r="Y765" s="501"/>
      <c r="Z765" s="501"/>
    </row>
    <row r="766" spans="1:31">
      <c r="J766" s="501"/>
      <c r="K766" s="501"/>
      <c r="L766" s="2"/>
      <c r="M766" s="2"/>
      <c r="N766" s="501"/>
      <c r="O766" s="501"/>
      <c r="Q766" s="501"/>
      <c r="R766" s="501"/>
      <c r="S766" s="501"/>
      <c r="W766" s="501"/>
      <c r="X766" s="522"/>
      <c r="Y766" s="501"/>
      <c r="Z766" s="501"/>
    </row>
    <row r="767" spans="1:31">
      <c r="J767" s="501"/>
      <c r="K767" s="501"/>
      <c r="L767" s="2"/>
      <c r="M767" s="2"/>
      <c r="N767" s="501"/>
      <c r="O767" s="501"/>
      <c r="Q767" s="501"/>
      <c r="R767" s="501"/>
      <c r="S767" s="501"/>
      <c r="W767" s="501"/>
      <c r="X767" s="522"/>
      <c r="Y767" s="501"/>
      <c r="Z767" s="501"/>
    </row>
    <row r="768" spans="1:31">
      <c r="A768" s="1156" t="s">
        <v>279</v>
      </c>
      <c r="B768" s="1156"/>
      <c r="C768" s="1156"/>
      <c r="D768" s="1156"/>
      <c r="E768" s="1156"/>
      <c r="F768" s="1156"/>
      <c r="G768" s="1156"/>
      <c r="H768" s="1156"/>
      <c r="I768" s="1156"/>
      <c r="J768" s="1156"/>
      <c r="K768" s="1156"/>
      <c r="L768" s="1156"/>
      <c r="M768" s="1156"/>
      <c r="N768" s="1156"/>
      <c r="O768" s="1156"/>
      <c r="P768" s="1156"/>
      <c r="Q768" s="1156"/>
      <c r="R768" s="1156"/>
      <c r="S768" s="1156"/>
      <c r="T768" s="1156"/>
      <c r="U768" s="1156"/>
      <c r="V768" s="1156"/>
      <c r="W768" s="1156"/>
      <c r="X768" s="1156"/>
      <c r="Y768" s="779"/>
      <c r="Z768" s="501"/>
    </row>
    <row r="769" spans="1:31">
      <c r="A769" s="1156" t="s">
        <v>499</v>
      </c>
      <c r="B769" s="1156"/>
      <c r="C769" s="1156"/>
      <c r="D769" s="1156"/>
      <c r="E769" s="1156"/>
      <c r="F769" s="1156"/>
      <c r="G769" s="1156"/>
      <c r="H769" s="1156"/>
      <c r="I769" s="1156"/>
      <c r="J769" s="1156"/>
      <c r="K769" s="1156"/>
      <c r="L769" s="1156"/>
      <c r="M769" s="1156"/>
      <c r="N769" s="1156"/>
      <c r="O769" s="1156"/>
      <c r="P769" s="1156"/>
      <c r="Q769" s="1156"/>
      <c r="R769" s="1156"/>
      <c r="S769" s="1156"/>
      <c r="T769" s="1156"/>
      <c r="U769" s="1156"/>
      <c r="V769" s="1156"/>
      <c r="W769" s="1156"/>
      <c r="X769" s="1156"/>
      <c r="Y769" s="713"/>
      <c r="Z769" s="713"/>
    </row>
    <row r="770" spans="1:31">
      <c r="A770" s="57"/>
      <c r="B770" s="57"/>
      <c r="C770" s="57"/>
      <c r="D770" s="57"/>
      <c r="E770" s="3"/>
      <c r="F770" s="57"/>
      <c r="G770" s="3"/>
      <c r="H770" s="57"/>
      <c r="I770" s="57"/>
      <c r="J770" s="501"/>
      <c r="K770" s="501"/>
      <c r="L770" s="4"/>
      <c r="M770" s="4"/>
      <c r="N770" s="501"/>
      <c r="O770" s="501"/>
      <c r="P770" s="57"/>
      <c r="Q770" s="501"/>
      <c r="R770" s="501"/>
      <c r="S770" s="501"/>
      <c r="T770" s="57"/>
      <c r="U770" s="57"/>
      <c r="V770" s="57"/>
      <c r="W770" s="501"/>
      <c r="X770" s="522"/>
      <c r="Y770" s="501"/>
      <c r="Z770" s="501"/>
    </row>
    <row r="771" spans="1:31">
      <c r="A771" s="3"/>
      <c r="B771" s="3"/>
      <c r="C771" s="3"/>
      <c r="D771" s="3"/>
      <c r="E771" s="58"/>
      <c r="F771" s="58"/>
      <c r="G771" s="1152" t="s">
        <v>231</v>
      </c>
      <c r="H771" s="1152"/>
      <c r="I771" s="1152"/>
      <c r="J771" s="1152"/>
      <c r="K771" s="58"/>
      <c r="L771" s="1152" t="s">
        <v>94</v>
      </c>
      <c r="M771" s="1152"/>
      <c r="N771" s="1152"/>
      <c r="O771" s="58"/>
      <c r="P771" s="3"/>
      <c r="Q771" s="1152" t="s">
        <v>95</v>
      </c>
      <c r="R771" s="1152"/>
      <c r="S771" s="1152"/>
      <c r="T771" s="3"/>
      <c r="U771" s="1152" t="s">
        <v>232</v>
      </c>
      <c r="V771" s="1152"/>
      <c r="W771" s="1152"/>
      <c r="X771" s="1152"/>
      <c r="Y771" s="6"/>
      <c r="Z771" s="501"/>
    </row>
    <row r="772" spans="1:31" ht="37.5">
      <c r="A772" s="5" t="s">
        <v>56</v>
      </c>
      <c r="B772" s="5"/>
      <c r="C772" s="5"/>
      <c r="D772" s="5"/>
      <c r="E772" s="6" t="s">
        <v>233</v>
      </c>
      <c r="F772" s="5"/>
      <c r="G772" s="17" t="s">
        <v>234</v>
      </c>
      <c r="H772" s="5"/>
      <c r="I772" s="17" t="s">
        <v>235</v>
      </c>
      <c r="J772" s="5" t="s">
        <v>101</v>
      </c>
      <c r="K772" s="5"/>
      <c r="L772" s="5" t="s">
        <v>491</v>
      </c>
      <c r="M772" s="5" t="s">
        <v>492</v>
      </c>
      <c r="N772" s="5" t="s">
        <v>493</v>
      </c>
      <c r="O772" s="5" t="s">
        <v>494</v>
      </c>
      <c r="P772" s="5"/>
      <c r="Q772" s="5" t="s">
        <v>491</v>
      </c>
      <c r="R772" s="5" t="s">
        <v>492</v>
      </c>
      <c r="S772" s="5" t="s">
        <v>493</v>
      </c>
      <c r="T772" s="5"/>
      <c r="U772" s="17" t="s">
        <v>113</v>
      </c>
      <c r="V772" s="17" t="s">
        <v>242</v>
      </c>
      <c r="W772" s="17" t="s">
        <v>243</v>
      </c>
      <c r="X772" s="5" t="s">
        <v>244</v>
      </c>
      <c r="Y772" s="5"/>
      <c r="Z772" s="501"/>
    </row>
    <row r="773" spans="1:31">
      <c r="A773" s="237" t="s">
        <v>57</v>
      </c>
      <c r="B773" s="58"/>
      <c r="C773" s="59" t="s">
        <v>194</v>
      </c>
      <c r="D773" s="58"/>
      <c r="E773" s="237" t="s">
        <v>245</v>
      </c>
      <c r="F773" s="58"/>
      <c r="G773" s="237" t="s">
        <v>246</v>
      </c>
      <c r="H773" s="58"/>
      <c r="I773" s="237" t="s">
        <v>397</v>
      </c>
      <c r="J773" s="237" t="s">
        <v>248</v>
      </c>
      <c r="K773" s="6"/>
      <c r="L773" s="237" t="s">
        <v>248</v>
      </c>
      <c r="M773" s="237" t="s">
        <v>248</v>
      </c>
      <c r="N773" s="237" t="s">
        <v>248</v>
      </c>
      <c r="O773" s="237" t="s">
        <v>248</v>
      </c>
      <c r="P773" s="58"/>
      <c r="Q773" s="237" t="s">
        <v>248</v>
      </c>
      <c r="R773" s="237" t="s">
        <v>248</v>
      </c>
      <c r="S773" s="237" t="s">
        <v>248</v>
      </c>
      <c r="T773" s="58"/>
      <c r="U773" s="237" t="s">
        <v>248</v>
      </c>
      <c r="V773" s="237" t="s">
        <v>397</v>
      </c>
      <c r="W773" s="237" t="s">
        <v>248</v>
      </c>
      <c r="X773" s="237" t="s">
        <v>249</v>
      </c>
      <c r="Y773" s="6"/>
      <c r="Z773" s="501"/>
    </row>
    <row r="774" spans="1:31">
      <c r="A774" s="6"/>
      <c r="B774" s="58"/>
      <c r="C774" s="58"/>
      <c r="D774" s="58"/>
      <c r="E774" s="6"/>
      <c r="F774" s="58"/>
      <c r="G774" s="6" t="s">
        <v>9</v>
      </c>
      <c r="H774" s="6"/>
      <c r="I774" s="6" t="s">
        <v>10</v>
      </c>
      <c r="J774" s="6" t="s">
        <v>58</v>
      </c>
      <c r="K774" s="6"/>
      <c r="L774" s="123" t="s">
        <v>12</v>
      </c>
      <c r="M774" s="123" t="s">
        <v>13</v>
      </c>
      <c r="N774" s="6" t="s">
        <v>115</v>
      </c>
      <c r="O774" s="6" t="s">
        <v>495</v>
      </c>
      <c r="P774" s="6"/>
      <c r="Q774" s="6" t="s">
        <v>210</v>
      </c>
      <c r="R774" s="6" t="s">
        <v>118</v>
      </c>
      <c r="S774" s="6" t="s">
        <v>119</v>
      </c>
      <c r="T774" s="6"/>
      <c r="U774" s="6" t="s">
        <v>496</v>
      </c>
      <c r="V774" s="6" t="s">
        <v>121</v>
      </c>
      <c r="W774" s="6" t="s">
        <v>497</v>
      </c>
      <c r="X774" s="6" t="s">
        <v>498</v>
      </c>
      <c r="Y774" s="501"/>
      <c r="Z774" s="501"/>
    </row>
    <row r="775" spans="1:31" ht="8.1" customHeight="1">
      <c r="A775" s="6"/>
      <c r="B775" s="58"/>
      <c r="C775" s="58"/>
      <c r="D775" s="58"/>
      <c r="E775" s="6"/>
      <c r="F775" s="58"/>
      <c r="G775" s="6"/>
      <c r="H775" s="6"/>
      <c r="I775" s="6"/>
      <c r="J775" s="6"/>
      <c r="K775" s="6"/>
      <c r="L775" s="123"/>
      <c r="M775" s="123"/>
      <c r="N775" s="6"/>
      <c r="O775" s="6"/>
      <c r="P775" s="6"/>
      <c r="Q775" s="6"/>
      <c r="R775" s="6"/>
      <c r="S775" s="6"/>
      <c r="T775" s="6"/>
      <c r="U775" s="6"/>
      <c r="V775" s="6"/>
      <c r="W775" s="6"/>
      <c r="X775" s="6"/>
      <c r="Y775" s="501"/>
      <c r="Z775" s="501"/>
    </row>
    <row r="776" spans="1:31" ht="12.95">
      <c r="A776" s="6"/>
      <c r="B776" s="58"/>
      <c r="C776" s="9" t="s">
        <v>162</v>
      </c>
      <c r="D776" s="58"/>
      <c r="E776" s="128"/>
      <c r="F776" s="58"/>
      <c r="G776" s="575"/>
      <c r="H776" s="58"/>
      <c r="I776" s="58"/>
      <c r="J776" s="538"/>
      <c r="K776" s="538"/>
      <c r="L776" s="538"/>
      <c r="M776" s="538"/>
      <c r="N776" s="538"/>
      <c r="O776" s="538"/>
      <c r="P776" s="564"/>
      <c r="Q776" s="538"/>
      <c r="R776" s="538"/>
      <c r="S776" s="538"/>
      <c r="T776" s="564"/>
      <c r="U776" s="564"/>
      <c r="V776" s="564"/>
      <c r="W776" s="538"/>
      <c r="X776" s="522"/>
      <c r="Y776" s="501"/>
      <c r="Z776" s="501"/>
    </row>
    <row r="777" spans="1:31">
      <c r="A777" s="6"/>
      <c r="C777" s="10" t="s">
        <v>423</v>
      </c>
      <c r="E777" s="522"/>
      <c r="G777" s="29"/>
      <c r="J777" s="538"/>
      <c r="K777" s="538"/>
      <c r="L777" s="538"/>
      <c r="M777" s="538"/>
      <c r="N777" s="538"/>
      <c r="O777" s="538"/>
      <c r="P777" s="64"/>
      <c r="Q777" s="538"/>
      <c r="R777" s="538"/>
      <c r="S777" s="538"/>
      <c r="T777" s="64"/>
      <c r="U777" s="64"/>
      <c r="V777" s="64"/>
      <c r="W777" s="538"/>
      <c r="X777" s="522"/>
      <c r="Y777" s="501"/>
      <c r="Z777" s="501"/>
    </row>
    <row r="778" spans="1:31" ht="24.95">
      <c r="A778" s="1">
        <f>MAX(A$723:A777)+1</f>
        <v>348</v>
      </c>
      <c r="C778" s="717" t="s">
        <v>424</v>
      </c>
      <c r="E778" s="522" t="s">
        <v>425</v>
      </c>
      <c r="G778" s="29">
        <v>443124</v>
      </c>
      <c r="I778" s="29">
        <v>0</v>
      </c>
      <c r="J778" s="29">
        <v>70.899839999999998</v>
      </c>
      <c r="K778" s="29"/>
      <c r="L778" s="29">
        <v>0</v>
      </c>
      <c r="M778" s="29">
        <v>0</v>
      </c>
      <c r="N778" s="29">
        <v>0</v>
      </c>
      <c r="O778" s="29">
        <v>70.899839999999998</v>
      </c>
      <c r="P778" s="64"/>
      <c r="Q778" s="29">
        <v>0</v>
      </c>
      <c r="R778" s="29">
        <v>0</v>
      </c>
      <c r="S778" s="29">
        <v>0</v>
      </c>
      <c r="T778" s="64"/>
      <c r="U778" s="29">
        <f>O778+Q778+R778+S778</f>
        <v>70.899839999999998</v>
      </c>
      <c r="V778" s="766">
        <f>U778/G778*1000</f>
        <v>0.15999999999999998</v>
      </c>
      <c r="W778" s="538">
        <f>U778-J778</f>
        <v>0</v>
      </c>
      <c r="X778" s="782"/>
      <c r="Y778" s="541"/>
      <c r="Z778" s="501"/>
      <c r="AA778" s="738"/>
      <c r="AC778" s="738"/>
      <c r="AE778" s="764"/>
    </row>
    <row r="779" spans="1:31">
      <c r="B779" s="58"/>
      <c r="C779" s="717"/>
      <c r="D779" s="58"/>
      <c r="E779" s="522"/>
      <c r="F779" s="58"/>
      <c r="G779" s="29"/>
      <c r="H779" s="58"/>
      <c r="I779" s="29"/>
      <c r="J779" s="64"/>
      <c r="K779" s="64"/>
      <c r="L779" s="29"/>
      <c r="M779" s="29"/>
      <c r="N779" s="29"/>
      <c r="O779" s="64"/>
      <c r="P779" s="564"/>
      <c r="Q779" s="29"/>
      <c r="R779" s="29"/>
      <c r="S779" s="29"/>
      <c r="T779" s="564"/>
      <c r="U779" s="29"/>
      <c r="V779" s="29"/>
      <c r="W779" s="538"/>
      <c r="X779" s="782"/>
      <c r="Y779" s="541"/>
      <c r="Z779" s="501"/>
      <c r="AA779" s="738"/>
      <c r="AE779" s="764"/>
    </row>
    <row r="780" spans="1:31">
      <c r="A780" s="1">
        <f>MAX(A$723:A779)+1</f>
        <v>349</v>
      </c>
      <c r="B780" s="58"/>
      <c r="C780" s="12" t="s">
        <v>426</v>
      </c>
      <c r="D780" s="58"/>
      <c r="E780" s="522" t="s">
        <v>425</v>
      </c>
      <c r="F780" s="58"/>
      <c r="G780" s="29">
        <v>2443512</v>
      </c>
      <c r="H780" s="58"/>
      <c r="I780" s="29">
        <v>0</v>
      </c>
      <c r="J780" s="29">
        <v>0</v>
      </c>
      <c r="K780" s="64"/>
      <c r="L780" s="29">
        <v>0</v>
      </c>
      <c r="M780" s="29">
        <v>0</v>
      </c>
      <c r="N780" s="29">
        <v>0</v>
      </c>
      <c r="O780" s="29">
        <v>0</v>
      </c>
      <c r="P780" s="564"/>
      <c r="Q780" s="29">
        <v>0</v>
      </c>
      <c r="R780" s="29">
        <v>0</v>
      </c>
      <c r="S780" s="29">
        <v>0</v>
      </c>
      <c r="T780" s="564"/>
      <c r="U780" s="29">
        <v>0</v>
      </c>
      <c r="V780" s="29">
        <v>0</v>
      </c>
      <c r="W780" s="29">
        <v>0</v>
      </c>
      <c r="X780" s="782"/>
      <c r="Y780" s="541"/>
      <c r="Z780" s="501"/>
      <c r="AA780" s="738"/>
      <c r="AE780" s="764"/>
    </row>
    <row r="781" spans="1:31">
      <c r="A781" s="1">
        <f>MAX(A$723:A780)+1</f>
        <v>350</v>
      </c>
      <c r="B781" s="58"/>
      <c r="C781" s="718" t="s">
        <v>409</v>
      </c>
      <c r="D781" s="58"/>
      <c r="E781" s="522" t="s">
        <v>425</v>
      </c>
      <c r="F781" s="58"/>
      <c r="G781" s="29">
        <v>1329372</v>
      </c>
      <c r="H781" s="58"/>
      <c r="I781" s="29">
        <v>0</v>
      </c>
      <c r="J781" s="29">
        <v>0</v>
      </c>
      <c r="K781" s="64"/>
      <c r="L781" s="29">
        <v>0</v>
      </c>
      <c r="M781" s="29">
        <v>0</v>
      </c>
      <c r="N781" s="29">
        <v>0</v>
      </c>
      <c r="O781" s="29">
        <v>0</v>
      </c>
      <c r="P781" s="564"/>
      <c r="Q781" s="29">
        <v>0</v>
      </c>
      <c r="R781" s="29">
        <v>0</v>
      </c>
      <c r="S781" s="29">
        <v>0</v>
      </c>
      <c r="T781" s="564"/>
      <c r="U781" s="29">
        <v>0</v>
      </c>
      <c r="V781" s="29">
        <v>0</v>
      </c>
      <c r="W781" s="29">
        <v>0</v>
      </c>
      <c r="X781" s="782"/>
      <c r="Y781" s="541"/>
      <c r="Z781" s="501"/>
      <c r="AA781" s="738"/>
      <c r="AE781" s="764"/>
    </row>
    <row r="782" spans="1:31">
      <c r="A782" s="1">
        <f>MAX(A$723:A781)+1</f>
        <v>351</v>
      </c>
      <c r="B782" s="58"/>
      <c r="C782" s="12" t="s">
        <v>427</v>
      </c>
      <c r="D782" s="58"/>
      <c r="E782" s="522" t="s">
        <v>425</v>
      </c>
      <c r="F782" s="58"/>
      <c r="G782" s="29">
        <v>6000000</v>
      </c>
      <c r="H782" s="58"/>
      <c r="I782" s="29">
        <v>0</v>
      </c>
      <c r="J782" s="29">
        <v>0</v>
      </c>
      <c r="K782" s="64"/>
      <c r="L782" s="29">
        <v>0</v>
      </c>
      <c r="M782" s="29">
        <v>0</v>
      </c>
      <c r="N782" s="29">
        <v>0</v>
      </c>
      <c r="O782" s="29">
        <v>0</v>
      </c>
      <c r="P782" s="564"/>
      <c r="Q782" s="29">
        <v>0</v>
      </c>
      <c r="R782" s="29">
        <v>0</v>
      </c>
      <c r="S782" s="29">
        <v>0</v>
      </c>
      <c r="T782" s="564"/>
      <c r="U782" s="29">
        <v>0</v>
      </c>
      <c r="V782" s="29">
        <v>0</v>
      </c>
      <c r="W782" s="29">
        <v>0</v>
      </c>
      <c r="X782" s="782"/>
      <c r="Y782" s="541"/>
      <c r="Z782" s="501"/>
      <c r="AA782" s="738"/>
      <c r="AE782" s="764"/>
    </row>
    <row r="783" spans="1:31">
      <c r="A783" s="6"/>
      <c r="B783" s="58"/>
      <c r="D783" s="58"/>
      <c r="E783" s="574"/>
      <c r="F783" s="58"/>
      <c r="G783" s="29"/>
      <c r="H783" s="58"/>
      <c r="I783" s="706"/>
      <c r="J783" s="64"/>
      <c r="K783" s="64"/>
      <c r="L783" s="538"/>
      <c r="M783" s="538"/>
      <c r="N783" s="538"/>
      <c r="O783" s="64"/>
      <c r="P783" s="564"/>
      <c r="Q783" s="538"/>
      <c r="R783" s="538"/>
      <c r="S783" s="538"/>
      <c r="T783" s="564"/>
      <c r="U783" s="564"/>
      <c r="V783" s="768"/>
      <c r="W783" s="538"/>
      <c r="X783" s="522"/>
      <c r="Y783" s="501"/>
      <c r="Z783" s="501"/>
    </row>
    <row r="784" spans="1:31">
      <c r="A784" s="6"/>
      <c r="B784" s="58"/>
      <c r="C784" s="10" t="s">
        <v>428</v>
      </c>
      <c r="D784" s="58"/>
      <c r="E784" s="574"/>
      <c r="F784" s="58"/>
      <c r="G784" s="29"/>
      <c r="H784" s="58"/>
      <c r="I784" s="58"/>
      <c r="J784" s="64"/>
      <c r="K784" s="64"/>
      <c r="L784" s="538"/>
      <c r="M784" s="538"/>
      <c r="N784" s="538"/>
      <c r="O784" s="64"/>
      <c r="P784" s="564"/>
      <c r="Q784" s="538"/>
      <c r="R784" s="538"/>
      <c r="S784" s="538"/>
      <c r="T784" s="564"/>
      <c r="U784" s="564"/>
      <c r="V784" s="768"/>
      <c r="W784" s="538"/>
      <c r="X784" s="522"/>
      <c r="Y784" s="501"/>
      <c r="Z784" s="501"/>
    </row>
    <row r="785" spans="1:29">
      <c r="A785" s="6"/>
      <c r="B785" s="58"/>
      <c r="C785" s="526" t="s">
        <v>419</v>
      </c>
      <c r="D785" s="58"/>
      <c r="E785" s="30"/>
      <c r="F785" s="58"/>
      <c r="G785" s="29"/>
      <c r="H785" s="58"/>
      <c r="I785" s="58"/>
      <c r="J785" s="64"/>
      <c r="K785" s="64"/>
      <c r="L785" s="538"/>
      <c r="M785" s="538"/>
      <c r="N785" s="538"/>
      <c r="O785" s="64"/>
      <c r="P785" s="564"/>
      <c r="Q785" s="538"/>
      <c r="R785" s="538"/>
      <c r="S785" s="538"/>
      <c r="T785" s="564"/>
      <c r="U785" s="564"/>
      <c r="V785" s="768"/>
      <c r="W785" s="538"/>
      <c r="X785" s="522"/>
      <c r="Y785" s="501"/>
      <c r="Z785" s="501"/>
    </row>
    <row r="786" spans="1:29">
      <c r="A786" s="1">
        <f>MAX(A$723:A785)+1</f>
        <v>352</v>
      </c>
      <c r="B786" s="58"/>
      <c r="C786" s="719" t="s">
        <v>429</v>
      </c>
      <c r="D786" s="58"/>
      <c r="E786" s="522" t="s">
        <v>331</v>
      </c>
      <c r="F786" s="58"/>
      <c r="G786" s="29">
        <v>182561.93109999999</v>
      </c>
      <c r="H786" s="58"/>
      <c r="I786" s="29">
        <v>0</v>
      </c>
      <c r="J786" s="29">
        <v>3.7415094940005567</v>
      </c>
      <c r="K786" s="29"/>
      <c r="L786" s="29">
        <v>0</v>
      </c>
      <c r="M786" s="29">
        <v>2.1881592426195975</v>
      </c>
      <c r="N786" s="29">
        <v>1.5533502513809598</v>
      </c>
      <c r="O786" s="29">
        <f>J786-L786-M786-N786</f>
        <v>0</v>
      </c>
      <c r="P786" s="564"/>
      <c r="Q786" s="29">
        <v>0</v>
      </c>
      <c r="R786" s="29">
        <v>2.6701994862222223</v>
      </c>
      <c r="S786" s="29">
        <v>1.5448353445442857</v>
      </c>
      <c r="T786" s="564"/>
      <c r="U786" s="564">
        <f>SUM(O786:S786)</f>
        <v>4.2150348307665082</v>
      </c>
      <c r="V786" s="29">
        <v>0</v>
      </c>
      <c r="W786" s="538">
        <f>U786-J786</f>
        <v>0.47352533676595154</v>
      </c>
      <c r="X786" s="30"/>
      <c r="Y786" s="29"/>
      <c r="Z786" s="501"/>
      <c r="AA786" s="738"/>
      <c r="AC786" s="738"/>
    </row>
    <row r="787" spans="1:29">
      <c r="A787" s="1">
        <f>MAX(A$723:A786)+1</f>
        <v>353</v>
      </c>
      <c r="B787" s="58"/>
      <c r="C787" s="719" t="s">
        <v>430</v>
      </c>
      <c r="D787" s="58"/>
      <c r="E787" s="522" t="s">
        <v>331</v>
      </c>
      <c r="F787" s="58"/>
      <c r="G787" s="29">
        <v>36496498.858000003</v>
      </c>
      <c r="H787" s="58"/>
      <c r="I787" s="29">
        <v>0</v>
      </c>
      <c r="J787" s="29">
        <v>534.17159271005198</v>
      </c>
      <c r="K787" s="29"/>
      <c r="L787" s="29">
        <v>0</v>
      </c>
      <c r="M787" s="29">
        <v>312.40132080583129</v>
      </c>
      <c r="N787" s="29">
        <v>221.77027190422081</v>
      </c>
      <c r="O787" s="29">
        <f t="shared" ref="O787:O788" si="305">J787-L787-M787-N787</f>
        <v>0</v>
      </c>
      <c r="P787" s="564"/>
      <c r="Q787" s="29">
        <v>0</v>
      </c>
      <c r="R787" s="29">
        <v>381.22172740601229</v>
      </c>
      <c r="S787" s="29">
        <v>220.5546071159803</v>
      </c>
      <c r="T787" s="564"/>
      <c r="U787" s="564">
        <f>SUM(O787:S787)</f>
        <v>601.77633452199257</v>
      </c>
      <c r="V787" s="29">
        <v>0</v>
      </c>
      <c r="W787" s="538">
        <f t="shared" ref="W787:W788" si="306">U787-J787</f>
        <v>67.604741811940585</v>
      </c>
      <c r="X787" s="30"/>
      <c r="Y787" s="29"/>
      <c r="Z787" s="501"/>
      <c r="AA787" s="738"/>
      <c r="AC787" s="738"/>
    </row>
    <row r="788" spans="1:29">
      <c r="A788" s="1">
        <f>MAX(A$723:A787)+1</f>
        <v>354</v>
      </c>
      <c r="B788" s="58"/>
      <c r="C788" s="719" t="s">
        <v>431</v>
      </c>
      <c r="D788" s="58"/>
      <c r="E788" s="522" t="s">
        <v>331</v>
      </c>
      <c r="F788" s="58"/>
      <c r="G788" s="29">
        <v>10101454.704</v>
      </c>
      <c r="H788" s="58"/>
      <c r="I788" s="29">
        <v>0</v>
      </c>
      <c r="J788" s="29">
        <v>222.75142613254567</v>
      </c>
      <c r="K788" s="29"/>
      <c r="L788" s="29">
        <v>0</v>
      </c>
      <c r="M788" s="29">
        <v>130.27244556780852</v>
      </c>
      <c r="N788" s="29">
        <v>92.478980564737185</v>
      </c>
      <c r="O788" s="29">
        <f t="shared" si="305"/>
        <v>0</v>
      </c>
      <c r="P788" s="564"/>
      <c r="Q788" s="29">
        <v>0</v>
      </c>
      <c r="R788" s="29">
        <v>158.97079629709</v>
      </c>
      <c r="S788" s="29">
        <v>91.972044087816229</v>
      </c>
      <c r="T788" s="564"/>
      <c r="U788" s="564">
        <f>SUM(O788:S788)</f>
        <v>250.94284038490622</v>
      </c>
      <c r="V788" s="29">
        <v>0</v>
      </c>
      <c r="W788" s="538">
        <f t="shared" si="306"/>
        <v>28.191414252360545</v>
      </c>
      <c r="X788" s="30"/>
      <c r="Y788" s="29"/>
      <c r="Z788" s="501"/>
      <c r="AA788" s="738"/>
      <c r="AC788" s="738"/>
    </row>
    <row r="789" spans="1:29">
      <c r="A789" s="1">
        <f>MAX(A$723:A788)+1</f>
        <v>355</v>
      </c>
      <c r="C789" s="719" t="s">
        <v>432</v>
      </c>
      <c r="E789" s="522" t="s">
        <v>331</v>
      </c>
      <c r="G789" s="29">
        <f>0</f>
        <v>0</v>
      </c>
      <c r="I789" s="29">
        <v>0</v>
      </c>
      <c r="J789" s="538">
        <v>0</v>
      </c>
      <c r="K789" s="538"/>
      <c r="L789" s="538">
        <v>0</v>
      </c>
      <c r="M789" s="538">
        <v>0</v>
      </c>
      <c r="N789" s="538">
        <v>0</v>
      </c>
      <c r="O789" s="538">
        <v>0</v>
      </c>
      <c r="P789" s="64"/>
      <c r="Q789" s="538">
        <v>0</v>
      </c>
      <c r="R789" s="538">
        <v>0</v>
      </c>
      <c r="S789" s="538">
        <v>0</v>
      </c>
      <c r="T789" s="64"/>
      <c r="U789" s="564">
        <f>SUM(Q789:S789)</f>
        <v>0</v>
      </c>
      <c r="V789" s="64"/>
      <c r="W789" s="564">
        <f>SUM(S789:U789)</f>
        <v>0</v>
      </c>
      <c r="X789" s="30"/>
      <c r="Y789" s="29"/>
      <c r="Z789" s="501"/>
      <c r="AA789" s="738"/>
      <c r="AC789" s="738"/>
    </row>
    <row r="790" spans="1:29">
      <c r="A790" s="6"/>
      <c r="C790" s="501"/>
      <c r="E790" s="30"/>
      <c r="G790" s="29"/>
      <c r="J790" s="538"/>
      <c r="K790" s="538"/>
      <c r="L790" s="538"/>
      <c r="M790" s="538"/>
      <c r="N790" s="538"/>
      <c r="O790" s="538"/>
      <c r="P790" s="64"/>
      <c r="Q790" s="538"/>
      <c r="R790" s="538"/>
      <c r="S790" s="538"/>
      <c r="T790" s="64"/>
      <c r="U790" s="64"/>
      <c r="V790" s="64"/>
      <c r="W790" s="538"/>
      <c r="X790" s="522"/>
      <c r="Y790" s="501"/>
      <c r="Z790" s="501"/>
      <c r="AA790" s="738"/>
      <c r="AC790" s="738"/>
    </row>
    <row r="791" spans="1:29">
      <c r="A791" s="6"/>
      <c r="C791" s="521" t="s">
        <v>433</v>
      </c>
      <c r="E791" s="30"/>
      <c r="G791" s="29"/>
      <c r="J791" s="538"/>
      <c r="K791" s="538"/>
      <c r="L791" s="538"/>
      <c r="M791" s="538"/>
      <c r="N791" s="538"/>
      <c r="O791" s="538"/>
      <c r="P791" s="64"/>
      <c r="Q791" s="538"/>
      <c r="R791" s="538"/>
      <c r="S791" s="538"/>
      <c r="T791" s="64"/>
      <c r="U791" s="64"/>
      <c r="V791" s="64"/>
      <c r="W791" s="538"/>
      <c r="X791" s="522"/>
      <c r="Y791" s="501"/>
      <c r="Z791" s="501"/>
      <c r="AA791" s="738"/>
      <c r="AC791" s="738"/>
    </row>
    <row r="792" spans="1:29">
      <c r="A792" s="1">
        <f>MAX(A$723:A791)+1</f>
        <v>356</v>
      </c>
      <c r="C792" s="719" t="s">
        <v>434</v>
      </c>
      <c r="E792" s="522" t="s">
        <v>331</v>
      </c>
      <c r="G792" s="29">
        <v>0</v>
      </c>
      <c r="I792" s="29">
        <v>0</v>
      </c>
      <c r="J792" s="29">
        <v>0</v>
      </c>
      <c r="K792" s="538"/>
      <c r="L792" s="29">
        <v>0</v>
      </c>
      <c r="M792" s="29">
        <v>0</v>
      </c>
      <c r="N792" s="29">
        <v>0</v>
      </c>
      <c r="O792" s="29">
        <v>0</v>
      </c>
      <c r="P792" s="64"/>
      <c r="Q792" s="29">
        <v>0</v>
      </c>
      <c r="R792" s="29">
        <v>0</v>
      </c>
      <c r="S792" s="29">
        <v>0</v>
      </c>
      <c r="T792" s="64"/>
      <c r="U792" s="29">
        <v>0</v>
      </c>
      <c r="V792" s="29">
        <v>0</v>
      </c>
      <c r="W792" s="29">
        <v>0</v>
      </c>
      <c r="X792" s="30"/>
      <c r="Y792" s="29"/>
      <c r="Z792" s="501"/>
      <c r="AA792" s="738"/>
      <c r="AC792" s="738"/>
    </row>
    <row r="793" spans="1:29">
      <c r="A793" s="1">
        <f>MAX(A$723:A792)+1</f>
        <v>357</v>
      </c>
      <c r="C793" s="719" t="s">
        <v>417</v>
      </c>
      <c r="E793" s="522" t="s">
        <v>331</v>
      </c>
      <c r="G793" s="29">
        <v>0</v>
      </c>
      <c r="I793" s="29">
        <v>0</v>
      </c>
      <c r="J793" s="29">
        <v>0</v>
      </c>
      <c r="K793" s="538"/>
      <c r="L793" s="29">
        <v>0</v>
      </c>
      <c r="M793" s="29">
        <v>0</v>
      </c>
      <c r="N793" s="29">
        <v>0</v>
      </c>
      <c r="O793" s="29">
        <v>0</v>
      </c>
      <c r="P793" s="64"/>
      <c r="Q793" s="29">
        <v>0</v>
      </c>
      <c r="R793" s="29">
        <v>0</v>
      </c>
      <c r="S793" s="29">
        <v>0</v>
      </c>
      <c r="T793" s="64"/>
      <c r="U793" s="29">
        <v>0</v>
      </c>
      <c r="V793" s="29">
        <v>0</v>
      </c>
      <c r="W793" s="29">
        <v>0</v>
      </c>
      <c r="X793" s="30"/>
      <c r="Y793" s="29"/>
      <c r="Z793" s="501"/>
      <c r="AA793" s="738"/>
      <c r="AC793" s="738"/>
    </row>
    <row r="794" spans="1:29">
      <c r="A794" s="6"/>
      <c r="E794" s="30"/>
      <c r="G794" s="29"/>
      <c r="J794" s="538"/>
      <c r="K794" s="538"/>
      <c r="L794" s="538"/>
      <c r="M794" s="538"/>
      <c r="N794" s="538"/>
      <c r="O794" s="538"/>
      <c r="P794" s="64"/>
      <c r="Q794" s="538"/>
      <c r="R794" s="538"/>
      <c r="S794" s="538"/>
      <c r="T794" s="64"/>
      <c r="U794" s="64"/>
      <c r="V794" s="64"/>
      <c r="W794" s="29">
        <v>0</v>
      </c>
      <c r="X794" s="522"/>
      <c r="Y794" s="501"/>
      <c r="Z794" s="501"/>
      <c r="AA794" s="738"/>
      <c r="AC794" s="738"/>
    </row>
    <row r="795" spans="1:29">
      <c r="A795" s="1">
        <f>MAX(A$723:A794)+1</f>
        <v>358</v>
      </c>
      <c r="C795" s="2" t="s">
        <v>435</v>
      </c>
      <c r="E795" s="522" t="s">
        <v>331</v>
      </c>
      <c r="G795" s="29">
        <v>45665000</v>
      </c>
      <c r="I795" s="29">
        <v>0</v>
      </c>
      <c r="J795" s="538">
        <v>0</v>
      </c>
      <c r="K795" s="538"/>
      <c r="L795" s="29"/>
      <c r="M795" s="29"/>
      <c r="N795" s="29"/>
      <c r="O795" s="538"/>
      <c r="P795" s="64"/>
      <c r="Q795" s="29"/>
      <c r="R795" s="29"/>
      <c r="S795" s="29"/>
      <c r="T795" s="64"/>
      <c r="U795" s="64">
        <f>O795</f>
        <v>0</v>
      </c>
      <c r="V795" s="29">
        <v>0</v>
      </c>
      <c r="W795" s="538">
        <v>0</v>
      </c>
      <c r="X795" s="30"/>
      <c r="Y795" s="29"/>
      <c r="Z795" s="501"/>
      <c r="AA795" s="738"/>
      <c r="AC795" s="738"/>
    </row>
    <row r="796" spans="1:29">
      <c r="A796" s="1">
        <f>MAX(A$723:A795)+1</f>
        <v>359</v>
      </c>
      <c r="C796" s="2" t="s">
        <v>436</v>
      </c>
      <c r="E796" s="522" t="s">
        <v>331</v>
      </c>
      <c r="G796" s="29">
        <v>0</v>
      </c>
      <c r="I796" s="29">
        <v>0</v>
      </c>
      <c r="J796" s="29">
        <v>2388.3000000000002</v>
      </c>
      <c r="K796" s="29"/>
      <c r="L796" s="29">
        <v>0</v>
      </c>
      <c r="M796" s="29">
        <v>410.98500000000001</v>
      </c>
      <c r="N796" s="29">
        <v>1977.3150000000001</v>
      </c>
      <c r="O796" s="29">
        <f>J796-L796-M796-N796</f>
        <v>0</v>
      </c>
      <c r="P796" s="64"/>
      <c r="Q796" s="29">
        <v>0</v>
      </c>
      <c r="R796" s="29">
        <v>511.42336737272689</v>
      </c>
      <c r="S796" s="29">
        <v>1969.0537638875649</v>
      </c>
      <c r="T796" s="64"/>
      <c r="U796" s="64">
        <f>SUM(O796:S796)</f>
        <v>2480.4771312602916</v>
      </c>
      <c r="V796" s="29">
        <v>0</v>
      </c>
      <c r="W796" s="29">
        <f>U796-J796</f>
        <v>92.177131260291389</v>
      </c>
      <c r="X796" s="30"/>
      <c r="Y796" s="29"/>
      <c r="Z796" s="501"/>
      <c r="AA796" s="738"/>
      <c r="AC796" s="738"/>
    </row>
    <row r="797" spans="1:29">
      <c r="A797" s="6"/>
      <c r="E797" s="30"/>
      <c r="G797" s="29"/>
      <c r="J797" s="538"/>
      <c r="K797" s="538"/>
      <c r="L797" s="538"/>
      <c r="M797" s="538"/>
      <c r="N797" s="538"/>
      <c r="O797" s="538"/>
      <c r="P797" s="64"/>
      <c r="Q797" s="538"/>
      <c r="R797" s="538"/>
      <c r="S797" s="538"/>
      <c r="T797" s="64"/>
      <c r="U797" s="64"/>
      <c r="V797" s="64"/>
      <c r="W797" s="538"/>
      <c r="X797" s="522"/>
      <c r="Y797" s="501"/>
      <c r="Z797" s="501"/>
    </row>
    <row r="798" spans="1:29" ht="12.95" thickBot="1">
      <c r="A798" s="1">
        <f>MAX(A$723:A797)+1</f>
        <v>360</v>
      </c>
      <c r="C798" s="2" t="str">
        <f>"Total " &amp;C776</f>
        <v>Total Rate C1</v>
      </c>
      <c r="E798" s="30"/>
      <c r="G798" s="589">
        <f>SUM(G778:G796)</f>
        <v>102661523.4931</v>
      </c>
      <c r="I798" s="720">
        <f>J798/G798*100</f>
        <v>3.1363886476446154E-3</v>
      </c>
      <c r="J798" s="710">
        <f>SUM(J778:J796)</f>
        <v>3219.8643683365985</v>
      </c>
      <c r="K798" s="64"/>
      <c r="L798" s="710">
        <f>SUM(L779:L796)</f>
        <v>0</v>
      </c>
      <c r="M798" s="710">
        <f>SUM(M779:M796)</f>
        <v>855.84692561625934</v>
      </c>
      <c r="N798" s="710">
        <f>SUM(N779:N796)</f>
        <v>2293.1176027203392</v>
      </c>
      <c r="O798" s="710">
        <f>SUM(O778:O796)</f>
        <v>70.899839999999998</v>
      </c>
      <c r="P798" s="64"/>
      <c r="Q798" s="710">
        <f>SUM(Q779:Q796)</f>
        <v>0</v>
      </c>
      <c r="R798" s="710">
        <f>SUM(R779:R796)</f>
        <v>1054.2860905620514</v>
      </c>
      <c r="S798" s="710">
        <f>SUM(S779:S796)</f>
        <v>2283.1252504359059</v>
      </c>
      <c r="T798" s="64"/>
      <c r="U798" s="710">
        <f>SUM(U778:U796)</f>
        <v>3408.3111809979569</v>
      </c>
      <c r="V798" s="771">
        <f>J798/G798*100</f>
        <v>3.1363886476446154E-3</v>
      </c>
      <c r="W798" s="710">
        <f>SUM(W778:W796)</f>
        <v>188.44681266135848</v>
      </c>
      <c r="X798" s="800">
        <f>V798/I798-1</f>
        <v>0</v>
      </c>
      <c r="Y798" s="722"/>
      <c r="Z798" s="501"/>
      <c r="AA798" s="738"/>
      <c r="AC798" s="738"/>
    </row>
    <row r="799" spans="1:29" ht="12.95" thickTop="1">
      <c r="A799" s="6"/>
      <c r="B799" s="58"/>
      <c r="C799" s="16"/>
      <c r="D799" s="58"/>
      <c r="E799" s="30"/>
      <c r="F799" s="58"/>
      <c r="G799" s="132"/>
      <c r="H799" s="58"/>
      <c r="I799" s="548"/>
      <c r="J799" s="564"/>
      <c r="K799" s="564"/>
      <c r="L799" s="564"/>
      <c r="M799" s="564"/>
      <c r="N799" s="564"/>
      <c r="O799" s="564"/>
      <c r="P799" s="564"/>
      <c r="Q799" s="564"/>
      <c r="R799" s="564"/>
      <c r="S799" s="564"/>
      <c r="T799" s="564"/>
      <c r="U799" s="564"/>
      <c r="V799" s="564"/>
      <c r="W799" s="564"/>
      <c r="X799" s="783"/>
      <c r="Y799" s="630"/>
      <c r="Z799" s="501"/>
      <c r="AA799" s="738"/>
      <c r="AC799" s="738"/>
    </row>
    <row r="800" spans="1:29">
      <c r="J800" s="501"/>
      <c r="K800" s="501"/>
      <c r="L800" s="2"/>
      <c r="M800" s="2"/>
      <c r="N800" s="501"/>
      <c r="O800" s="501"/>
      <c r="Q800" s="501"/>
      <c r="R800" s="501"/>
      <c r="S800" s="501"/>
      <c r="W800" s="501"/>
      <c r="X800" s="522"/>
      <c r="Y800" s="501"/>
      <c r="Z800" s="501"/>
      <c r="AA800" s="738"/>
      <c r="AC800" s="738"/>
    </row>
    <row r="801" spans="1:31">
      <c r="J801" s="501"/>
      <c r="K801" s="501"/>
      <c r="L801" s="2"/>
      <c r="M801" s="2"/>
      <c r="N801" s="501"/>
      <c r="O801" s="501"/>
      <c r="Q801" s="501"/>
      <c r="R801" s="501"/>
      <c r="S801" s="501"/>
      <c r="W801" s="501"/>
      <c r="X801" s="522"/>
      <c r="Y801" s="501"/>
      <c r="Z801" s="501"/>
      <c r="AA801" s="738"/>
      <c r="AC801" s="738"/>
    </row>
    <row r="802" spans="1:31">
      <c r="J802" s="501"/>
      <c r="K802" s="501"/>
      <c r="L802" s="2"/>
      <c r="M802" s="2"/>
      <c r="N802" s="501"/>
      <c r="O802" s="501"/>
      <c r="Q802" s="501"/>
      <c r="R802" s="501"/>
      <c r="S802" s="501"/>
      <c r="W802" s="538"/>
      <c r="X802" s="522"/>
      <c r="Y802" s="501"/>
      <c r="Z802" s="501"/>
      <c r="AA802" s="738"/>
      <c r="AC802" s="738"/>
    </row>
    <row r="803" spans="1:31">
      <c r="A803" s="1156" t="s">
        <v>279</v>
      </c>
      <c r="B803" s="1156"/>
      <c r="C803" s="1156"/>
      <c r="D803" s="1156"/>
      <c r="E803" s="1156"/>
      <c r="F803" s="1156"/>
      <c r="G803" s="1156"/>
      <c r="H803" s="1156"/>
      <c r="I803" s="1156"/>
      <c r="J803" s="1156"/>
      <c r="K803" s="1156"/>
      <c r="L803" s="1156"/>
      <c r="M803" s="1156"/>
      <c r="N803" s="1156"/>
      <c r="O803" s="1156"/>
      <c r="P803" s="1156"/>
      <c r="Q803" s="1156"/>
      <c r="R803" s="1156"/>
      <c r="S803" s="1156"/>
      <c r="T803" s="1156"/>
      <c r="U803" s="1156"/>
      <c r="V803" s="1156"/>
      <c r="W803" s="1156"/>
      <c r="X803" s="1156"/>
      <c r="Y803" s="779"/>
      <c r="Z803" s="501"/>
      <c r="AA803" s="738"/>
      <c r="AC803" s="738"/>
    </row>
    <row r="804" spans="1:31">
      <c r="A804" s="1156" t="s">
        <v>499</v>
      </c>
      <c r="B804" s="1156"/>
      <c r="C804" s="1156"/>
      <c r="D804" s="1156"/>
      <c r="E804" s="1156"/>
      <c r="F804" s="1156"/>
      <c r="G804" s="1156"/>
      <c r="H804" s="1156"/>
      <c r="I804" s="1156"/>
      <c r="J804" s="1156"/>
      <c r="K804" s="1156"/>
      <c r="L804" s="1156"/>
      <c r="M804" s="1156"/>
      <c r="N804" s="1156"/>
      <c r="O804" s="1156"/>
      <c r="P804" s="1156"/>
      <c r="Q804" s="1156"/>
      <c r="R804" s="1156"/>
      <c r="S804" s="1156"/>
      <c r="T804" s="1156"/>
      <c r="U804" s="1156"/>
      <c r="V804" s="1156"/>
      <c r="W804" s="1156"/>
      <c r="X804" s="1156"/>
      <c r="Y804" s="713"/>
      <c r="Z804" s="713"/>
      <c r="AA804" s="738"/>
      <c r="AC804" s="738"/>
    </row>
    <row r="805" spans="1:31">
      <c r="A805" s="57"/>
      <c r="B805" s="57"/>
      <c r="C805" s="57"/>
      <c r="D805" s="57"/>
      <c r="E805" s="3"/>
      <c r="F805" s="57"/>
      <c r="G805" s="3"/>
      <c r="H805" s="57"/>
      <c r="I805" s="57"/>
      <c r="J805" s="501"/>
      <c r="K805" s="501"/>
      <c r="L805" s="4"/>
      <c r="M805" s="4"/>
      <c r="N805" s="501"/>
      <c r="O805" s="501"/>
      <c r="P805" s="57"/>
      <c r="Q805" s="501"/>
      <c r="R805" s="501"/>
      <c r="S805" s="501"/>
      <c r="T805" s="57"/>
      <c r="U805" s="57"/>
      <c r="V805" s="57"/>
      <c r="W805" s="501"/>
      <c r="X805" s="522"/>
      <c r="Y805" s="501"/>
      <c r="Z805" s="501"/>
      <c r="AA805" s="738"/>
      <c r="AC805" s="738"/>
    </row>
    <row r="806" spans="1:31">
      <c r="A806" s="3"/>
      <c r="B806" s="3"/>
      <c r="C806" s="3"/>
      <c r="D806" s="3"/>
      <c r="E806" s="58"/>
      <c r="F806" s="58"/>
      <c r="G806" s="1152" t="s">
        <v>231</v>
      </c>
      <c r="H806" s="1152"/>
      <c r="I806" s="1152"/>
      <c r="J806" s="1152"/>
      <c r="K806" s="58"/>
      <c r="L806" s="1152" t="s">
        <v>94</v>
      </c>
      <c r="M806" s="1152"/>
      <c r="N806" s="1152"/>
      <c r="O806" s="58"/>
      <c r="P806" s="3"/>
      <c r="Q806" s="1152" t="s">
        <v>95</v>
      </c>
      <c r="R806" s="1152"/>
      <c r="S806" s="1152"/>
      <c r="T806" s="3"/>
      <c r="U806" s="1152" t="s">
        <v>232</v>
      </c>
      <c r="V806" s="1152"/>
      <c r="W806" s="1152"/>
      <c r="X806" s="1152"/>
      <c r="Y806" s="6"/>
      <c r="Z806" s="501"/>
      <c r="AA806" s="738"/>
      <c r="AC806" s="738"/>
    </row>
    <row r="807" spans="1:31" ht="37.5">
      <c r="A807" s="5" t="s">
        <v>56</v>
      </c>
      <c r="B807" s="5"/>
      <c r="C807" s="5"/>
      <c r="D807" s="5"/>
      <c r="E807" s="6" t="s">
        <v>233</v>
      </c>
      <c r="F807" s="5"/>
      <c r="G807" s="17" t="s">
        <v>234</v>
      </c>
      <c r="H807" s="5"/>
      <c r="I807" s="17" t="s">
        <v>235</v>
      </c>
      <c r="J807" s="5" t="s">
        <v>101</v>
      </c>
      <c r="K807" s="5"/>
      <c r="L807" s="5" t="s">
        <v>491</v>
      </c>
      <c r="M807" s="5" t="s">
        <v>492</v>
      </c>
      <c r="N807" s="5" t="s">
        <v>493</v>
      </c>
      <c r="O807" s="5" t="s">
        <v>239</v>
      </c>
      <c r="P807" s="5"/>
      <c r="Q807" s="5" t="s">
        <v>491</v>
      </c>
      <c r="R807" s="5" t="s">
        <v>492</v>
      </c>
      <c r="S807" s="5" t="s">
        <v>493</v>
      </c>
      <c r="T807" s="5"/>
      <c r="U807" s="17" t="s">
        <v>113</v>
      </c>
      <c r="V807" s="17" t="s">
        <v>242</v>
      </c>
      <c r="W807" s="17" t="s">
        <v>243</v>
      </c>
      <c r="X807" s="5" t="s">
        <v>244</v>
      </c>
      <c r="Y807" s="5"/>
      <c r="Z807" s="501"/>
      <c r="AA807" s="738"/>
      <c r="AC807" s="738"/>
    </row>
    <row r="808" spans="1:31">
      <c r="A808" s="237" t="s">
        <v>57</v>
      </c>
      <c r="B808" s="58"/>
      <c r="C808" s="59" t="s">
        <v>194</v>
      </c>
      <c r="D808" s="58"/>
      <c r="E808" s="237" t="s">
        <v>245</v>
      </c>
      <c r="F808" s="58"/>
      <c r="G808" s="237" t="s">
        <v>246</v>
      </c>
      <c r="H808" s="58"/>
      <c r="I808" s="237" t="s">
        <v>397</v>
      </c>
      <c r="J808" s="237" t="s">
        <v>248</v>
      </c>
      <c r="K808" s="6"/>
      <c r="L808" s="237" t="s">
        <v>248</v>
      </c>
      <c r="M808" s="237" t="s">
        <v>248</v>
      </c>
      <c r="N808" s="237" t="s">
        <v>248</v>
      </c>
      <c r="O808" s="237" t="s">
        <v>248</v>
      </c>
      <c r="P808" s="58"/>
      <c r="Q808" s="237" t="s">
        <v>248</v>
      </c>
      <c r="R808" s="237" t="s">
        <v>248</v>
      </c>
      <c r="S808" s="237" t="s">
        <v>248</v>
      </c>
      <c r="T808" s="58"/>
      <c r="U808" s="237" t="s">
        <v>248</v>
      </c>
      <c r="V808" s="237" t="s">
        <v>397</v>
      </c>
      <c r="W808" s="237" t="s">
        <v>248</v>
      </c>
      <c r="X808" s="237" t="s">
        <v>249</v>
      </c>
      <c r="Y808" s="6"/>
      <c r="Z808" s="501"/>
      <c r="AA808" s="738"/>
      <c r="AC808" s="738"/>
    </row>
    <row r="809" spans="1:31">
      <c r="A809" s="6"/>
      <c r="B809" s="58"/>
      <c r="C809" s="58"/>
      <c r="D809" s="58"/>
      <c r="E809" s="6"/>
      <c r="F809" s="58"/>
      <c r="G809" s="6" t="s">
        <v>9</v>
      </c>
      <c r="H809" s="6"/>
      <c r="I809" s="6" t="s">
        <v>10</v>
      </c>
      <c r="J809" s="6" t="s">
        <v>58</v>
      </c>
      <c r="K809" s="6"/>
      <c r="L809" s="123" t="s">
        <v>12</v>
      </c>
      <c r="M809" s="123" t="s">
        <v>13</v>
      </c>
      <c r="N809" s="6" t="s">
        <v>115</v>
      </c>
      <c r="O809" s="6" t="s">
        <v>495</v>
      </c>
      <c r="P809" s="6"/>
      <c r="Q809" s="6" t="s">
        <v>210</v>
      </c>
      <c r="R809" s="6" t="s">
        <v>118</v>
      </c>
      <c r="S809" s="6" t="s">
        <v>119</v>
      </c>
      <c r="T809" s="6"/>
      <c r="U809" s="6" t="s">
        <v>496</v>
      </c>
      <c r="V809" s="6" t="s">
        <v>121</v>
      </c>
      <c r="W809" s="6" t="s">
        <v>497</v>
      </c>
      <c r="X809" s="6" t="s">
        <v>498</v>
      </c>
      <c r="Y809" s="501"/>
      <c r="Z809" s="501"/>
      <c r="AA809" s="738"/>
      <c r="AC809" s="738"/>
    </row>
    <row r="810" spans="1:31">
      <c r="C810" s="521"/>
      <c r="E810" s="30"/>
      <c r="G810" s="29"/>
      <c r="J810" s="538"/>
      <c r="K810" s="538"/>
      <c r="L810" s="538"/>
      <c r="M810" s="538"/>
      <c r="N810" s="538"/>
      <c r="O810" s="538"/>
      <c r="P810" s="64"/>
      <c r="Q810" s="538"/>
      <c r="R810" s="538"/>
      <c r="S810" s="538"/>
      <c r="T810" s="64"/>
      <c r="U810" s="64"/>
      <c r="V810" s="64"/>
      <c r="W810" s="538"/>
      <c r="X810" s="522"/>
      <c r="Y810" s="501"/>
      <c r="Z810" s="501"/>
    </row>
    <row r="811" spans="1:31">
      <c r="A811" s="6"/>
      <c r="B811" s="58"/>
      <c r="C811" s="723" t="s">
        <v>437</v>
      </c>
      <c r="D811" s="58"/>
      <c r="E811" s="574"/>
      <c r="F811" s="58"/>
      <c r="G811" s="29"/>
      <c r="H811" s="58"/>
      <c r="I811" s="58"/>
      <c r="J811" s="538"/>
      <c r="K811" s="538"/>
      <c r="L811" s="538"/>
      <c r="M811" s="538"/>
      <c r="N811" s="538"/>
      <c r="O811" s="538"/>
      <c r="P811" s="564"/>
      <c r="Q811" s="538"/>
      <c r="R811" s="538"/>
      <c r="S811" s="538"/>
      <c r="T811" s="564"/>
      <c r="U811" s="564"/>
      <c r="V811" s="564"/>
      <c r="W811" s="538"/>
      <c r="X811" s="522"/>
      <c r="Y811" s="501"/>
      <c r="Z811" s="501"/>
      <c r="AA811" s="738"/>
    </row>
    <row r="812" spans="1:31">
      <c r="A812" s="1">
        <f>MAX(A$723:A811)+1</f>
        <v>361</v>
      </c>
      <c r="C812" s="521" t="s">
        <v>438</v>
      </c>
      <c r="E812" s="522" t="s">
        <v>259</v>
      </c>
      <c r="G812" s="29">
        <v>24</v>
      </c>
      <c r="I812" s="29">
        <v>0</v>
      </c>
      <c r="J812" s="29">
        <v>0</v>
      </c>
      <c r="K812" s="538"/>
      <c r="L812" s="29">
        <v>0</v>
      </c>
      <c r="M812" s="29">
        <v>0</v>
      </c>
      <c r="N812" s="29">
        <v>0</v>
      </c>
      <c r="O812" s="29">
        <v>0</v>
      </c>
      <c r="P812" s="64"/>
      <c r="Q812" s="29">
        <v>0</v>
      </c>
      <c r="R812" s="29">
        <v>0</v>
      </c>
      <c r="S812" s="29">
        <v>0</v>
      </c>
      <c r="T812" s="64"/>
      <c r="U812" s="29">
        <v>0</v>
      </c>
      <c r="V812" s="29">
        <f>U812/G812*1000</f>
        <v>0</v>
      </c>
      <c r="W812" s="538">
        <f>U812-O812</f>
        <v>0</v>
      </c>
      <c r="X812" s="599"/>
      <c r="Y812" s="541"/>
      <c r="Z812" s="501"/>
      <c r="AA812" s="738"/>
      <c r="AE812" s="770"/>
    </row>
    <row r="813" spans="1:31">
      <c r="A813" s="1">
        <f>MAX(A$723:A812)+1</f>
        <v>362</v>
      </c>
      <c r="B813" s="58"/>
      <c r="C813" s="521" t="s">
        <v>439</v>
      </c>
      <c r="D813" s="58"/>
      <c r="E813" s="522" t="s">
        <v>331</v>
      </c>
      <c r="F813" s="58"/>
      <c r="G813" s="29">
        <v>4791112.166666666</v>
      </c>
      <c r="H813" s="58"/>
      <c r="I813" s="29">
        <v>0</v>
      </c>
      <c r="J813" s="29">
        <v>0</v>
      </c>
      <c r="K813" s="538"/>
      <c r="L813" s="29"/>
      <c r="M813" s="29"/>
      <c r="N813" s="29"/>
      <c r="O813" s="538"/>
      <c r="P813" s="564"/>
      <c r="Q813" s="29"/>
      <c r="R813" s="29"/>
      <c r="S813" s="29"/>
      <c r="T813" s="564"/>
      <c r="U813" s="29">
        <v>0</v>
      </c>
      <c r="V813" s="29">
        <f>U813/G813*1000</f>
        <v>0</v>
      </c>
      <c r="W813" s="538">
        <f>U813-O813</f>
        <v>0</v>
      </c>
      <c r="X813" s="599"/>
      <c r="Y813" s="541"/>
      <c r="Z813" s="501"/>
      <c r="AA813" s="738"/>
      <c r="AE813" s="764"/>
    </row>
    <row r="814" spans="1:31">
      <c r="A814" s="1">
        <f>MAX(A$723:A813)+1</f>
        <v>363</v>
      </c>
      <c r="B814" s="58"/>
      <c r="C814" s="521" t="s">
        <v>440</v>
      </c>
      <c r="D814" s="58"/>
      <c r="E814" s="522" t="s">
        <v>331</v>
      </c>
      <c r="F814" s="58"/>
      <c r="G814" s="29">
        <v>4791112.166666666</v>
      </c>
      <c r="H814" s="58"/>
      <c r="I814" s="701">
        <v>8.9999999999999993E-3</v>
      </c>
      <c r="J814" s="29">
        <v>43.120009500000002</v>
      </c>
      <c r="K814" s="29"/>
      <c r="L814" s="29">
        <v>0</v>
      </c>
      <c r="M814" s="29">
        <v>43.120009500000002</v>
      </c>
      <c r="N814" s="29">
        <v>0</v>
      </c>
      <c r="O814" s="29">
        <f>J814-L814-M814-N814</f>
        <v>0</v>
      </c>
      <c r="P814" s="564"/>
      <c r="Q814" s="29">
        <v>0</v>
      </c>
      <c r="R814" s="29">
        <v>53.702699847298454</v>
      </c>
      <c r="S814" s="29">
        <v>0</v>
      </c>
      <c r="T814" s="564"/>
      <c r="U814" s="64">
        <f>SUM(O814:S814)</f>
        <v>53.702699847298454</v>
      </c>
      <c r="V814" s="701">
        <v>1.0999999999999999E-2</v>
      </c>
      <c r="W814" s="538">
        <f>U814-J814</f>
        <v>10.582690347298453</v>
      </c>
      <c r="X814" s="29"/>
      <c r="Y814" s="541"/>
      <c r="Z814" s="501"/>
      <c r="AA814" s="738"/>
      <c r="AE814" s="764"/>
    </row>
    <row r="815" spans="1:31">
      <c r="A815" s="1">
        <f>MAX(A$723:A814)+1</f>
        <v>364</v>
      </c>
      <c r="B815" s="58"/>
      <c r="C815" s="521" t="s">
        <v>441</v>
      </c>
      <c r="D815" s="58"/>
      <c r="E815" s="522" t="s">
        <v>331</v>
      </c>
      <c r="F815" s="58"/>
      <c r="G815" s="501"/>
      <c r="H815" s="501"/>
      <c r="I815" s="501"/>
      <c r="J815" s="501"/>
      <c r="K815" s="501"/>
      <c r="L815" s="501"/>
      <c r="M815" s="501"/>
      <c r="N815" s="501"/>
      <c r="O815" s="501"/>
      <c r="P815" s="501"/>
      <c r="Q815" s="501"/>
      <c r="R815" s="501"/>
      <c r="S815" s="501"/>
      <c r="T815" s="501"/>
      <c r="U815" s="501"/>
      <c r="V815" s="501"/>
      <c r="W815" s="501"/>
      <c r="X815" s="501"/>
      <c r="Y815" s="29"/>
      <c r="Z815" s="501"/>
      <c r="AA815" s="738"/>
      <c r="AC815" s="738"/>
      <c r="AE815" s="764"/>
    </row>
    <row r="816" spans="1:31">
      <c r="A816" s="6"/>
      <c r="B816" s="58"/>
      <c r="C816" s="10"/>
      <c r="D816" s="58"/>
      <c r="E816" s="574"/>
      <c r="F816" s="58"/>
      <c r="G816" s="132"/>
      <c r="H816" s="58"/>
      <c r="I816" s="58"/>
      <c r="J816" s="538"/>
      <c r="K816" s="538"/>
      <c r="L816" s="538"/>
      <c r="M816" s="538"/>
      <c r="N816" s="538"/>
      <c r="O816" s="538"/>
      <c r="P816" s="564"/>
      <c r="Q816" s="538"/>
      <c r="R816" s="538"/>
      <c r="S816" s="538"/>
      <c r="T816" s="564"/>
      <c r="U816" s="564"/>
      <c r="V816" s="564"/>
      <c r="W816" s="538"/>
      <c r="X816" s="599"/>
      <c r="Y816" s="541"/>
      <c r="Z816" s="501"/>
      <c r="AA816" s="738"/>
    </row>
    <row r="817" spans="1:31" ht="12.95" thickBot="1">
      <c r="A817" s="1">
        <f>MAX(A$723:A816)+1</f>
        <v>365</v>
      </c>
      <c r="C817" s="724" t="str">
        <f>"Total " &amp;C811</f>
        <v>Total Rate M13</v>
      </c>
      <c r="G817" s="710">
        <f>G814</f>
        <v>4791112.166666666</v>
      </c>
      <c r="I817" s="720">
        <f>J817/G817*100</f>
        <v>9.0000000000000019E-4</v>
      </c>
      <c r="J817" s="710">
        <f>SUM(J812:J814)</f>
        <v>43.120009500000002</v>
      </c>
      <c r="K817" s="64"/>
      <c r="L817" s="710">
        <f>SUM(L812:L814)</f>
        <v>0</v>
      </c>
      <c r="M817" s="710">
        <f>SUM(M812:M814)</f>
        <v>43.120009500000002</v>
      </c>
      <c r="N817" s="710">
        <f>SUM(N812:N814)</f>
        <v>0</v>
      </c>
      <c r="O817" s="710">
        <f>SUM(O812:O814)</f>
        <v>0</v>
      </c>
      <c r="P817" s="64"/>
      <c r="Q817" s="710">
        <f>SUM(Q812:Q814)</f>
        <v>0</v>
      </c>
      <c r="R817" s="710">
        <f>SUM(R812:R814)</f>
        <v>53.702699847298454</v>
      </c>
      <c r="S817" s="710">
        <f>SUM(S812:S814)</f>
        <v>0</v>
      </c>
      <c r="T817" s="64"/>
      <c r="U817" s="710">
        <f>SUM(U812:U814)</f>
        <v>53.702699847298454</v>
      </c>
      <c r="V817" s="720">
        <f>U817/G817*100</f>
        <v>1.1208817071937012E-3</v>
      </c>
      <c r="W817" s="710">
        <f>SUM(W812:W814)</f>
        <v>10.582690347298453</v>
      </c>
      <c r="X817" s="805">
        <f>V817/I817-1</f>
        <v>0.24542411910411221</v>
      </c>
      <c r="Y817" s="722"/>
      <c r="Z817" s="501"/>
      <c r="AA817" s="738"/>
      <c r="AC817" s="738"/>
    </row>
    <row r="818" spans="1:31" ht="12.95" thickTop="1">
      <c r="A818" s="6"/>
      <c r="B818" s="581"/>
      <c r="C818" s="10"/>
      <c r="D818" s="581"/>
      <c r="E818" s="581"/>
      <c r="F818" s="581"/>
      <c r="G818" s="581"/>
      <c r="H818" s="581"/>
      <c r="I818" s="581"/>
      <c r="J818" s="538"/>
      <c r="K818" s="538"/>
      <c r="L818" s="538"/>
      <c r="M818" s="538"/>
      <c r="N818" s="538"/>
      <c r="O818" s="538"/>
      <c r="P818" s="582"/>
      <c r="Q818" s="538"/>
      <c r="R818" s="538"/>
      <c r="S818" s="538"/>
      <c r="T818" s="582"/>
      <c r="U818" s="582"/>
      <c r="V818" s="582"/>
      <c r="W818" s="538"/>
      <c r="X818" s="605"/>
      <c r="Y818" s="501"/>
      <c r="Z818" s="501"/>
    </row>
    <row r="819" spans="1:31">
      <c r="A819" s="1">
        <f>MAX(A$723:A818)+1</f>
        <v>366</v>
      </c>
      <c r="B819" s="57"/>
      <c r="C819" s="521" t="s">
        <v>506</v>
      </c>
      <c r="D819" s="57"/>
      <c r="E819" s="522" t="s">
        <v>259</v>
      </c>
      <c r="F819" s="57"/>
      <c r="G819" s="29">
        <v>768</v>
      </c>
      <c r="H819" s="57"/>
      <c r="I819" s="29">
        <v>0</v>
      </c>
      <c r="J819" s="538">
        <v>0</v>
      </c>
      <c r="K819" s="538"/>
      <c r="L819" s="538">
        <v>0</v>
      </c>
      <c r="M819" s="538">
        <v>0</v>
      </c>
      <c r="N819" s="538">
        <v>0</v>
      </c>
      <c r="O819" s="538">
        <v>0</v>
      </c>
      <c r="P819" s="583"/>
      <c r="Q819" s="538">
        <v>0</v>
      </c>
      <c r="R819" s="538">
        <v>0</v>
      </c>
      <c r="S819" s="538">
        <v>0</v>
      </c>
      <c r="T819" s="583"/>
      <c r="U819" s="132">
        <v>0</v>
      </c>
      <c r="V819" s="132">
        <v>0</v>
      </c>
      <c r="W819" s="538">
        <v>0</v>
      </c>
      <c r="X819" s="605"/>
      <c r="Y819" s="501"/>
      <c r="Z819" s="501"/>
      <c r="AA819" s="738"/>
    </row>
    <row r="820" spans="1:31">
      <c r="A820" s="6"/>
      <c r="B820" s="3"/>
      <c r="C820" s="3"/>
      <c r="D820" s="3"/>
      <c r="E820" s="57"/>
      <c r="F820" s="3"/>
      <c r="G820" s="57"/>
      <c r="H820" s="3"/>
      <c r="I820" s="3"/>
      <c r="J820" s="538"/>
      <c r="K820" s="538"/>
      <c r="L820" s="538"/>
      <c r="M820" s="538"/>
      <c r="N820" s="538"/>
      <c r="O820" s="538"/>
      <c r="P820" s="584"/>
      <c r="Q820" s="538"/>
      <c r="R820" s="538"/>
      <c r="S820" s="538"/>
      <c r="T820" s="584"/>
      <c r="U820" s="584"/>
      <c r="V820" s="584"/>
      <c r="W820" s="538"/>
      <c r="X820" s="605"/>
      <c r="Y820" s="501"/>
      <c r="Z820" s="501"/>
    </row>
    <row r="821" spans="1:31">
      <c r="A821" s="6"/>
      <c r="B821" s="5"/>
      <c r="C821" s="9" t="s">
        <v>164</v>
      </c>
      <c r="D821" s="5"/>
      <c r="E821" s="6"/>
      <c r="F821" s="5"/>
      <c r="G821" s="17"/>
      <c r="H821" s="5"/>
      <c r="I821" s="5"/>
      <c r="J821" s="538"/>
      <c r="K821" s="538"/>
      <c r="L821" s="538"/>
      <c r="M821" s="538"/>
      <c r="N821" s="538"/>
      <c r="O821" s="538"/>
      <c r="P821" s="585"/>
      <c r="Q821" s="538"/>
      <c r="R821" s="538"/>
      <c r="S821" s="538"/>
      <c r="T821" s="585"/>
      <c r="U821" s="585"/>
      <c r="V821" s="585"/>
      <c r="W821" s="538"/>
      <c r="X821" s="605"/>
      <c r="Y821" s="501"/>
      <c r="Z821" s="501"/>
    </row>
    <row r="822" spans="1:31">
      <c r="A822" s="1">
        <f>MAX(A$723:A821)+1</f>
        <v>367</v>
      </c>
      <c r="B822" s="6"/>
      <c r="C822" s="521" t="s">
        <v>438</v>
      </c>
      <c r="D822" s="58"/>
      <c r="E822" s="522" t="s">
        <v>259</v>
      </c>
      <c r="F822" s="58"/>
      <c r="G822" s="29">
        <v>24</v>
      </c>
      <c r="H822" s="58"/>
      <c r="I822" s="29">
        <v>0</v>
      </c>
      <c r="J822" s="538">
        <v>0</v>
      </c>
      <c r="K822" s="538"/>
      <c r="L822" s="29">
        <v>0</v>
      </c>
      <c r="M822" s="29">
        <v>0</v>
      </c>
      <c r="N822" s="29">
        <v>0</v>
      </c>
      <c r="O822" s="538">
        <v>0</v>
      </c>
      <c r="P822" s="564"/>
      <c r="Q822" s="29">
        <v>0</v>
      </c>
      <c r="R822" s="29">
        <v>0</v>
      </c>
      <c r="S822" s="29">
        <v>0</v>
      </c>
      <c r="T822" s="564"/>
      <c r="U822" s="538">
        <v>0</v>
      </c>
      <c r="V822" s="29">
        <f>U822/G822*1000</f>
        <v>0</v>
      </c>
      <c r="W822" s="538">
        <v>0</v>
      </c>
      <c r="X822" s="599"/>
      <c r="Y822" s="541"/>
      <c r="Z822" s="501"/>
      <c r="AA822" s="738"/>
      <c r="AE822" s="770"/>
    </row>
    <row r="823" spans="1:31">
      <c r="A823" s="1">
        <f>MAX(A$723:A822)+1</f>
        <v>368</v>
      </c>
      <c r="B823" s="6"/>
      <c r="C823" s="521" t="s">
        <v>439</v>
      </c>
      <c r="D823" s="58"/>
      <c r="E823" s="522" t="s">
        <v>331</v>
      </c>
      <c r="F823" s="58"/>
      <c r="G823" s="29">
        <v>5198226.8965517245</v>
      </c>
      <c r="H823" s="58"/>
      <c r="I823" s="29">
        <v>0</v>
      </c>
      <c r="J823" s="538">
        <v>0</v>
      </c>
      <c r="K823" s="538"/>
      <c r="L823" s="29">
        <v>0</v>
      </c>
      <c r="M823" s="29">
        <v>0</v>
      </c>
      <c r="N823" s="29">
        <v>0</v>
      </c>
      <c r="O823" s="538">
        <v>0</v>
      </c>
      <c r="P823" s="564"/>
      <c r="Q823" s="29">
        <v>0</v>
      </c>
      <c r="R823" s="29">
        <v>0</v>
      </c>
      <c r="S823" s="29">
        <v>0</v>
      </c>
      <c r="T823" s="564"/>
      <c r="U823" s="538">
        <v>0</v>
      </c>
      <c r="V823" s="29">
        <f>U823/G823*1000</f>
        <v>0</v>
      </c>
      <c r="W823" s="538">
        <v>0</v>
      </c>
      <c r="X823" s="599"/>
      <c r="Y823" s="541"/>
      <c r="Z823" s="501"/>
      <c r="AA823" s="738"/>
      <c r="AE823" s="764"/>
    </row>
    <row r="824" spans="1:31">
      <c r="B824" s="6"/>
      <c r="C824" s="521" t="s">
        <v>443</v>
      </c>
      <c r="D824" s="58"/>
      <c r="E824" s="522"/>
      <c r="F824" s="58"/>
      <c r="G824" s="29"/>
      <c r="H824" s="58"/>
      <c r="I824" s="537"/>
      <c r="J824" s="538"/>
      <c r="K824" s="538"/>
      <c r="L824" s="538"/>
      <c r="M824" s="538"/>
      <c r="N824" s="538"/>
      <c r="O824" s="538"/>
      <c r="P824" s="564"/>
      <c r="Q824" s="538"/>
      <c r="R824" s="538"/>
      <c r="S824" s="538"/>
      <c r="T824" s="564"/>
      <c r="U824" s="538"/>
      <c r="V824" s="29"/>
      <c r="W824" s="538"/>
      <c r="X824" s="599"/>
      <c r="Y824" s="541"/>
      <c r="Z824" s="501"/>
      <c r="AA824" s="738"/>
      <c r="AE824" s="764"/>
    </row>
    <row r="825" spans="1:31">
      <c r="A825" s="1">
        <f>MAX(A$723:A824)+1</f>
        <v>369</v>
      </c>
      <c r="B825" s="6"/>
      <c r="C825" s="526" t="s">
        <v>444</v>
      </c>
      <c r="D825" s="58"/>
      <c r="E825" s="522" t="s">
        <v>329</v>
      </c>
      <c r="F825" s="58"/>
      <c r="G825" s="29">
        <v>7333.3333333333339</v>
      </c>
      <c r="H825" s="58"/>
      <c r="I825" s="29">
        <v>0</v>
      </c>
      <c r="J825" s="29">
        <v>14.08</v>
      </c>
      <c r="K825" s="29"/>
      <c r="L825" s="29">
        <v>0</v>
      </c>
      <c r="M825" s="29">
        <v>0</v>
      </c>
      <c r="N825" s="29">
        <v>0</v>
      </c>
      <c r="O825" s="29">
        <f>J825-L825-M825-N825</f>
        <v>14.08</v>
      </c>
      <c r="P825" s="29"/>
      <c r="Q825" s="29">
        <v>0</v>
      </c>
      <c r="R825" s="29">
        <v>0</v>
      </c>
      <c r="S825" s="29">
        <v>0</v>
      </c>
      <c r="T825" s="29"/>
      <c r="U825" s="29">
        <f>SUM(O825:S825)</f>
        <v>14.08</v>
      </c>
      <c r="V825" s="29">
        <v>0</v>
      </c>
      <c r="W825" s="538">
        <f>U825-J825</f>
        <v>0</v>
      </c>
      <c r="X825" s="599"/>
      <c r="Y825" s="541"/>
      <c r="Z825" s="501"/>
      <c r="AA825" s="738"/>
    </row>
    <row r="826" spans="1:31">
      <c r="A826" s="1">
        <f>MAX(A$723:A825)+1</f>
        <v>370</v>
      </c>
      <c r="B826" s="6"/>
      <c r="C826" s="526" t="s">
        <v>445</v>
      </c>
      <c r="E826" s="522" t="s">
        <v>331</v>
      </c>
      <c r="G826" s="29">
        <v>655235.89655172406</v>
      </c>
      <c r="I826" s="678">
        <v>8.9999999999999993E-3</v>
      </c>
      <c r="J826" s="29">
        <v>5.8971230689655147</v>
      </c>
      <c r="K826" s="29"/>
      <c r="L826" s="29">
        <v>0</v>
      </c>
      <c r="M826" s="29">
        <v>5.8971230689655147</v>
      </c>
      <c r="N826" s="29">
        <v>0</v>
      </c>
      <c r="O826" s="29">
        <f t="shared" ref="O826:O829" si="307">J826-L826-M826-N826</f>
        <v>0</v>
      </c>
      <c r="P826" s="29"/>
      <c r="Q826" s="29">
        <v>0</v>
      </c>
      <c r="R826" s="29">
        <v>7.2829167841791715</v>
      </c>
      <c r="S826" s="29">
        <v>0</v>
      </c>
      <c r="T826" s="64"/>
      <c r="U826" s="29">
        <f>SUM(O826:S826)</f>
        <v>7.2829167841791715</v>
      </c>
      <c r="V826" s="29">
        <v>0</v>
      </c>
      <c r="W826" s="538">
        <f>U826-J826</f>
        <v>1.3857937152136568</v>
      </c>
      <c r="X826" s="576"/>
      <c r="Y826" s="538"/>
      <c r="Z826" s="501"/>
      <c r="AA826" s="738"/>
      <c r="AC826" s="738"/>
    </row>
    <row r="827" spans="1:31">
      <c r="A827" s="1">
        <f>MAX(A$723:A826)+1</f>
        <v>371</v>
      </c>
      <c r="B827" s="1"/>
      <c r="C827" s="526" t="s">
        <v>446</v>
      </c>
      <c r="E827" s="522" t="s">
        <v>331</v>
      </c>
      <c r="G827" s="29">
        <v>642043</v>
      </c>
      <c r="I827" s="678">
        <v>2.5999999999999999E-2</v>
      </c>
      <c r="J827" s="29">
        <v>16.693118000000002</v>
      </c>
      <c r="K827" s="29"/>
      <c r="L827" s="29">
        <v>0</v>
      </c>
      <c r="M827" s="29">
        <v>5.7783869999999995</v>
      </c>
      <c r="N827" s="29">
        <v>10.914731000000003</v>
      </c>
      <c r="O827" s="29">
        <f t="shared" si="307"/>
        <v>0</v>
      </c>
      <c r="P827" s="29"/>
      <c r="Q827" s="29">
        <v>0</v>
      </c>
      <c r="R827" s="29">
        <v>7.136278347191606</v>
      </c>
      <c r="S827" s="29">
        <v>10.721589673932364</v>
      </c>
      <c r="T827" s="64"/>
      <c r="U827" s="29">
        <f t="shared" ref="U827:U829" si="308">SUM(O827:S827)</f>
        <v>17.85786802112397</v>
      </c>
      <c r="V827" s="29">
        <v>0</v>
      </c>
      <c r="W827" s="538">
        <f t="shared" ref="W827:W829" si="309">U827-J827</f>
        <v>1.1647500211239681</v>
      </c>
      <c r="X827" s="576"/>
      <c r="Y827" s="538"/>
      <c r="Z827" s="501"/>
      <c r="AA827" s="738"/>
      <c r="AC827" s="738"/>
    </row>
    <row r="828" spans="1:31">
      <c r="A828" s="1">
        <f>MAX(A$723:A827)+1</f>
        <v>372</v>
      </c>
      <c r="B828" s="6"/>
      <c r="C828" s="526" t="s">
        <v>447</v>
      </c>
      <c r="D828" s="58"/>
      <c r="E828" s="522" t="s">
        <v>331</v>
      </c>
      <c r="F828" s="58"/>
      <c r="G828" s="29">
        <v>4542991</v>
      </c>
      <c r="H828" s="58"/>
      <c r="I828" s="678">
        <v>1.7286803034389036E-3</v>
      </c>
      <c r="J828" s="29">
        <v>41.728935447364961</v>
      </c>
      <c r="K828" s="29"/>
      <c r="L828" s="29">
        <v>0</v>
      </c>
      <c r="M828" s="29">
        <v>41.728935447364961</v>
      </c>
      <c r="N828" s="29">
        <v>0</v>
      </c>
      <c r="O828" s="29">
        <f t="shared" si="307"/>
        <v>0</v>
      </c>
      <c r="P828" s="29"/>
      <c r="Q828" s="29">
        <v>0</v>
      </c>
      <c r="R828" s="29">
        <v>50.878473061179172</v>
      </c>
      <c r="S828" s="29">
        <v>0</v>
      </c>
      <c r="T828" s="564"/>
      <c r="U828" s="29">
        <f t="shared" si="308"/>
        <v>50.878473061179172</v>
      </c>
      <c r="V828" s="29">
        <v>0</v>
      </c>
      <c r="W828" s="538">
        <f t="shared" si="309"/>
        <v>9.1495376138142106</v>
      </c>
      <c r="X828" s="576"/>
      <c r="Y828" s="538"/>
      <c r="Z828" s="501"/>
      <c r="AA828" s="738"/>
      <c r="AC828" s="738"/>
    </row>
    <row r="829" spans="1:31">
      <c r="A829" s="1">
        <f>MAX(A$723:A828)+1</f>
        <v>373</v>
      </c>
      <c r="B829" s="6"/>
      <c r="C829" s="526" t="s">
        <v>448</v>
      </c>
      <c r="D829" s="58"/>
      <c r="E829" s="522" t="s">
        <v>331</v>
      </c>
      <c r="F829" s="58"/>
      <c r="G829" s="29">
        <v>5048908.75</v>
      </c>
      <c r="H829" s="58"/>
      <c r="I829" s="678">
        <v>4.9154748349439599E-3</v>
      </c>
      <c r="J829" s="29">
        <v>131.890024936407</v>
      </c>
      <c r="K829" s="29"/>
      <c r="L829" s="29">
        <v>0</v>
      </c>
      <c r="M829" s="29">
        <v>46.375964052842299</v>
      </c>
      <c r="N829" s="29">
        <v>85.514060883564696</v>
      </c>
      <c r="O829" s="29">
        <f t="shared" si="307"/>
        <v>0</v>
      </c>
      <c r="P829" s="29"/>
      <c r="Q829" s="29">
        <v>0</v>
      </c>
      <c r="R829" s="29">
        <v>56.54441486351763</v>
      </c>
      <c r="S829" s="29">
        <v>84.952686123547664</v>
      </c>
      <c r="T829" s="564"/>
      <c r="U829" s="29">
        <f t="shared" si="308"/>
        <v>141.49710098706529</v>
      </c>
      <c r="V829" s="29">
        <v>0</v>
      </c>
      <c r="W829" s="538">
        <f t="shared" si="309"/>
        <v>9.6070760506582928</v>
      </c>
      <c r="X829" s="576"/>
      <c r="Y829" s="538"/>
      <c r="Z829" s="501"/>
      <c r="AA829" s="738"/>
      <c r="AC829" s="738"/>
    </row>
    <row r="830" spans="1:31">
      <c r="A830" s="6"/>
      <c r="B830" s="6"/>
      <c r="C830" s="521" t="s">
        <v>449</v>
      </c>
      <c r="D830" s="58"/>
      <c r="E830" s="522"/>
      <c r="F830" s="58"/>
      <c r="G830" s="29"/>
      <c r="H830" s="58"/>
      <c r="I830" s="58"/>
      <c r="J830" s="29"/>
      <c r="K830" s="29"/>
      <c r="L830" s="29"/>
      <c r="M830" s="29"/>
      <c r="N830" s="29"/>
      <c r="O830" s="29"/>
      <c r="P830" s="29"/>
      <c r="Q830" s="538"/>
      <c r="R830" s="538"/>
      <c r="S830" s="538"/>
      <c r="T830" s="564"/>
      <c r="U830" s="564"/>
      <c r="V830" s="564"/>
      <c r="W830" s="538"/>
      <c r="X830" s="599"/>
      <c r="Y830" s="541"/>
      <c r="Z830" s="501"/>
    </row>
    <row r="831" spans="1:31">
      <c r="A831" s="1">
        <f>MAX(A$723:A830)+1</f>
        <v>374</v>
      </c>
      <c r="B831" s="6"/>
      <c r="C831" s="526" t="s">
        <v>444</v>
      </c>
      <c r="D831" s="58"/>
      <c r="E831" s="522" t="s">
        <v>329</v>
      </c>
      <c r="F831" s="58"/>
      <c r="G831" s="29">
        <v>0</v>
      </c>
      <c r="H831" s="58"/>
      <c r="I831" s="29">
        <v>0</v>
      </c>
      <c r="J831" s="29">
        <v>0</v>
      </c>
      <c r="K831" s="29"/>
      <c r="L831" s="29">
        <v>0</v>
      </c>
      <c r="M831" s="29">
        <v>0</v>
      </c>
      <c r="N831" s="29">
        <v>0</v>
      </c>
      <c r="O831" s="29">
        <v>0</v>
      </c>
      <c r="P831" s="564"/>
      <c r="Q831" s="29">
        <v>0</v>
      </c>
      <c r="R831" s="29">
        <v>0</v>
      </c>
      <c r="S831" s="29">
        <v>0</v>
      </c>
      <c r="T831" s="564"/>
      <c r="U831" s="29">
        <v>0</v>
      </c>
      <c r="V831" s="29">
        <v>0</v>
      </c>
      <c r="W831" s="538">
        <f>U831-J831</f>
        <v>0</v>
      </c>
      <c r="X831" s="576"/>
      <c r="Y831" s="538"/>
      <c r="Z831" s="501"/>
    </row>
    <row r="832" spans="1:31">
      <c r="A832" s="1">
        <f>MAX(A$723:A831)+1</f>
        <v>375</v>
      </c>
      <c r="B832" s="6"/>
      <c r="C832" s="526" t="s">
        <v>445</v>
      </c>
      <c r="D832" s="58"/>
      <c r="E832" s="522" t="s">
        <v>331</v>
      </c>
      <c r="F832" s="58"/>
      <c r="G832" s="29">
        <v>0</v>
      </c>
      <c r="H832" s="58"/>
      <c r="I832" s="678">
        <v>8.9999999999999993E-3</v>
      </c>
      <c r="J832" s="29">
        <v>0</v>
      </c>
      <c r="K832" s="29"/>
      <c r="L832" s="29">
        <v>0</v>
      </c>
      <c r="M832" s="29">
        <v>0</v>
      </c>
      <c r="N832" s="29">
        <v>0</v>
      </c>
      <c r="O832" s="29">
        <v>0</v>
      </c>
      <c r="P832" s="564"/>
      <c r="Q832" s="29">
        <v>0</v>
      </c>
      <c r="R832" s="29">
        <v>0</v>
      </c>
      <c r="S832" s="29">
        <v>0</v>
      </c>
      <c r="T832" s="564"/>
      <c r="U832" s="29">
        <v>0</v>
      </c>
      <c r="V832" s="29">
        <v>0</v>
      </c>
      <c r="W832" s="538">
        <f t="shared" ref="W832:W835" si="310">U832-J832</f>
        <v>0</v>
      </c>
      <c r="X832" s="576"/>
      <c r="Y832" s="538"/>
      <c r="Z832" s="501"/>
    </row>
    <row r="833" spans="1:29">
      <c r="A833" s="1">
        <f>MAX(A$723:A832)+1</f>
        <v>376</v>
      </c>
      <c r="B833" s="6"/>
      <c r="C833" s="526" t="s">
        <v>446</v>
      </c>
      <c r="D833" s="58"/>
      <c r="E833" s="522" t="s">
        <v>331</v>
      </c>
      <c r="F833" s="58"/>
      <c r="G833" s="29">
        <v>0</v>
      </c>
      <c r="H833" s="58"/>
      <c r="I833" s="678">
        <v>1.0999999999999999E-2</v>
      </c>
      <c r="J833" s="29">
        <v>0</v>
      </c>
      <c r="K833" s="29"/>
      <c r="L833" s="29">
        <v>0</v>
      </c>
      <c r="M833" s="29">
        <v>0</v>
      </c>
      <c r="N833" s="29">
        <v>0</v>
      </c>
      <c r="O833" s="29">
        <v>0</v>
      </c>
      <c r="P833" s="564"/>
      <c r="Q833" s="29">
        <v>0</v>
      </c>
      <c r="R833" s="29">
        <v>0</v>
      </c>
      <c r="S833" s="29">
        <v>0</v>
      </c>
      <c r="T833" s="564"/>
      <c r="U833" s="29">
        <v>0</v>
      </c>
      <c r="V833" s="29">
        <v>0</v>
      </c>
      <c r="W833" s="538">
        <f t="shared" si="310"/>
        <v>0</v>
      </c>
      <c r="X833" s="576"/>
      <c r="Y833" s="538"/>
      <c r="Z833" s="501"/>
    </row>
    <row r="834" spans="1:29">
      <c r="A834" s="1">
        <f>MAX(A$723:A833)+1</f>
        <v>377</v>
      </c>
      <c r="B834" s="6"/>
      <c r="C834" s="526" t="s">
        <v>447</v>
      </c>
      <c r="D834" s="58"/>
      <c r="E834" s="522" t="s">
        <v>331</v>
      </c>
      <c r="F834" s="58"/>
      <c r="G834" s="29">
        <v>0</v>
      </c>
      <c r="H834" s="58"/>
      <c r="I834" s="699">
        <v>1.7286803034389036E-3</v>
      </c>
      <c r="J834" s="29">
        <v>0</v>
      </c>
      <c r="K834" s="29"/>
      <c r="L834" s="29">
        <v>0</v>
      </c>
      <c r="M834" s="29">
        <v>0</v>
      </c>
      <c r="N834" s="29">
        <v>0</v>
      </c>
      <c r="O834" s="29">
        <v>0</v>
      </c>
      <c r="P834" s="564"/>
      <c r="Q834" s="29">
        <v>0</v>
      </c>
      <c r="R834" s="29">
        <v>0</v>
      </c>
      <c r="S834" s="29">
        <v>0</v>
      </c>
      <c r="T834" s="564"/>
      <c r="U834" s="29">
        <v>0</v>
      </c>
      <c r="V834" s="29">
        <v>0</v>
      </c>
      <c r="W834" s="538">
        <f t="shared" si="310"/>
        <v>0</v>
      </c>
      <c r="X834" s="599"/>
      <c r="Y834" s="541"/>
      <c r="Z834" s="501"/>
    </row>
    <row r="835" spans="1:29">
      <c r="A835" s="6">
        <f>MAX(A$811:A834)+1</f>
        <v>378</v>
      </c>
      <c r="B835" s="6"/>
      <c r="C835" s="526" t="s">
        <v>448</v>
      </c>
      <c r="D835" s="58"/>
      <c r="E835" s="522" t="s">
        <v>331</v>
      </c>
      <c r="F835" s="58"/>
      <c r="G835" s="29">
        <v>0</v>
      </c>
      <c r="H835" s="58"/>
      <c r="I835" s="699">
        <v>1.9998532104164505E-3</v>
      </c>
      <c r="J835" s="29">
        <v>0</v>
      </c>
      <c r="K835" s="29"/>
      <c r="L835" s="29">
        <v>0</v>
      </c>
      <c r="M835" s="29">
        <v>0</v>
      </c>
      <c r="N835" s="29">
        <v>0</v>
      </c>
      <c r="O835" s="29">
        <v>0</v>
      </c>
      <c r="P835" s="564"/>
      <c r="Q835" s="29">
        <v>0</v>
      </c>
      <c r="R835" s="29">
        <v>0</v>
      </c>
      <c r="S835" s="29">
        <v>0</v>
      </c>
      <c r="T835" s="564"/>
      <c r="U835" s="29">
        <v>0</v>
      </c>
      <c r="V835" s="29">
        <v>0</v>
      </c>
      <c r="W835" s="538">
        <f t="shared" si="310"/>
        <v>0</v>
      </c>
      <c r="X835" s="576"/>
      <c r="Y835" s="538"/>
      <c r="Z835" s="501"/>
    </row>
    <row r="836" spans="1:29">
      <c r="A836" s="6"/>
      <c r="B836" s="6"/>
      <c r="C836" s="713"/>
      <c r="D836" s="58"/>
      <c r="E836" s="30"/>
      <c r="F836" s="58"/>
      <c r="G836" s="29"/>
      <c r="H836" s="58"/>
      <c r="I836" s="58"/>
      <c r="J836" s="538"/>
      <c r="K836" s="538"/>
      <c r="L836" s="538"/>
      <c r="M836" s="538"/>
      <c r="N836" s="538"/>
      <c r="O836" s="538"/>
      <c r="P836" s="564"/>
      <c r="Q836" s="538"/>
      <c r="R836" s="538"/>
      <c r="S836" s="538"/>
      <c r="T836" s="564"/>
      <c r="U836" s="564"/>
      <c r="V836" s="577"/>
      <c r="W836" s="538"/>
      <c r="X836" s="599"/>
      <c r="Y836" s="541"/>
      <c r="Z836" s="501"/>
    </row>
    <row r="837" spans="1:29" ht="12.95" thickBot="1">
      <c r="A837" s="6">
        <f>MAX(A$811:A836)+1</f>
        <v>379</v>
      </c>
      <c r="B837" s="6"/>
      <c r="C837" s="2" t="str">
        <f>"Total " &amp;C821</f>
        <v>Total Rate M16</v>
      </c>
      <c r="D837" s="58"/>
      <c r="E837" s="574"/>
      <c r="F837" s="58"/>
      <c r="G837" s="589">
        <f>SUM(G826:G835)</f>
        <v>10889178.646551725</v>
      </c>
      <c r="H837" s="58"/>
      <c r="I837" s="712">
        <f>J837/G837*100</f>
        <v>1.9311759709198062E-3</v>
      </c>
      <c r="J837" s="628">
        <f t="shared" ref="J837" si="311">SUM(J822:J835)</f>
        <v>210.28920145273747</v>
      </c>
      <c r="K837" s="564"/>
      <c r="L837" s="628">
        <f>SUM(L822:L835)</f>
        <v>0</v>
      </c>
      <c r="M837" s="628">
        <f t="shared" ref="M837:S837" si="312">SUM(M822:M835)</f>
        <v>99.780409569172775</v>
      </c>
      <c r="N837" s="628">
        <f t="shared" si="312"/>
        <v>96.428791883564699</v>
      </c>
      <c r="O837" s="628">
        <f t="shared" si="312"/>
        <v>14.08</v>
      </c>
      <c r="P837" s="564"/>
      <c r="Q837" s="628">
        <f t="shared" si="312"/>
        <v>0</v>
      </c>
      <c r="R837" s="628">
        <f t="shared" si="312"/>
        <v>121.84208305606758</v>
      </c>
      <c r="S837" s="628">
        <f t="shared" si="312"/>
        <v>95.674275797480021</v>
      </c>
      <c r="T837" s="564"/>
      <c r="U837" s="628">
        <f>SUM(U822:U835)</f>
        <v>231.5963588535476</v>
      </c>
      <c r="V837" s="763">
        <f>U837/G837*100</f>
        <v>2.1268487401195058E-3</v>
      </c>
      <c r="W837" s="628">
        <f t="shared" ref="W837" si="313">SUM(W822:W835)</f>
        <v>21.307157400810127</v>
      </c>
      <c r="X837" s="799">
        <f>V837/I837-1</f>
        <v>0.10132311718154918</v>
      </c>
      <c r="Y837" s="630"/>
      <c r="Z837" s="501"/>
      <c r="AA837" s="738"/>
      <c r="AC837" s="738"/>
    </row>
    <row r="838" spans="1:29" ht="12.95" thickTop="1">
      <c r="A838" s="6"/>
      <c r="B838" s="6"/>
      <c r="C838" s="12"/>
      <c r="D838" s="58"/>
      <c r="E838" s="574"/>
      <c r="F838" s="58"/>
      <c r="G838" s="29"/>
      <c r="H838" s="58"/>
      <c r="I838" s="58"/>
      <c r="J838" s="538"/>
      <c r="K838" s="538"/>
      <c r="L838" s="538"/>
      <c r="M838" s="538"/>
      <c r="N838" s="538"/>
      <c r="O838" s="538"/>
      <c r="P838" s="564"/>
      <c r="Q838" s="538"/>
      <c r="R838" s="538"/>
      <c r="S838" s="538"/>
      <c r="T838" s="564"/>
      <c r="U838" s="564"/>
      <c r="V838" s="564"/>
      <c r="W838" s="538"/>
      <c r="X838" s="605"/>
      <c r="Y838" s="501"/>
      <c r="Z838" s="501"/>
    </row>
    <row r="839" spans="1:29">
      <c r="J839" s="501"/>
      <c r="K839" s="501"/>
      <c r="L839" s="2"/>
      <c r="M839" s="2"/>
      <c r="N839" s="501"/>
      <c r="O839" s="501"/>
      <c r="Q839" s="501"/>
      <c r="R839" s="501"/>
      <c r="S839" s="501"/>
      <c r="W839" s="501"/>
      <c r="X839" s="605"/>
      <c r="Y839" s="501"/>
      <c r="Z839" s="501"/>
    </row>
    <row r="840" spans="1:29">
      <c r="J840" s="501"/>
      <c r="K840" s="501"/>
      <c r="L840" s="2"/>
      <c r="M840" s="2"/>
      <c r="N840" s="501"/>
      <c r="O840" s="501"/>
      <c r="Q840" s="501"/>
      <c r="R840" s="501"/>
      <c r="S840" s="501"/>
      <c r="W840" s="501"/>
      <c r="X840" s="605"/>
      <c r="Y840" s="501"/>
      <c r="Z840" s="501"/>
    </row>
    <row r="841" spans="1:29">
      <c r="J841" s="501"/>
      <c r="K841" s="501"/>
      <c r="L841" s="2"/>
      <c r="M841" s="2"/>
      <c r="N841" s="501"/>
      <c r="O841" s="501"/>
      <c r="Q841" s="501"/>
      <c r="R841" s="501"/>
      <c r="S841" s="501"/>
      <c r="W841" s="538"/>
      <c r="X841" s="522"/>
      <c r="Y841" s="501"/>
      <c r="Z841" s="501"/>
    </row>
    <row r="842" spans="1:29">
      <c r="A842" s="1156" t="s">
        <v>279</v>
      </c>
      <c r="B842" s="1156"/>
      <c r="C842" s="1156"/>
      <c r="D842" s="1156"/>
      <c r="E842" s="1156"/>
      <c r="F842" s="1156"/>
      <c r="G842" s="1156"/>
      <c r="H842" s="1156"/>
      <c r="I842" s="1156"/>
      <c r="J842" s="1156"/>
      <c r="K842" s="1156"/>
      <c r="L842" s="1156"/>
      <c r="M842" s="1156"/>
      <c r="N842" s="1156"/>
      <c r="O842" s="1156"/>
      <c r="P842" s="1156"/>
      <c r="Q842" s="1156"/>
      <c r="R842" s="1156"/>
      <c r="S842" s="1156"/>
      <c r="T842" s="1156"/>
      <c r="U842" s="1156"/>
      <c r="V842" s="1156"/>
      <c r="W842" s="1156"/>
      <c r="X842" s="1156"/>
      <c r="Y842" s="779"/>
      <c r="Z842" s="501"/>
    </row>
    <row r="843" spans="1:29">
      <c r="A843" s="1156" t="s">
        <v>499</v>
      </c>
      <c r="B843" s="1156"/>
      <c r="C843" s="1156"/>
      <c r="D843" s="1156"/>
      <c r="E843" s="1156"/>
      <c r="F843" s="1156"/>
      <c r="G843" s="1156"/>
      <c r="H843" s="1156"/>
      <c r="I843" s="1156"/>
      <c r="J843" s="1156"/>
      <c r="K843" s="1156"/>
      <c r="L843" s="1156"/>
      <c r="M843" s="1156"/>
      <c r="N843" s="1156"/>
      <c r="O843" s="1156"/>
      <c r="P843" s="1156"/>
      <c r="Q843" s="1156"/>
      <c r="R843" s="1156"/>
      <c r="S843" s="1156"/>
      <c r="T843" s="1156"/>
      <c r="U843" s="1156"/>
      <c r="V843" s="1156"/>
      <c r="W843" s="1156"/>
      <c r="X843" s="1156"/>
      <c r="Y843" s="713"/>
      <c r="Z843" s="713"/>
    </row>
    <row r="844" spans="1:29">
      <c r="A844" s="57"/>
      <c r="B844" s="57"/>
      <c r="C844" s="57"/>
      <c r="D844" s="57"/>
      <c r="E844" s="3"/>
      <c r="F844" s="57"/>
      <c r="G844" s="3"/>
      <c r="H844" s="57"/>
      <c r="I844" s="57"/>
      <c r="J844" s="501"/>
      <c r="K844" s="501"/>
      <c r="L844" s="4"/>
      <c r="M844" s="4"/>
      <c r="N844" s="501"/>
      <c r="O844" s="501"/>
      <c r="P844" s="57"/>
      <c r="Q844" s="501"/>
      <c r="R844" s="501"/>
      <c r="S844" s="501"/>
      <c r="T844" s="57"/>
      <c r="U844" s="57"/>
      <c r="V844" s="57"/>
      <c r="W844" s="501"/>
      <c r="X844" s="522"/>
      <c r="Y844" s="501"/>
      <c r="Z844" s="501"/>
    </row>
    <row r="845" spans="1:29">
      <c r="A845" s="3"/>
      <c r="B845" s="3"/>
      <c r="C845" s="3"/>
      <c r="D845" s="3"/>
      <c r="E845" s="58"/>
      <c r="F845" s="58"/>
      <c r="G845" s="1152" t="s">
        <v>231</v>
      </c>
      <c r="H845" s="1152"/>
      <c r="I845" s="1152"/>
      <c r="J845" s="1152"/>
      <c r="K845" s="58"/>
      <c r="L845" s="1152" t="s">
        <v>94</v>
      </c>
      <c r="M845" s="1152"/>
      <c r="N845" s="1152"/>
      <c r="O845" s="58"/>
      <c r="P845" s="3"/>
      <c r="Q845" s="1152" t="s">
        <v>95</v>
      </c>
      <c r="R845" s="1152"/>
      <c r="S845" s="1152"/>
      <c r="T845" s="3"/>
      <c r="U845" s="1152" t="s">
        <v>232</v>
      </c>
      <c r="V845" s="1152"/>
      <c r="W845" s="1152"/>
      <c r="X845" s="1152"/>
      <c r="Y845" s="6"/>
      <c r="Z845" s="501"/>
    </row>
    <row r="846" spans="1:29" ht="37.5">
      <c r="A846" s="5" t="s">
        <v>56</v>
      </c>
      <c r="B846" s="5"/>
      <c r="C846" s="5"/>
      <c r="D846" s="5"/>
      <c r="E846" s="6" t="s">
        <v>233</v>
      </c>
      <c r="F846" s="5"/>
      <c r="G846" s="17" t="s">
        <v>234</v>
      </c>
      <c r="H846" s="5"/>
      <c r="I846" s="17" t="s">
        <v>235</v>
      </c>
      <c r="J846" s="5" t="s">
        <v>101</v>
      </c>
      <c r="K846" s="5"/>
      <c r="L846" s="5" t="s">
        <v>491</v>
      </c>
      <c r="M846" s="5" t="s">
        <v>492</v>
      </c>
      <c r="N846" s="5" t="s">
        <v>493</v>
      </c>
      <c r="O846" s="5" t="s">
        <v>239</v>
      </c>
      <c r="P846" s="5"/>
      <c r="Q846" s="5" t="s">
        <v>491</v>
      </c>
      <c r="R846" s="5" t="s">
        <v>492</v>
      </c>
      <c r="S846" s="5" t="s">
        <v>493</v>
      </c>
      <c r="T846" s="5"/>
      <c r="U846" s="17" t="s">
        <v>113</v>
      </c>
      <c r="V846" s="17" t="s">
        <v>242</v>
      </c>
      <c r="W846" s="17" t="s">
        <v>243</v>
      </c>
      <c r="X846" s="5" t="s">
        <v>244</v>
      </c>
      <c r="Y846" s="5"/>
      <c r="Z846" s="501"/>
    </row>
    <row r="847" spans="1:29">
      <c r="A847" s="237" t="s">
        <v>57</v>
      </c>
      <c r="B847" s="58"/>
      <c r="C847" s="59" t="s">
        <v>194</v>
      </c>
      <c r="D847" s="58"/>
      <c r="E847" s="237" t="s">
        <v>245</v>
      </c>
      <c r="F847" s="58"/>
      <c r="G847" s="237" t="s">
        <v>246</v>
      </c>
      <c r="H847" s="58"/>
      <c r="I847" s="237" t="s">
        <v>397</v>
      </c>
      <c r="J847" s="237" t="s">
        <v>248</v>
      </c>
      <c r="K847" s="6"/>
      <c r="L847" s="237" t="s">
        <v>248</v>
      </c>
      <c r="M847" s="237" t="s">
        <v>248</v>
      </c>
      <c r="N847" s="237" t="s">
        <v>248</v>
      </c>
      <c r="O847" s="237" t="s">
        <v>248</v>
      </c>
      <c r="P847" s="58"/>
      <c r="Q847" s="237" t="s">
        <v>248</v>
      </c>
      <c r="R847" s="237" t="s">
        <v>248</v>
      </c>
      <c r="S847" s="237" t="s">
        <v>248</v>
      </c>
      <c r="T847" s="58"/>
      <c r="U847" s="237" t="s">
        <v>248</v>
      </c>
      <c r="V847" s="237" t="s">
        <v>397</v>
      </c>
      <c r="W847" s="237" t="s">
        <v>248</v>
      </c>
      <c r="X847" s="237" t="s">
        <v>249</v>
      </c>
      <c r="Y847" s="6"/>
      <c r="Z847" s="501"/>
    </row>
    <row r="848" spans="1:29">
      <c r="A848" s="6"/>
      <c r="B848" s="58"/>
      <c r="C848" s="58"/>
      <c r="D848" s="58"/>
      <c r="E848" s="6"/>
      <c r="F848" s="58"/>
      <c r="G848" s="6" t="s">
        <v>9</v>
      </c>
      <c r="H848" s="6"/>
      <c r="I848" s="6" t="s">
        <v>10</v>
      </c>
      <c r="J848" s="6" t="s">
        <v>58</v>
      </c>
      <c r="K848" s="6"/>
      <c r="L848" s="123" t="s">
        <v>12</v>
      </c>
      <c r="M848" s="123" t="s">
        <v>13</v>
      </c>
      <c r="N848" s="6" t="s">
        <v>115</v>
      </c>
      <c r="O848" s="6" t="s">
        <v>495</v>
      </c>
      <c r="P848" s="6"/>
      <c r="Q848" s="6" t="s">
        <v>210</v>
      </c>
      <c r="R848" s="6" t="s">
        <v>118</v>
      </c>
      <c r="S848" s="6" t="s">
        <v>119</v>
      </c>
      <c r="T848" s="6"/>
      <c r="U848" s="6" t="s">
        <v>496</v>
      </c>
      <c r="V848" s="6" t="s">
        <v>121</v>
      </c>
      <c r="W848" s="6" t="s">
        <v>497</v>
      </c>
      <c r="X848" s="6" t="s">
        <v>498</v>
      </c>
      <c r="Y848" s="501"/>
      <c r="Z848" s="501"/>
    </row>
    <row r="849" spans="1:31">
      <c r="A849" s="6"/>
      <c r="B849" s="6"/>
      <c r="C849" s="12"/>
      <c r="D849" s="58"/>
      <c r="E849" s="574"/>
      <c r="F849" s="58"/>
      <c r="G849" s="29"/>
      <c r="H849" s="58"/>
      <c r="I849" s="58"/>
      <c r="J849" s="538"/>
      <c r="K849" s="538"/>
      <c r="L849" s="538"/>
      <c r="M849" s="538"/>
      <c r="N849" s="538"/>
      <c r="O849" s="538"/>
      <c r="P849" s="564"/>
      <c r="Q849" s="538"/>
      <c r="R849" s="538"/>
      <c r="S849" s="538"/>
      <c r="T849" s="564"/>
      <c r="U849" s="564"/>
      <c r="V849" s="564"/>
      <c r="W849" s="538"/>
      <c r="X849" s="522"/>
      <c r="Y849" s="501"/>
      <c r="Z849" s="501"/>
    </row>
    <row r="850" spans="1:31">
      <c r="A850" s="6"/>
      <c r="B850" s="6"/>
      <c r="C850" s="9" t="s">
        <v>450</v>
      </c>
      <c r="D850" s="58"/>
      <c r="E850" s="30"/>
      <c r="F850" s="58"/>
      <c r="G850" s="29"/>
      <c r="H850" s="58"/>
      <c r="I850" s="58"/>
      <c r="J850" s="538"/>
      <c r="K850" s="538"/>
      <c r="L850" s="538"/>
      <c r="M850" s="538"/>
      <c r="N850" s="538"/>
      <c r="O850" s="538"/>
      <c r="P850" s="564"/>
      <c r="Q850" s="538"/>
      <c r="R850" s="538"/>
      <c r="S850" s="538"/>
      <c r="T850" s="564"/>
      <c r="U850" s="564"/>
      <c r="V850" s="564"/>
      <c r="W850" s="538"/>
      <c r="X850" s="522"/>
      <c r="Y850" s="501"/>
      <c r="Z850" s="501"/>
    </row>
    <row r="851" spans="1:31">
      <c r="A851" s="6">
        <f>MAX(A$811:A850)+1</f>
        <v>380</v>
      </c>
      <c r="B851" s="6"/>
      <c r="C851" s="521" t="s">
        <v>438</v>
      </c>
      <c r="D851" s="58"/>
      <c r="E851" s="522" t="s">
        <v>259</v>
      </c>
      <c r="F851" s="58"/>
      <c r="G851" s="29">
        <v>12</v>
      </c>
      <c r="H851" s="58"/>
      <c r="I851" s="29">
        <v>0</v>
      </c>
      <c r="J851" s="538">
        <v>0</v>
      </c>
      <c r="K851" s="538"/>
      <c r="L851" s="29">
        <v>0</v>
      </c>
      <c r="M851" s="29">
        <v>0</v>
      </c>
      <c r="N851" s="29">
        <v>0</v>
      </c>
      <c r="O851" s="538">
        <v>0</v>
      </c>
      <c r="P851" s="564"/>
      <c r="Q851" s="29">
        <v>0</v>
      </c>
      <c r="R851" s="29">
        <v>0</v>
      </c>
      <c r="S851" s="29">
        <v>0</v>
      </c>
      <c r="T851" s="564"/>
      <c r="U851" s="564">
        <v>0</v>
      </c>
      <c r="V851" s="29">
        <f>U851/G851*1000</f>
        <v>0</v>
      </c>
      <c r="W851" s="538">
        <v>0</v>
      </c>
      <c r="X851" s="782"/>
      <c r="Y851" s="541"/>
      <c r="Z851" s="501"/>
      <c r="AA851" s="738"/>
      <c r="AE851" s="770"/>
    </row>
    <row r="852" spans="1:31">
      <c r="A852" s="6"/>
      <c r="B852" s="6"/>
      <c r="C852" s="521" t="s">
        <v>423</v>
      </c>
      <c r="D852" s="58"/>
      <c r="E852" s="30"/>
      <c r="F852" s="58"/>
      <c r="G852" s="29"/>
      <c r="H852" s="58"/>
      <c r="I852" s="29"/>
      <c r="J852" s="538"/>
      <c r="K852" s="538"/>
      <c r="L852" s="29"/>
      <c r="M852" s="29"/>
      <c r="N852" s="29"/>
      <c r="O852" s="538"/>
      <c r="P852" s="564"/>
      <c r="Q852" s="29"/>
      <c r="R852" s="29"/>
      <c r="S852" s="29"/>
      <c r="T852" s="564"/>
      <c r="U852" s="564"/>
      <c r="V852" s="29"/>
      <c r="W852" s="538"/>
      <c r="X852" s="782"/>
      <c r="Y852" s="541"/>
      <c r="Z852" s="501"/>
      <c r="AA852" s="738"/>
    </row>
    <row r="853" spans="1:31">
      <c r="A853" s="6">
        <f>MAX(A$850:A852)+1</f>
        <v>381</v>
      </c>
      <c r="B853" s="6"/>
      <c r="C853" s="705" t="s">
        <v>451</v>
      </c>
      <c r="D853" s="58"/>
      <c r="E853" s="522" t="s">
        <v>382</v>
      </c>
      <c r="F853" s="58"/>
      <c r="G853" s="29">
        <v>8863</v>
      </c>
      <c r="H853" s="58"/>
      <c r="I853" s="29">
        <v>0</v>
      </c>
      <c r="J853" s="538">
        <v>0</v>
      </c>
      <c r="K853" s="538"/>
      <c r="L853" s="29">
        <v>0</v>
      </c>
      <c r="M853" s="29">
        <v>0</v>
      </c>
      <c r="N853" s="29">
        <v>0</v>
      </c>
      <c r="O853" s="538">
        <v>0</v>
      </c>
      <c r="P853" s="564"/>
      <c r="Q853" s="29">
        <v>0</v>
      </c>
      <c r="R853" s="29">
        <v>0</v>
      </c>
      <c r="S853" s="29">
        <v>0</v>
      </c>
      <c r="T853" s="564"/>
      <c r="U853" s="564">
        <v>0</v>
      </c>
      <c r="V853" s="29">
        <f>U853/G853*1000</f>
        <v>0</v>
      </c>
      <c r="W853" s="538">
        <v>0</v>
      </c>
      <c r="X853" s="782"/>
      <c r="Y853" s="541"/>
      <c r="Z853" s="501"/>
      <c r="AA853" s="738"/>
      <c r="AE853" s="764"/>
    </row>
    <row r="854" spans="1:31">
      <c r="A854" s="6">
        <f>MAX(A$850:A853)+1</f>
        <v>382</v>
      </c>
      <c r="B854" s="1"/>
      <c r="C854" s="705" t="s">
        <v>452</v>
      </c>
      <c r="E854" s="522" t="s">
        <v>382</v>
      </c>
      <c r="G854" s="29">
        <v>0</v>
      </c>
      <c r="I854" s="29">
        <v>0</v>
      </c>
      <c r="J854" s="29">
        <v>0</v>
      </c>
      <c r="K854" s="29"/>
      <c r="L854" s="29">
        <v>0</v>
      </c>
      <c r="M854" s="29">
        <v>0</v>
      </c>
      <c r="N854" s="29">
        <v>0</v>
      </c>
      <c r="O854" s="29">
        <v>0</v>
      </c>
      <c r="P854" s="64"/>
      <c r="Q854" s="29">
        <v>0</v>
      </c>
      <c r="R854" s="29">
        <v>0</v>
      </c>
      <c r="S854" s="29">
        <v>0</v>
      </c>
      <c r="T854" s="64"/>
      <c r="U854" s="564">
        <v>0</v>
      </c>
      <c r="V854" s="29">
        <f>I854</f>
        <v>0</v>
      </c>
      <c r="W854" s="538">
        <v>0</v>
      </c>
      <c r="X854" s="782"/>
      <c r="Y854" s="541"/>
      <c r="Z854" s="501"/>
      <c r="AA854" s="738"/>
      <c r="AE854" s="764"/>
    </row>
    <row r="855" spans="1:31">
      <c r="A855" s="6">
        <f>MAX(A$850:A854)+1</f>
        <v>383</v>
      </c>
      <c r="B855" s="1"/>
      <c r="C855" s="705" t="s">
        <v>453</v>
      </c>
      <c r="E855" s="522" t="s">
        <v>382</v>
      </c>
      <c r="G855" s="29">
        <v>0</v>
      </c>
      <c r="I855" s="29">
        <v>0</v>
      </c>
      <c r="J855" s="29">
        <v>0</v>
      </c>
      <c r="K855" s="29"/>
      <c r="L855" s="29">
        <v>0</v>
      </c>
      <c r="M855" s="29">
        <v>0</v>
      </c>
      <c r="N855" s="29">
        <v>0</v>
      </c>
      <c r="O855" s="29">
        <v>0</v>
      </c>
      <c r="P855" s="64"/>
      <c r="Q855" s="29">
        <v>0</v>
      </c>
      <c r="R855" s="29">
        <v>0</v>
      </c>
      <c r="S855" s="29">
        <v>0</v>
      </c>
      <c r="T855" s="64"/>
      <c r="U855" s="564">
        <v>0</v>
      </c>
      <c r="V855" s="29">
        <f>I855</f>
        <v>0</v>
      </c>
      <c r="W855" s="538">
        <v>0</v>
      </c>
      <c r="X855" s="782"/>
      <c r="Y855" s="541"/>
      <c r="Z855" s="501"/>
      <c r="AA855" s="738"/>
      <c r="AE855" s="764"/>
    </row>
    <row r="856" spans="1:31">
      <c r="A856" s="6"/>
      <c r="B856" s="1"/>
      <c r="C856" s="521" t="s">
        <v>428</v>
      </c>
      <c r="E856" s="501"/>
      <c r="G856" s="29"/>
      <c r="J856" s="538"/>
      <c r="K856" s="538"/>
      <c r="L856" s="29"/>
      <c r="M856" s="538"/>
      <c r="N856" s="538"/>
      <c r="O856" s="538"/>
      <c r="P856" s="64"/>
      <c r="Q856" s="538"/>
      <c r="R856" s="538"/>
      <c r="S856" s="538"/>
      <c r="T856" s="64"/>
      <c r="U856" s="564"/>
      <c r="V856" s="29"/>
      <c r="W856" s="538"/>
      <c r="X856" s="782"/>
      <c r="Y856" s="541"/>
      <c r="Z856" s="501"/>
      <c r="AA856" s="738"/>
      <c r="AE856" s="764"/>
    </row>
    <row r="857" spans="1:31">
      <c r="A857" s="6">
        <f>MAX(A$850:A856)+1</f>
        <v>384</v>
      </c>
      <c r="B857" s="6"/>
      <c r="C857" s="526" t="s">
        <v>389</v>
      </c>
      <c r="E857" s="522" t="s">
        <v>331</v>
      </c>
      <c r="G857" s="29">
        <v>1303506.0105505299</v>
      </c>
      <c r="I857" s="29">
        <v>0</v>
      </c>
      <c r="J857" s="538">
        <v>41.171305514776698</v>
      </c>
      <c r="K857" s="538"/>
      <c r="L857" s="29">
        <v>0</v>
      </c>
      <c r="M857" s="29">
        <v>11.973151205783873</v>
      </c>
      <c r="N857" s="29">
        <v>29.198154308992827</v>
      </c>
      <c r="O857" s="538">
        <f>J857-L857-M857-N857</f>
        <v>0</v>
      </c>
      <c r="P857" s="64"/>
      <c r="Q857" s="29">
        <v>0</v>
      </c>
      <c r="R857" s="29">
        <v>14.61077492690648</v>
      </c>
      <c r="S857" s="29">
        <v>29.038100539070125</v>
      </c>
      <c r="T857" s="64"/>
      <c r="U857" s="564">
        <f>SUM(O857:S857)</f>
        <v>43.648875465976602</v>
      </c>
      <c r="V857" s="29">
        <f>U857/G857*1000</f>
        <v>3.3485749288982333E-2</v>
      </c>
      <c r="W857" s="538">
        <f>U857-J857</f>
        <v>2.4775699511999036</v>
      </c>
      <c r="X857" s="782"/>
      <c r="Y857" s="541"/>
      <c r="Z857" s="501"/>
      <c r="AA857" s="738"/>
      <c r="AC857" s="738"/>
      <c r="AE857" s="764"/>
    </row>
    <row r="858" spans="1:31">
      <c r="A858" s="6"/>
      <c r="B858" s="1"/>
      <c r="C858" s="501"/>
      <c r="E858" s="30"/>
      <c r="G858" s="29"/>
      <c r="J858" s="538"/>
      <c r="K858" s="538"/>
      <c r="L858" s="538"/>
      <c r="M858" s="538"/>
      <c r="N858" s="538"/>
      <c r="O858" s="538"/>
      <c r="P858" s="64"/>
      <c r="Q858" s="538"/>
      <c r="R858" s="538"/>
      <c r="S858" s="538"/>
      <c r="T858" s="64"/>
      <c r="U858" s="64"/>
      <c r="V858" s="580"/>
      <c r="W858" s="538"/>
      <c r="X858" s="782"/>
      <c r="Y858" s="541"/>
      <c r="Z858" s="501"/>
      <c r="AA858" s="738"/>
    </row>
    <row r="859" spans="1:31" ht="12.95" thickBot="1">
      <c r="A859" s="6">
        <f>MAX(A$850:A858)+1</f>
        <v>385</v>
      </c>
      <c r="B859" s="6"/>
      <c r="C859" s="501" t="s">
        <v>454</v>
      </c>
      <c r="E859" s="30"/>
      <c r="G859" s="589">
        <v>1303506.0105505299</v>
      </c>
      <c r="I859" s="720">
        <f>J859/G859*1000</f>
        <v>3.1585052298599058E-2</v>
      </c>
      <c r="J859" s="710">
        <f t="shared" ref="J859" si="314">SUM(J851:J857)</f>
        <v>41.171305514776698</v>
      </c>
      <c r="K859" s="64"/>
      <c r="L859" s="710">
        <f>SUM(L851:L857)</f>
        <v>0</v>
      </c>
      <c r="M859" s="710">
        <f t="shared" ref="M859:U859" si="315">SUM(M851:M857)</f>
        <v>11.973151205783873</v>
      </c>
      <c r="N859" s="710">
        <f t="shared" si="315"/>
        <v>29.198154308992827</v>
      </c>
      <c r="O859" s="710">
        <f t="shared" si="315"/>
        <v>0</v>
      </c>
      <c r="P859" s="64"/>
      <c r="Q859" s="710">
        <f t="shared" si="315"/>
        <v>0</v>
      </c>
      <c r="R859" s="710">
        <f t="shared" si="315"/>
        <v>14.61077492690648</v>
      </c>
      <c r="S859" s="710">
        <f t="shared" si="315"/>
        <v>29.038100539070125</v>
      </c>
      <c r="T859" s="64"/>
      <c r="U859" s="710">
        <f t="shared" si="315"/>
        <v>43.648875465976602</v>
      </c>
      <c r="V859" s="771">
        <f>U859/G859*1000</f>
        <v>3.3485749288982333E-2</v>
      </c>
      <c r="W859" s="710">
        <f t="shared" ref="W859" si="316">SUM(W851:W857)</f>
        <v>2.4775699511999036</v>
      </c>
      <c r="X859" s="805">
        <f>V859/I859-1</f>
        <v>6.0177104423144501E-2</v>
      </c>
      <c r="Y859" s="722"/>
      <c r="Z859" s="501"/>
      <c r="AA859" s="738"/>
      <c r="AC859" s="738"/>
    </row>
    <row r="860" spans="1:31" ht="12.95" thickTop="1">
      <c r="A860" s="6"/>
      <c r="B860" s="6"/>
      <c r="C860" s="501"/>
      <c r="E860" s="30"/>
      <c r="G860" s="29"/>
      <c r="J860" s="501"/>
      <c r="K860" s="501"/>
      <c r="L860" s="501"/>
      <c r="M860" s="501"/>
      <c r="N860" s="501"/>
      <c r="O860" s="501"/>
      <c r="Q860" s="501"/>
      <c r="R860" s="501"/>
      <c r="S860" s="501"/>
      <c r="W860" s="538"/>
      <c r="X860" s="522"/>
      <c r="Y860" s="501"/>
      <c r="Z860" s="501"/>
      <c r="AA860" s="738"/>
      <c r="AB860" s="738"/>
      <c r="AC860" s="738"/>
    </row>
    <row r="861" spans="1:31">
      <c r="A861" s="6">
        <f>MAX(A$850:A860)+1</f>
        <v>386</v>
      </c>
      <c r="B861" s="6"/>
      <c r="C861" s="726" t="s">
        <v>507</v>
      </c>
      <c r="E861" s="30"/>
      <c r="G861" s="29"/>
      <c r="J861" s="538">
        <v>0</v>
      </c>
      <c r="K861" s="538"/>
      <c r="L861" s="501"/>
      <c r="M861" s="501"/>
      <c r="N861" s="501"/>
      <c r="O861" s="538">
        <v>0</v>
      </c>
      <c r="Q861" s="501"/>
      <c r="R861" s="501"/>
      <c r="S861" s="501"/>
      <c r="U861" s="64">
        <v>0</v>
      </c>
      <c r="W861" s="501"/>
      <c r="X861" s="522"/>
      <c r="Y861" s="501"/>
      <c r="Z861" s="501"/>
    </row>
    <row r="862" spans="1:31">
      <c r="A862" s="6"/>
      <c r="B862" s="6"/>
      <c r="C862" s="727" t="s">
        <v>456</v>
      </c>
      <c r="E862" s="30"/>
      <c r="G862" s="29"/>
      <c r="J862" s="501"/>
      <c r="K862" s="501"/>
      <c r="L862" s="501"/>
      <c r="M862" s="501"/>
      <c r="N862" s="501"/>
      <c r="O862" s="501"/>
      <c r="Q862" s="501"/>
      <c r="R862" s="501"/>
      <c r="S862" s="501"/>
      <c r="W862" s="501"/>
      <c r="X862" s="522"/>
      <c r="Y862" s="501"/>
      <c r="Z862" s="501"/>
    </row>
    <row r="863" spans="1:31" ht="12.95" thickBot="1">
      <c r="A863" s="6">
        <f>MAX(A$850:A862)+1</f>
        <v>387</v>
      </c>
      <c r="B863" s="1"/>
      <c r="C863" s="501" t="s">
        <v>166</v>
      </c>
      <c r="E863" s="30"/>
      <c r="G863" s="29"/>
      <c r="J863" s="709">
        <f>J727+J732+J735+J763+J798+J817+J819+J837+J859+J861</f>
        <v>22505.731247648146</v>
      </c>
      <c r="K863" s="567"/>
      <c r="L863" s="710">
        <f>L727+L732+L735+L763+L798+L817+L819+L837+L859+L861</f>
        <v>0</v>
      </c>
      <c r="M863" s="709">
        <f>M727+M732+M735+M763+M798+M817+M819+M837+M859+M861</f>
        <v>6290.4132729831172</v>
      </c>
      <c r="N863" s="709">
        <f>N727+N732+N735+N763+N798+N817+N819+N837+N859+N861</f>
        <v>16130.338134665028</v>
      </c>
      <c r="O863" s="709">
        <f>O727+O732+O735+O763+O798+O817+O819+O837+O859+O861</f>
        <v>84.979839999999996</v>
      </c>
      <c r="P863" s="567"/>
      <c r="Q863" s="710">
        <f>Q727+Q732+Q735+Q763+Q798+Q817+Q819+Q837+Q859+Q861</f>
        <v>0</v>
      </c>
      <c r="R863" s="709">
        <f>R727+R732+R735+R763+R798+R817+R819+R837+R859+R861</f>
        <v>7687.2236298008047</v>
      </c>
      <c r="S863" s="709">
        <f>S727+S732+S735+S763+S798+S817+S819+S837+S859+S861</f>
        <v>16044.269192972833</v>
      </c>
      <c r="T863" s="567"/>
      <c r="U863" s="709">
        <f>U727+U732+U735+U763+U798+U817+U819+U837+U859+U861</f>
        <v>23816.472662773638</v>
      </c>
      <c r="V863" s="567"/>
      <c r="W863" s="709">
        <f>W727+W732+W735+W763+W798+W817+W819+W837+W859+W861</f>
        <v>1310.7414151254959</v>
      </c>
      <c r="X863" s="522"/>
      <c r="Y863" s="501"/>
      <c r="Z863" s="501"/>
    </row>
    <row r="864" spans="1:31" ht="12.95" thickTop="1">
      <c r="A864" s="6"/>
      <c r="B864" s="6"/>
      <c r="E864" s="30"/>
      <c r="G864" s="29"/>
      <c r="J864" s="501"/>
      <c r="K864" s="501"/>
      <c r="L864" s="501"/>
      <c r="M864" s="501"/>
      <c r="N864" s="501"/>
      <c r="O864" s="501"/>
      <c r="Q864" s="501"/>
      <c r="R864" s="501"/>
      <c r="S864" s="501"/>
      <c r="W864" s="501"/>
      <c r="X864" s="535"/>
      <c r="Y864" s="534"/>
      <c r="Z864" s="501"/>
    </row>
    <row r="865" spans="1:26" ht="12.95" thickBot="1">
      <c r="A865" s="6">
        <f>MAX(A$850:A864)+1</f>
        <v>388</v>
      </c>
      <c r="B865" s="1"/>
      <c r="C865" s="727" t="s">
        <v>508</v>
      </c>
      <c r="E865" s="30"/>
      <c r="G865" s="29"/>
      <c r="J865" s="627">
        <f>J709+J863</f>
        <v>3137862.8553524385</v>
      </c>
      <c r="K865" s="539"/>
      <c r="L865" s="627">
        <f>L709+L863</f>
        <v>4279.0945088308627</v>
      </c>
      <c r="M865" s="627">
        <f>M709+M863</f>
        <v>44447.217232064511</v>
      </c>
      <c r="N865" s="627">
        <f>N709+N863</f>
        <v>36592.89998631717</v>
      </c>
      <c r="O865" s="627">
        <f>O709+O863</f>
        <v>3052543.6436252259</v>
      </c>
      <c r="P865" s="539"/>
      <c r="Q865" s="627">
        <f>Q709+Q863</f>
        <v>3884.1941707516062</v>
      </c>
      <c r="R865" s="627">
        <f>R709+R863</f>
        <v>50562.222007935474</v>
      </c>
      <c r="S865" s="627">
        <f>S709+S863</f>
        <v>35305.431017854789</v>
      </c>
      <c r="T865" s="539"/>
      <c r="U865" s="627">
        <f>U709+U863</f>
        <v>3142295.4908217676</v>
      </c>
      <c r="V865" s="539"/>
      <c r="W865" s="627">
        <f>W709+W863</f>
        <v>4432.6354693294734</v>
      </c>
      <c r="X865" s="522"/>
      <c r="Y865" s="534"/>
      <c r="Z865" s="501"/>
    </row>
    <row r="866" spans="1:26" ht="12.95" thickTop="1">
      <c r="A866" s="6"/>
      <c r="B866" s="58"/>
      <c r="C866" s="12"/>
      <c r="D866" s="58"/>
      <c r="E866" s="574"/>
      <c r="F866" s="58"/>
      <c r="G866" s="29"/>
      <c r="H866" s="58"/>
      <c r="I866" s="58"/>
      <c r="J866" s="728"/>
      <c r="K866" s="806"/>
      <c r="L866" s="728"/>
      <c r="M866" s="728"/>
      <c r="N866" s="728"/>
      <c r="O866" s="728"/>
      <c r="P866" s="728"/>
      <c r="Q866" s="728"/>
      <c r="R866" s="728"/>
      <c r="S866" s="728"/>
      <c r="T866" s="728"/>
      <c r="U866" s="728"/>
      <c r="V866" s="728"/>
      <c r="W866" s="728"/>
      <c r="X866" s="535"/>
      <c r="Y866" s="501"/>
      <c r="Z866" s="501"/>
    </row>
    <row r="867" spans="1:26">
      <c r="G867" s="129"/>
      <c r="J867" s="728"/>
      <c r="K867" s="806"/>
      <c r="L867" s="728"/>
      <c r="M867" s="728"/>
      <c r="N867" s="728"/>
      <c r="O867" s="728"/>
      <c r="P867" s="728"/>
      <c r="Q867" s="728"/>
      <c r="R867" s="728"/>
      <c r="S867" s="728"/>
      <c r="T867" s="728"/>
      <c r="U867" s="728"/>
      <c r="V867" s="728"/>
      <c r="W867" s="728"/>
      <c r="X867" s="522"/>
      <c r="Y867" s="501"/>
      <c r="Z867" s="501"/>
    </row>
    <row r="868" spans="1:26">
      <c r="A868" s="9" t="s">
        <v>458</v>
      </c>
      <c r="B868" s="58"/>
      <c r="D868" s="58"/>
      <c r="E868" s="30"/>
      <c r="F868" s="58"/>
      <c r="G868" s="132"/>
      <c r="H868" s="58"/>
      <c r="I868" s="58"/>
      <c r="J868" s="501"/>
      <c r="K868" s="501"/>
      <c r="L868" s="501"/>
      <c r="M868" s="501"/>
      <c r="N868" s="501"/>
      <c r="O868" s="501"/>
      <c r="P868" s="58"/>
      <c r="Q868" s="501"/>
      <c r="R868" s="501"/>
      <c r="S868" s="501"/>
      <c r="T868" s="58"/>
      <c r="U868" s="58"/>
      <c r="V868" s="58"/>
      <c r="W868" s="501"/>
      <c r="X868" s="522"/>
      <c r="Y868" s="501"/>
      <c r="Z868" s="501"/>
    </row>
    <row r="869" spans="1:26">
      <c r="A869" s="15" t="s">
        <v>459</v>
      </c>
      <c r="C869" s="2" t="s">
        <v>509</v>
      </c>
      <c r="D869" s="58"/>
      <c r="E869" s="30"/>
      <c r="F869" s="58"/>
      <c r="G869" s="29"/>
      <c r="H869" s="58"/>
      <c r="I869" s="58"/>
      <c r="J869" s="807"/>
      <c r="K869" s="807"/>
      <c r="L869" s="501"/>
      <c r="M869" s="501"/>
      <c r="N869" s="501"/>
      <c r="O869" s="807"/>
      <c r="P869" s="58"/>
      <c r="Q869" s="501"/>
      <c r="R869" s="501"/>
      <c r="S869" s="501"/>
      <c r="T869" s="58"/>
      <c r="U869" s="58"/>
      <c r="V869" s="58"/>
      <c r="W869" s="501"/>
      <c r="X869" s="522"/>
      <c r="Y869" s="501"/>
      <c r="Z869" s="501"/>
    </row>
    <row r="870" spans="1:26">
      <c r="A870" s="15" t="s">
        <v>461</v>
      </c>
      <c r="B870" s="501"/>
      <c r="C870" s="2" t="s">
        <v>510</v>
      </c>
      <c r="D870" s="58"/>
      <c r="E870" s="30"/>
      <c r="F870" s="58"/>
      <c r="G870" s="29"/>
      <c r="H870" s="58"/>
      <c r="I870" s="58"/>
      <c r="J870" s="807"/>
      <c r="K870" s="807"/>
      <c r="L870" s="501"/>
      <c r="M870" s="501"/>
      <c r="N870" s="501"/>
      <c r="O870" s="807"/>
      <c r="P870" s="58"/>
      <c r="Q870" s="501"/>
      <c r="R870" s="501"/>
      <c r="S870" s="501"/>
      <c r="T870" s="58"/>
      <c r="U870" s="58"/>
      <c r="V870" s="58"/>
      <c r="W870" s="501"/>
      <c r="X870" s="522"/>
      <c r="Y870" s="501"/>
      <c r="Z870" s="501"/>
    </row>
    <row r="871" spans="1:26">
      <c r="A871" s="15" t="s">
        <v>462</v>
      </c>
      <c r="B871" s="501"/>
      <c r="C871" s="2" t="s">
        <v>466</v>
      </c>
      <c r="D871" s="58"/>
      <c r="E871" s="30"/>
      <c r="F871" s="58"/>
      <c r="G871" s="29"/>
      <c r="H871" s="58"/>
      <c r="I871" s="58"/>
      <c r="J871" s="807"/>
      <c r="K871" s="807"/>
      <c r="L871" s="501"/>
      <c r="M871" s="501"/>
      <c r="N871" s="501"/>
      <c r="O871" s="807"/>
      <c r="P871" s="58"/>
      <c r="Q871" s="501"/>
      <c r="R871" s="501"/>
      <c r="S871" s="501"/>
      <c r="T871" s="58"/>
      <c r="U871" s="58"/>
      <c r="V871" s="58"/>
      <c r="W871" s="501"/>
      <c r="X871" s="522"/>
      <c r="Y871" s="501"/>
      <c r="Z871" s="501"/>
    </row>
    <row r="872" spans="1:26">
      <c r="A872" s="15" t="s">
        <v>463</v>
      </c>
      <c r="B872" s="501"/>
      <c r="C872" s="2" t="s">
        <v>468</v>
      </c>
      <c r="D872" s="58"/>
      <c r="E872" s="30"/>
      <c r="F872" s="58"/>
      <c r="G872" s="29"/>
      <c r="H872" s="58"/>
      <c r="I872" s="58"/>
      <c r="J872" s="807"/>
      <c r="K872" s="807"/>
      <c r="L872" s="501"/>
      <c r="M872" s="501"/>
      <c r="N872" s="501"/>
      <c r="O872" s="807"/>
      <c r="P872" s="58"/>
      <c r="Q872" s="501"/>
      <c r="R872" s="501"/>
      <c r="S872" s="501"/>
      <c r="T872" s="58"/>
      <c r="U872" s="58"/>
      <c r="V872" s="58"/>
      <c r="W872" s="501"/>
      <c r="X872" s="522"/>
      <c r="Y872" s="501"/>
      <c r="Z872" s="501"/>
    </row>
    <row r="873" spans="1:26">
      <c r="A873" s="15" t="s">
        <v>465</v>
      </c>
      <c r="C873" s="2" t="s">
        <v>511</v>
      </c>
      <c r="D873" s="58"/>
      <c r="E873" s="574"/>
      <c r="F873" s="58"/>
      <c r="G873" s="132"/>
      <c r="H873" s="58"/>
      <c r="I873" s="58"/>
      <c r="J873" s="534"/>
      <c r="K873" s="534"/>
      <c r="L873" s="604"/>
      <c r="M873" s="501"/>
      <c r="N873" s="501"/>
      <c r="O873" s="534"/>
      <c r="P873" s="58"/>
      <c r="Q873" s="501"/>
      <c r="R873" s="501"/>
      <c r="S873" s="501"/>
      <c r="T873" s="58"/>
      <c r="U873" s="58"/>
      <c r="V873" s="58"/>
      <c r="W873" s="501"/>
      <c r="X873" s="522"/>
      <c r="Y873" s="501"/>
      <c r="Z873" s="501"/>
    </row>
    <row r="874" spans="1:26">
      <c r="A874" s="15" t="s">
        <v>467</v>
      </c>
      <c r="B874" s="15"/>
      <c r="C874" s="16" t="s">
        <v>512</v>
      </c>
      <c r="E874" s="522"/>
      <c r="G874" s="29"/>
      <c r="J874" s="534"/>
      <c r="K874" s="534"/>
      <c r="L874" s="604"/>
      <c r="M874" s="501"/>
      <c r="N874" s="501"/>
      <c r="O874" s="534"/>
      <c r="Q874" s="501"/>
      <c r="R874" s="501"/>
      <c r="S874" s="501"/>
      <c r="W874" s="501"/>
      <c r="X874" s="522"/>
      <c r="Y874" s="501"/>
      <c r="Z874" s="501"/>
    </row>
    <row r="875" spans="1:26">
      <c r="A875" s="15"/>
      <c r="C875" s="10"/>
      <c r="E875" s="30"/>
      <c r="G875" s="29"/>
      <c r="J875" s="534"/>
      <c r="K875" s="534"/>
      <c r="L875" s="604"/>
      <c r="M875" s="501"/>
      <c r="N875" s="501"/>
      <c r="O875" s="534"/>
      <c r="Q875" s="501"/>
      <c r="R875" s="501"/>
      <c r="S875" s="501"/>
      <c r="W875" s="501"/>
      <c r="X875" s="522"/>
      <c r="Y875" s="501"/>
      <c r="Z875" s="501"/>
    </row>
    <row r="876" spans="1:26">
      <c r="A876" s="6"/>
      <c r="B876" s="58"/>
      <c r="C876" s="12"/>
      <c r="D876" s="58"/>
      <c r="E876" s="522"/>
      <c r="F876" s="58"/>
      <c r="G876" s="29"/>
      <c r="H876" s="58"/>
      <c r="I876" s="58"/>
      <c r="J876" s="534"/>
      <c r="K876" s="534"/>
      <c r="L876" s="605"/>
      <c r="M876" s="501"/>
      <c r="N876" s="501"/>
      <c r="O876" s="534"/>
      <c r="P876" s="58"/>
      <c r="Q876" s="501"/>
      <c r="R876" s="501"/>
      <c r="S876" s="501"/>
      <c r="T876" s="58"/>
      <c r="U876" s="58"/>
      <c r="V876" s="58"/>
      <c r="W876" s="501"/>
      <c r="X876" s="522"/>
      <c r="Y876" s="501"/>
      <c r="Z876" s="501"/>
    </row>
    <row r="877" spans="1:26">
      <c r="A877" s="6"/>
      <c r="B877" s="58"/>
      <c r="C877" s="12"/>
      <c r="D877" s="58"/>
      <c r="E877" s="574"/>
      <c r="F877" s="58"/>
      <c r="G877" s="29"/>
      <c r="H877" s="58"/>
      <c r="I877" s="58"/>
      <c r="J877" s="534"/>
      <c r="K877" s="534"/>
      <c r="L877" s="605"/>
      <c r="M877" s="501"/>
      <c r="N877" s="501"/>
      <c r="O877" s="534"/>
      <c r="P877" s="58"/>
      <c r="Q877" s="501"/>
      <c r="R877" s="501"/>
      <c r="S877" s="501"/>
      <c r="T877" s="58"/>
      <c r="U877" s="58"/>
      <c r="V877" s="58"/>
      <c r="W877" s="501"/>
      <c r="X877" s="522"/>
      <c r="Y877" s="501"/>
      <c r="Z877" s="501"/>
    </row>
    <row r="878" spans="1:26">
      <c r="A878" s="6"/>
      <c r="B878" s="58"/>
      <c r="C878" s="12"/>
      <c r="D878" s="58"/>
      <c r="E878" s="522"/>
      <c r="F878" s="58"/>
      <c r="G878" s="29"/>
      <c r="H878" s="58"/>
      <c r="I878" s="58"/>
      <c r="J878" s="534"/>
      <c r="K878" s="534"/>
      <c r="L878" s="604"/>
      <c r="M878" s="501"/>
      <c r="N878" s="501"/>
      <c r="O878" s="534"/>
      <c r="P878" s="58"/>
      <c r="Q878" s="501"/>
      <c r="R878" s="501"/>
      <c r="S878" s="501"/>
      <c r="T878" s="58"/>
      <c r="U878" s="58"/>
      <c r="V878" s="58"/>
      <c r="W878" s="501"/>
      <c r="X878" s="522"/>
      <c r="Y878" s="501"/>
      <c r="Z878" s="501"/>
    </row>
    <row r="879" spans="1:26">
      <c r="A879" s="6"/>
      <c r="B879" s="58"/>
      <c r="C879" s="10"/>
      <c r="D879" s="58"/>
      <c r="E879" s="30"/>
      <c r="F879" s="58"/>
      <c r="G879" s="132"/>
      <c r="H879" s="58"/>
      <c r="I879" s="58"/>
      <c r="J879" s="534"/>
      <c r="K879" s="534"/>
      <c r="L879" s="604"/>
      <c r="M879" s="501"/>
      <c r="N879" s="501"/>
      <c r="O879" s="534"/>
      <c r="P879" s="58"/>
      <c r="Q879" s="501"/>
      <c r="R879" s="501"/>
      <c r="S879" s="501"/>
      <c r="T879" s="58"/>
      <c r="U879" s="58"/>
      <c r="V879" s="58"/>
      <c r="W879" s="501"/>
      <c r="X879" s="522"/>
      <c r="Y879" s="501"/>
      <c r="Z879" s="501"/>
    </row>
    <row r="880" spans="1:26">
      <c r="E880" s="30"/>
      <c r="G880" s="29"/>
      <c r="J880" s="501"/>
      <c r="K880" s="501"/>
      <c r="L880" s="604"/>
      <c r="M880" s="713"/>
      <c r="N880" s="501"/>
      <c r="O880" s="501"/>
      <c r="P880" s="501"/>
      <c r="Q880" s="501"/>
      <c r="R880" s="501"/>
      <c r="S880" s="501"/>
      <c r="T880" s="501"/>
      <c r="W880" s="501"/>
      <c r="X880" s="522"/>
      <c r="Y880" s="501"/>
      <c r="Z880" s="501"/>
    </row>
    <row r="881" spans="1:26">
      <c r="C881" s="521"/>
      <c r="E881" s="30"/>
      <c r="G881" s="29"/>
      <c r="J881" s="501"/>
      <c r="K881" s="501"/>
      <c r="L881" s="604"/>
      <c r="M881" s="713"/>
      <c r="N881" s="501"/>
      <c r="O881" s="501"/>
      <c r="P881" s="501"/>
      <c r="Q881" s="501"/>
      <c r="R881" s="501"/>
      <c r="S881" s="501"/>
      <c r="T881" s="501"/>
      <c r="W881" s="501"/>
      <c r="X881" s="522"/>
      <c r="Y881" s="501"/>
      <c r="Z881" s="501"/>
    </row>
    <row r="882" spans="1:26">
      <c r="C882" s="526"/>
      <c r="E882" s="30"/>
      <c r="G882" s="29"/>
      <c r="J882" s="534"/>
      <c r="K882" s="534"/>
      <c r="L882" s="605"/>
      <c r="M882" s="501"/>
      <c r="N882" s="534"/>
      <c r="O882" s="534"/>
      <c r="P882" s="501"/>
      <c r="Q882" s="501"/>
      <c r="R882" s="534"/>
      <c r="S882" s="534"/>
      <c r="T882" s="501"/>
      <c r="U882" s="58"/>
      <c r="V882" s="539"/>
      <c r="W882" s="501"/>
      <c r="X882" s="522"/>
      <c r="Y882" s="501"/>
      <c r="Z882" s="501"/>
    </row>
    <row r="883" spans="1:26">
      <c r="A883" s="6"/>
      <c r="C883" s="697"/>
      <c r="E883" s="30"/>
      <c r="G883" s="29"/>
      <c r="J883" s="534"/>
      <c r="K883" s="534"/>
      <c r="L883" s="605"/>
      <c r="M883" s="501"/>
      <c r="N883" s="534"/>
      <c r="O883" s="534"/>
      <c r="P883" s="501"/>
      <c r="Q883" s="501"/>
      <c r="R883" s="501"/>
      <c r="S883" s="501"/>
      <c r="T883" s="501"/>
      <c r="U883" s="58"/>
      <c r="V883" s="58"/>
      <c r="W883" s="501"/>
      <c r="X883" s="522"/>
      <c r="Y883" s="501"/>
      <c r="Z883" s="501"/>
    </row>
    <row r="884" spans="1:26">
      <c r="C884" s="526"/>
      <c r="E884" s="30"/>
      <c r="G884" s="29"/>
      <c r="J884" s="534"/>
      <c r="K884" s="534"/>
      <c r="L884" s="604"/>
      <c r="M884" s="501"/>
      <c r="N884" s="534"/>
      <c r="O884" s="534"/>
      <c r="P884" s="501"/>
      <c r="Q884" s="501"/>
      <c r="R884" s="501"/>
      <c r="S884" s="501"/>
      <c r="T884" s="501"/>
      <c r="U884" s="58"/>
      <c r="V884" s="58"/>
      <c r="W884" s="501"/>
      <c r="X884" s="522"/>
      <c r="Y884" s="501"/>
      <c r="Z884" s="501"/>
    </row>
    <row r="885" spans="1:26">
      <c r="A885" s="6"/>
      <c r="C885" s="697"/>
      <c r="E885" s="30"/>
      <c r="G885" s="29"/>
      <c r="J885" s="534"/>
      <c r="K885" s="534"/>
      <c r="L885" s="604"/>
      <c r="M885" s="501"/>
      <c r="N885" s="534"/>
      <c r="O885" s="534"/>
      <c r="P885" s="501"/>
      <c r="Q885" s="501"/>
      <c r="R885" s="501"/>
      <c r="S885" s="501"/>
      <c r="T885" s="501"/>
      <c r="U885" s="58"/>
      <c r="V885" s="58"/>
      <c r="W885" s="501"/>
      <c r="X885" s="522"/>
      <c r="Y885" s="501"/>
      <c r="Z885" s="501"/>
    </row>
    <row r="886" spans="1:26">
      <c r="A886" s="6"/>
      <c r="C886" s="697"/>
      <c r="E886" s="30"/>
      <c r="G886" s="29"/>
      <c r="J886" s="501"/>
      <c r="K886" s="501"/>
      <c r="L886" s="604"/>
      <c r="M886" s="501"/>
      <c r="N886" s="501"/>
      <c r="O886" s="501"/>
      <c r="P886" s="501"/>
      <c r="Q886" s="501"/>
      <c r="R886" s="501"/>
      <c r="S886" s="501"/>
      <c r="T886" s="501"/>
      <c r="W886" s="501"/>
      <c r="X886" s="522"/>
      <c r="Y886" s="501"/>
      <c r="Z886" s="501"/>
    </row>
    <row r="887" spans="1:26">
      <c r="A887" s="6"/>
      <c r="C887" s="697"/>
      <c r="E887" s="30"/>
      <c r="G887" s="29"/>
      <c r="J887" s="501"/>
      <c r="K887" s="501"/>
      <c r="L887" s="604"/>
      <c r="M887" s="713"/>
      <c r="N887" s="713"/>
      <c r="O887" s="501"/>
      <c r="P887" s="501"/>
      <c r="Q887" s="501"/>
      <c r="R887" s="501"/>
      <c r="S887" s="501"/>
      <c r="T887" s="501"/>
      <c r="W887" s="501"/>
      <c r="X887" s="522"/>
      <c r="Y887" s="501"/>
      <c r="Z887" s="501"/>
    </row>
    <row r="888" spans="1:26">
      <c r="A888" s="6"/>
      <c r="C888" s="697"/>
      <c r="E888" s="30"/>
      <c r="G888" s="29"/>
      <c r="J888" s="534"/>
      <c r="K888" s="534"/>
      <c r="L888" s="605"/>
      <c r="M888" s="501"/>
      <c r="N888" s="534"/>
      <c r="O888" s="534"/>
      <c r="P888" s="501"/>
      <c r="Q888" s="501"/>
      <c r="R888" s="534"/>
      <c r="S888" s="534"/>
      <c r="T888" s="501"/>
      <c r="V888" s="567"/>
      <c r="W888" s="501"/>
      <c r="X888" s="522"/>
      <c r="Y888" s="501"/>
      <c r="Z888" s="501"/>
    </row>
    <row r="889" spans="1:26">
      <c r="C889" s="526"/>
      <c r="E889" s="30"/>
      <c r="G889" s="29"/>
      <c r="J889" s="534"/>
      <c r="K889" s="534"/>
      <c r="L889" s="605"/>
      <c r="M889" s="501"/>
      <c r="N889" s="534"/>
      <c r="O889" s="534"/>
      <c r="P889" s="501"/>
      <c r="Q889" s="501"/>
      <c r="R889" s="501"/>
      <c r="S889" s="501"/>
      <c r="T889" s="501"/>
      <c r="W889" s="501"/>
      <c r="X889" s="522"/>
      <c r="Y889" s="501"/>
      <c r="Z889" s="501"/>
    </row>
    <row r="890" spans="1:26">
      <c r="A890" s="6"/>
      <c r="C890" s="697"/>
      <c r="E890" s="30"/>
      <c r="G890" s="29"/>
      <c r="J890" s="534"/>
      <c r="K890" s="534"/>
      <c r="L890" s="604"/>
      <c r="M890" s="501"/>
      <c r="N890" s="534"/>
      <c r="O890" s="534"/>
      <c r="P890" s="501"/>
      <c r="Q890" s="501"/>
      <c r="R890" s="501"/>
      <c r="S890" s="501"/>
      <c r="T890" s="501"/>
      <c r="W890" s="501"/>
      <c r="X890" s="522"/>
      <c r="Y890" s="501"/>
      <c r="Z890" s="501"/>
    </row>
    <row r="891" spans="1:26">
      <c r="C891" s="521"/>
      <c r="E891" s="30"/>
      <c r="G891" s="29"/>
      <c r="J891" s="534"/>
      <c r="K891" s="534"/>
      <c r="L891" s="604"/>
      <c r="M891" s="501"/>
      <c r="N891" s="534"/>
      <c r="O891" s="534"/>
      <c r="P891" s="501"/>
      <c r="Q891" s="501"/>
      <c r="R891" s="501"/>
      <c r="S891" s="501"/>
      <c r="T891" s="501"/>
      <c r="W891" s="501"/>
      <c r="X891" s="522"/>
      <c r="Y891" s="501"/>
      <c r="Z891" s="501"/>
    </row>
    <row r="892" spans="1:26">
      <c r="A892" s="6"/>
      <c r="B892" s="58"/>
      <c r="C892" s="12"/>
      <c r="D892" s="58"/>
      <c r="E892" s="574"/>
      <c r="F892" s="58"/>
      <c r="G892" s="29"/>
      <c r="H892" s="58"/>
      <c r="I892" s="58"/>
      <c r="J892" s="501"/>
      <c r="K892" s="501"/>
      <c r="L892" s="604"/>
      <c r="M892" s="501"/>
      <c r="N892" s="501"/>
      <c r="O892" s="501"/>
      <c r="P892" s="501"/>
      <c r="Q892" s="501"/>
      <c r="R892" s="501"/>
      <c r="S892" s="501"/>
      <c r="T892" s="501"/>
      <c r="W892" s="501"/>
      <c r="X892" s="522"/>
      <c r="Y892" s="501"/>
      <c r="Z892" s="501"/>
    </row>
    <row r="893" spans="1:26">
      <c r="G893" s="129"/>
      <c r="J893" s="501"/>
      <c r="K893" s="501"/>
      <c r="L893" s="501"/>
      <c r="M893" s="713"/>
      <c r="N893" s="501"/>
      <c r="O893" s="501"/>
      <c r="P893" s="501"/>
      <c r="Q893" s="501"/>
      <c r="R893" s="501"/>
      <c r="S893" s="501"/>
      <c r="T893" s="501"/>
      <c r="W893" s="501"/>
      <c r="X893" s="522"/>
      <c r="Y893" s="501"/>
      <c r="Z893" s="501"/>
    </row>
    <row r="894" spans="1:26">
      <c r="A894" s="6"/>
      <c r="B894" s="58"/>
      <c r="C894" s="10"/>
      <c r="D894" s="58"/>
      <c r="E894" s="30"/>
      <c r="F894" s="58"/>
      <c r="G894" s="132"/>
      <c r="H894" s="58"/>
      <c r="I894" s="58"/>
      <c r="J894" s="534"/>
      <c r="K894" s="534"/>
      <c r="L894" s="501"/>
      <c r="M894" s="501"/>
      <c r="N894" s="534"/>
      <c r="O894" s="534"/>
      <c r="P894" s="501"/>
      <c r="Q894" s="501"/>
      <c r="R894" s="534"/>
      <c r="S894" s="534"/>
      <c r="T894" s="501"/>
      <c r="V894" s="567"/>
      <c r="W894" s="501"/>
      <c r="X894" s="522"/>
      <c r="Y894" s="501"/>
      <c r="Z894" s="501"/>
    </row>
    <row r="895" spans="1:26">
      <c r="A895" s="6"/>
      <c r="B895" s="58"/>
      <c r="C895" s="10"/>
      <c r="D895" s="58"/>
      <c r="E895" s="30"/>
      <c r="F895" s="58"/>
      <c r="G895" s="29"/>
      <c r="H895" s="58"/>
      <c r="I895" s="58"/>
      <c r="J895" s="534"/>
      <c r="K895" s="534"/>
      <c r="L895" s="501"/>
      <c r="M895" s="501"/>
      <c r="N895" s="534"/>
      <c r="O895" s="534"/>
      <c r="P895" s="501"/>
      <c r="Q895" s="501"/>
      <c r="R895" s="501"/>
      <c r="S895" s="501"/>
      <c r="T895" s="501"/>
      <c r="W895" s="501"/>
      <c r="X895" s="522"/>
      <c r="Y895" s="501"/>
      <c r="Z895" s="501"/>
    </row>
    <row r="896" spans="1:26">
      <c r="A896" s="6"/>
      <c r="B896" s="58"/>
      <c r="C896" s="10"/>
      <c r="D896" s="58"/>
      <c r="E896" s="30"/>
      <c r="F896" s="58"/>
      <c r="G896" s="132"/>
      <c r="H896" s="58"/>
      <c r="I896" s="58"/>
      <c r="J896" s="501"/>
      <c r="K896" s="501"/>
      <c r="L896" s="501"/>
      <c r="M896" s="501"/>
      <c r="N896" s="534"/>
      <c r="O896" s="501"/>
      <c r="P896" s="501"/>
      <c r="Q896" s="534"/>
      <c r="R896" s="501"/>
      <c r="S896" s="501"/>
      <c r="T896" s="501"/>
      <c r="W896" s="501"/>
      <c r="X896" s="522"/>
      <c r="Y896" s="501"/>
      <c r="Z896" s="501"/>
    </row>
    <row r="897" spans="1:26">
      <c r="A897" s="6"/>
      <c r="B897" s="58"/>
      <c r="C897" s="10"/>
      <c r="D897" s="58"/>
      <c r="E897" s="30"/>
      <c r="F897" s="58"/>
      <c r="G897" s="132"/>
      <c r="H897" s="58"/>
      <c r="I897" s="58"/>
      <c r="J897" s="501"/>
      <c r="K897" s="501"/>
      <c r="L897" s="501"/>
      <c r="M897" s="501"/>
      <c r="N897" s="534"/>
      <c r="O897" s="501"/>
      <c r="P897" s="501"/>
      <c r="Q897" s="534"/>
      <c r="R897" s="501"/>
      <c r="S897" s="501"/>
      <c r="T897" s="501"/>
      <c r="W897" s="501"/>
      <c r="X897" s="522"/>
      <c r="Y897" s="501"/>
      <c r="Z897" s="501"/>
    </row>
    <row r="898" spans="1:26">
      <c r="A898" s="6"/>
      <c r="B898" s="58"/>
      <c r="C898" s="501"/>
      <c r="D898" s="58"/>
      <c r="F898" s="58"/>
      <c r="G898" s="129"/>
      <c r="H898" s="58"/>
      <c r="I898" s="58"/>
      <c r="J898" s="501"/>
      <c r="K898" s="501"/>
      <c r="L898" s="501"/>
      <c r="M898" s="501"/>
      <c r="N898" s="501"/>
      <c r="O898" s="501"/>
      <c r="P898" s="501"/>
      <c r="Q898" s="501"/>
      <c r="R898" s="501"/>
      <c r="S898" s="501"/>
      <c r="T898" s="501"/>
      <c r="U898" s="58"/>
      <c r="V898" s="58"/>
      <c r="W898" s="501"/>
      <c r="X898" s="522"/>
      <c r="Y898" s="501"/>
      <c r="Z898" s="501"/>
    </row>
    <row r="899" spans="1:26">
      <c r="A899" s="6"/>
      <c r="B899" s="58"/>
      <c r="D899" s="58"/>
      <c r="E899" s="574"/>
      <c r="F899" s="58"/>
      <c r="G899" s="132"/>
      <c r="H899" s="58"/>
      <c r="I899" s="58"/>
      <c r="J899" s="501"/>
      <c r="K899" s="501"/>
      <c r="L899" s="501"/>
      <c r="M899" s="713"/>
      <c r="N899" s="501"/>
      <c r="O899" s="501"/>
      <c r="P899" s="501"/>
      <c r="Q899" s="501"/>
      <c r="R899" s="501"/>
      <c r="S899" s="501"/>
      <c r="T899" s="501"/>
      <c r="W899" s="501"/>
      <c r="X899" s="522"/>
      <c r="Y899" s="501"/>
      <c r="Z899" s="501"/>
    </row>
    <row r="900" spans="1:26">
      <c r="A900" s="6"/>
      <c r="B900" s="58"/>
      <c r="D900" s="58"/>
      <c r="E900" s="574"/>
      <c r="F900" s="58"/>
      <c r="G900" s="132"/>
      <c r="H900" s="58"/>
      <c r="I900" s="58"/>
      <c r="J900" s="501"/>
      <c r="K900" s="501"/>
      <c r="L900" s="501"/>
      <c r="M900" s="501"/>
      <c r="N900" s="534"/>
      <c r="O900" s="501"/>
      <c r="P900" s="501"/>
      <c r="Q900" s="501"/>
      <c r="R900" s="501"/>
      <c r="S900" s="501"/>
      <c r="T900" s="501"/>
      <c r="U900" s="58"/>
      <c r="V900" s="58"/>
      <c r="W900" s="501"/>
      <c r="X900" s="522"/>
      <c r="Y900" s="501"/>
      <c r="Z900" s="501"/>
    </row>
    <row r="901" spans="1:26">
      <c r="A901" s="581"/>
      <c r="B901" s="4"/>
      <c r="C901" s="4"/>
      <c r="D901" s="4"/>
      <c r="E901" s="4"/>
      <c r="F901" s="4"/>
      <c r="G901" s="4"/>
      <c r="H901" s="4"/>
      <c r="I901" s="4"/>
      <c r="J901" s="501"/>
      <c r="K901" s="501"/>
      <c r="L901" s="501"/>
      <c r="M901" s="501"/>
      <c r="N901" s="534"/>
      <c r="O901" s="501"/>
      <c r="P901" s="501"/>
      <c r="Q901" s="501"/>
      <c r="R901" s="501"/>
      <c r="S901" s="501"/>
      <c r="T901" s="501"/>
      <c r="U901" s="58"/>
      <c r="V901" s="58"/>
      <c r="W901" s="501"/>
      <c r="X901" s="522"/>
      <c r="Y901" s="501"/>
      <c r="Z901" s="501"/>
    </row>
    <row r="902" spans="1:26">
      <c r="A902" s="731"/>
      <c r="B902" s="581"/>
      <c r="C902" s="581"/>
      <c r="D902" s="581"/>
      <c r="E902" s="581"/>
      <c r="F902" s="581"/>
      <c r="G902" s="581"/>
      <c r="H902" s="581"/>
      <c r="I902" s="581"/>
      <c r="J902" s="501"/>
      <c r="K902" s="501"/>
      <c r="L902" s="501"/>
      <c r="M902" s="501"/>
      <c r="N902" s="534"/>
      <c r="O902" s="501"/>
      <c r="P902" s="501"/>
      <c r="Q902" s="501"/>
      <c r="R902" s="501"/>
      <c r="S902" s="501"/>
      <c r="T902" s="501"/>
      <c r="U902" s="58"/>
      <c r="V902" s="58"/>
      <c r="W902" s="501"/>
      <c r="X902" s="522"/>
      <c r="Y902" s="501"/>
      <c r="Z902" s="501"/>
    </row>
    <row r="903" spans="1:26">
      <c r="B903" s="57"/>
      <c r="D903" s="57"/>
      <c r="E903" s="3"/>
      <c r="F903" s="57"/>
      <c r="H903" s="57"/>
      <c r="I903" s="57"/>
      <c r="J903" s="501"/>
      <c r="K903" s="501"/>
      <c r="L903" s="501"/>
      <c r="M903" s="501"/>
      <c r="N903" s="501"/>
      <c r="O903" s="501"/>
      <c r="P903" s="57"/>
      <c r="Q903" s="501"/>
      <c r="R903" s="501"/>
      <c r="S903" s="501"/>
      <c r="T903" s="57"/>
      <c r="U903" s="57"/>
      <c r="V903" s="57"/>
      <c r="W903" s="501"/>
      <c r="X903" s="522"/>
      <c r="Y903" s="501"/>
      <c r="Z903" s="501"/>
    </row>
    <row r="904" spans="1:26">
      <c r="A904" s="3"/>
      <c r="B904" s="3"/>
      <c r="C904" s="3"/>
      <c r="D904" s="3"/>
      <c r="E904" s="57"/>
      <c r="F904" s="3"/>
      <c r="G904" s="57"/>
      <c r="H904" s="3"/>
      <c r="I904" s="3"/>
      <c r="J904" s="501"/>
      <c r="K904" s="501"/>
      <c r="L904" s="501"/>
      <c r="M904" s="501"/>
      <c r="N904" s="501"/>
      <c r="O904" s="501"/>
      <c r="P904" s="3"/>
      <c r="Q904" s="501"/>
      <c r="R904" s="501"/>
      <c r="S904" s="501"/>
      <c r="T904" s="3"/>
      <c r="U904" s="3"/>
      <c r="V904" s="3"/>
      <c r="W904" s="501"/>
      <c r="X904" s="522"/>
      <c r="Y904" s="501"/>
      <c r="Z904" s="501"/>
    </row>
    <row r="905" spans="1:26">
      <c r="A905" s="5"/>
      <c r="B905" s="5"/>
      <c r="C905" s="5"/>
      <c r="D905" s="5"/>
      <c r="E905" s="6"/>
      <c r="F905" s="5"/>
      <c r="G905" s="17"/>
      <c r="H905" s="5"/>
      <c r="I905" s="5"/>
      <c r="J905" s="501"/>
      <c r="K905" s="501"/>
      <c r="L905" s="501"/>
      <c r="M905" s="501"/>
      <c r="N905" s="501"/>
      <c r="O905" s="501"/>
      <c r="P905" s="5"/>
      <c r="Q905" s="501"/>
      <c r="R905" s="501"/>
      <c r="S905" s="501"/>
      <c r="T905" s="5"/>
      <c r="U905" s="5"/>
      <c r="V905" s="5"/>
      <c r="W905" s="501"/>
      <c r="X905" s="522"/>
      <c r="Y905" s="501"/>
      <c r="Z905" s="501"/>
    </row>
    <row r="906" spans="1:26">
      <c r="A906" s="6"/>
      <c r="B906" s="58"/>
      <c r="C906" s="58"/>
      <c r="D906" s="58"/>
      <c r="E906" s="6"/>
      <c r="F906" s="58"/>
      <c r="G906" s="6"/>
      <c r="H906" s="58"/>
      <c r="I906" s="58"/>
      <c r="J906" s="501"/>
      <c r="K906" s="501"/>
      <c r="L906" s="501"/>
      <c r="M906" s="501"/>
      <c r="N906" s="501"/>
      <c r="O906" s="501"/>
      <c r="P906" s="58"/>
      <c r="Q906" s="501"/>
      <c r="R906" s="501"/>
      <c r="S906" s="501"/>
      <c r="T906" s="58"/>
      <c r="U906" s="58"/>
      <c r="V906" s="58"/>
      <c r="W906" s="501"/>
      <c r="X906" s="522"/>
      <c r="Y906" s="501"/>
      <c r="Z906" s="501"/>
    </row>
    <row r="907" spans="1:26">
      <c r="A907" s="6"/>
      <c r="B907" s="58"/>
      <c r="C907" s="58"/>
      <c r="D907" s="58"/>
      <c r="E907" s="6"/>
      <c r="F907" s="58"/>
      <c r="G907" s="6"/>
      <c r="H907" s="58"/>
      <c r="I907" s="58"/>
      <c r="J907" s="501"/>
      <c r="K907" s="501"/>
      <c r="L907" s="501"/>
      <c r="M907" s="501"/>
      <c r="N907" s="501"/>
      <c r="O907" s="501"/>
      <c r="P907" s="58"/>
      <c r="Q907" s="501"/>
      <c r="R907" s="501"/>
      <c r="S907" s="501"/>
      <c r="T907" s="58"/>
      <c r="U907" s="58"/>
      <c r="V907" s="58"/>
      <c r="W907" s="501"/>
      <c r="X907" s="522"/>
      <c r="Y907" s="501"/>
      <c r="Z907" s="501"/>
    </row>
    <row r="908" spans="1:26">
      <c r="C908" s="652"/>
      <c r="G908" s="129"/>
      <c r="J908" s="501"/>
      <c r="K908" s="501"/>
      <c r="L908" s="501"/>
      <c r="M908" s="501"/>
      <c r="N908" s="501"/>
      <c r="O908" s="501"/>
      <c r="Q908" s="501"/>
      <c r="R908" s="501"/>
      <c r="S908" s="501"/>
      <c r="W908" s="501"/>
      <c r="X908" s="522"/>
      <c r="Y908" s="501"/>
      <c r="Z908" s="501"/>
    </row>
    <row r="909" spans="1:26">
      <c r="C909" s="9"/>
      <c r="G909" s="129"/>
      <c r="J909" s="501"/>
      <c r="K909" s="501"/>
      <c r="L909" s="501"/>
      <c r="M909" s="501"/>
      <c r="N909" s="501"/>
      <c r="O909" s="501"/>
      <c r="Q909" s="501"/>
      <c r="R909" s="501"/>
      <c r="S909" s="501"/>
      <c r="W909" s="501"/>
      <c r="X909" s="522"/>
      <c r="Y909" s="501"/>
      <c r="Z909" s="501"/>
    </row>
    <row r="910" spans="1:26">
      <c r="A910" s="6"/>
      <c r="C910" s="521"/>
      <c r="G910" s="129"/>
      <c r="J910" s="501"/>
      <c r="K910" s="501"/>
      <c r="L910" s="501"/>
      <c r="M910" s="501"/>
      <c r="N910" s="501"/>
      <c r="O910" s="501"/>
      <c r="Q910" s="501"/>
      <c r="R910" s="501"/>
      <c r="S910" s="501"/>
      <c r="W910" s="501"/>
      <c r="X910" s="522"/>
      <c r="Y910" s="501"/>
      <c r="Z910" s="501"/>
    </row>
    <row r="911" spans="1:26">
      <c r="A911" s="6"/>
      <c r="C911" s="705"/>
      <c r="E911" s="522"/>
      <c r="G911" s="29"/>
      <c r="J911" s="501"/>
      <c r="K911" s="501"/>
      <c r="L911" s="501"/>
      <c r="M911" s="501"/>
      <c r="N911" s="501"/>
      <c r="O911" s="501"/>
      <c r="Q911" s="501"/>
      <c r="R911" s="501"/>
      <c r="S911" s="501"/>
      <c r="W911" s="501"/>
      <c r="X911" s="522"/>
      <c r="Y911" s="501"/>
      <c r="Z911" s="501"/>
    </row>
    <row r="912" spans="1:26">
      <c r="A912" s="6"/>
      <c r="C912" s="705"/>
      <c r="E912" s="522"/>
      <c r="G912" s="29"/>
      <c r="J912" s="501"/>
      <c r="K912" s="501"/>
      <c r="L912" s="501"/>
      <c r="M912" s="501"/>
      <c r="N912" s="501"/>
      <c r="O912" s="501"/>
      <c r="Q912" s="501"/>
      <c r="R912" s="501"/>
      <c r="S912" s="501"/>
      <c r="W912" s="501"/>
      <c r="X912" s="522"/>
      <c r="Y912" s="501"/>
      <c r="Z912" s="501"/>
    </row>
    <row r="913" spans="1:26">
      <c r="G913" s="129"/>
      <c r="J913" s="501"/>
      <c r="K913" s="501"/>
      <c r="L913" s="501"/>
      <c r="M913" s="501"/>
      <c r="N913" s="501"/>
      <c r="O913" s="501"/>
      <c r="Q913" s="501"/>
      <c r="R913" s="501"/>
      <c r="S913" s="501"/>
      <c r="W913" s="501"/>
      <c r="X913" s="522"/>
      <c r="Y913" s="501"/>
      <c r="Z913" s="501"/>
    </row>
    <row r="914" spans="1:26">
      <c r="A914" s="6"/>
      <c r="C914" s="501"/>
      <c r="E914" s="501"/>
      <c r="G914" s="132"/>
      <c r="J914" s="501"/>
      <c r="K914" s="501"/>
      <c r="L914" s="501"/>
      <c r="M914" s="501"/>
      <c r="N914" s="501"/>
      <c r="O914" s="501"/>
      <c r="Q914" s="501"/>
      <c r="R914" s="501"/>
      <c r="S914" s="501"/>
      <c r="W914" s="501"/>
      <c r="X914" s="522"/>
      <c r="Y914" s="501"/>
      <c r="Z914" s="501"/>
    </row>
    <row r="915" spans="1:26" ht="12.95">
      <c r="C915" s="732"/>
      <c r="G915" s="129"/>
      <c r="J915" s="501"/>
      <c r="K915" s="501"/>
      <c r="L915" s="501"/>
      <c r="M915" s="501"/>
      <c r="N915" s="501"/>
      <c r="O915" s="501"/>
      <c r="Q915" s="501"/>
      <c r="R915" s="501"/>
      <c r="S915" s="501"/>
      <c r="W915" s="501"/>
      <c r="X915" s="522"/>
      <c r="Y915" s="501"/>
      <c r="Z915" s="501"/>
    </row>
    <row r="916" spans="1:26">
      <c r="C916" s="9"/>
      <c r="G916" s="129"/>
      <c r="J916" s="501"/>
      <c r="K916" s="501"/>
      <c r="L916" s="501"/>
      <c r="M916" s="501"/>
      <c r="N916" s="501"/>
      <c r="O916" s="501"/>
      <c r="Q916" s="501"/>
      <c r="R916" s="501"/>
      <c r="S916" s="501"/>
      <c r="W916" s="501"/>
      <c r="X916" s="522"/>
      <c r="Y916" s="501"/>
      <c r="Z916" s="501"/>
    </row>
    <row r="917" spans="1:26">
      <c r="A917" s="6"/>
      <c r="C917" s="521"/>
      <c r="G917" s="129"/>
      <c r="J917" s="501"/>
      <c r="K917" s="501"/>
      <c r="L917" s="501"/>
      <c r="M917" s="501"/>
      <c r="N917" s="501"/>
      <c r="O917" s="501"/>
      <c r="Q917" s="501"/>
      <c r="R917" s="501"/>
      <c r="S917" s="501"/>
      <c r="W917" s="501"/>
      <c r="X917" s="522"/>
      <c r="Y917" s="501"/>
      <c r="Z917" s="501"/>
    </row>
    <row r="918" spans="1:26">
      <c r="A918" s="6"/>
      <c r="C918" s="711"/>
      <c r="E918" s="522"/>
      <c r="G918" s="568"/>
      <c r="J918" s="501"/>
      <c r="K918" s="501"/>
      <c r="L918" s="501"/>
      <c r="M918" s="501"/>
      <c r="N918" s="501"/>
      <c r="O918" s="501"/>
      <c r="Q918" s="501"/>
      <c r="R918" s="501"/>
      <c r="S918" s="501"/>
      <c r="W918" s="501"/>
      <c r="X918" s="522"/>
      <c r="Y918" s="501"/>
      <c r="Z918" s="501"/>
    </row>
    <row r="919" spans="1:26">
      <c r="A919" s="6"/>
      <c r="C919" s="521"/>
      <c r="E919" s="522"/>
      <c r="G919" s="129"/>
      <c r="J919" s="501"/>
      <c r="K919" s="501"/>
      <c r="L919" s="501"/>
      <c r="M919" s="501"/>
      <c r="N919" s="501"/>
      <c r="O919" s="501"/>
      <c r="Q919" s="501"/>
      <c r="R919" s="501"/>
      <c r="S919" s="501"/>
      <c r="W919" s="501"/>
      <c r="X919" s="522"/>
      <c r="Y919" s="501"/>
      <c r="Z919" s="501"/>
    </row>
    <row r="920" spans="1:26">
      <c r="A920" s="6"/>
      <c r="C920" s="521"/>
      <c r="E920" s="522"/>
      <c r="G920" s="568"/>
      <c r="J920" s="501"/>
      <c r="K920" s="501"/>
      <c r="L920" s="501"/>
      <c r="M920" s="501"/>
      <c r="N920" s="501"/>
      <c r="O920" s="501"/>
      <c r="Q920" s="501"/>
      <c r="R920" s="501"/>
      <c r="S920" s="501"/>
      <c r="W920" s="501"/>
      <c r="X920" s="522"/>
      <c r="Y920" s="501"/>
      <c r="Z920" s="501"/>
    </row>
    <row r="921" spans="1:26">
      <c r="A921" s="6"/>
      <c r="C921" s="501"/>
      <c r="G921" s="129"/>
      <c r="J921" s="501"/>
      <c r="K921" s="501"/>
      <c r="L921" s="501"/>
      <c r="M921" s="501"/>
      <c r="N921" s="501"/>
      <c r="O921" s="501"/>
      <c r="Q921" s="501"/>
      <c r="R921" s="501"/>
      <c r="S921" s="501"/>
      <c r="W921" s="501"/>
      <c r="X921" s="522"/>
      <c r="Y921" s="501"/>
      <c r="Z921" s="501"/>
    </row>
    <row r="922" spans="1:26">
      <c r="A922" s="6"/>
      <c r="C922" s="501"/>
      <c r="G922" s="132"/>
      <c r="J922" s="501"/>
      <c r="K922" s="501"/>
      <c r="L922" s="501"/>
      <c r="M922" s="501"/>
      <c r="N922" s="501"/>
      <c r="O922" s="501"/>
      <c r="Q922" s="501"/>
      <c r="R922" s="501"/>
      <c r="S922" s="501"/>
      <c r="W922" s="501"/>
      <c r="X922" s="522"/>
      <c r="Y922" s="501"/>
      <c r="Z922" s="501"/>
    </row>
    <row r="923" spans="1:26">
      <c r="A923" s="6"/>
      <c r="C923" s="501"/>
      <c r="G923" s="132"/>
      <c r="J923" s="501"/>
      <c r="K923" s="501"/>
      <c r="L923" s="501"/>
      <c r="M923" s="501"/>
      <c r="N923" s="501"/>
      <c r="O923" s="501"/>
      <c r="Q923" s="501"/>
      <c r="R923" s="501"/>
      <c r="S923" s="501"/>
      <c r="W923" s="501"/>
      <c r="X923" s="522"/>
      <c r="Y923" s="501"/>
      <c r="Z923" s="501"/>
    </row>
    <row r="924" spans="1:26">
      <c r="A924" s="6"/>
      <c r="C924" s="713"/>
      <c r="G924" s="132"/>
      <c r="J924" s="501"/>
      <c r="K924" s="501"/>
      <c r="L924" s="501"/>
      <c r="M924" s="501"/>
      <c r="N924" s="501"/>
      <c r="O924" s="501"/>
      <c r="Q924" s="501"/>
      <c r="R924" s="501"/>
      <c r="S924" s="501"/>
      <c r="W924" s="501"/>
      <c r="X924" s="522"/>
      <c r="Y924" s="501"/>
      <c r="Z924" s="501"/>
    </row>
    <row r="925" spans="1:26">
      <c r="A925" s="6"/>
      <c r="C925" s="521"/>
      <c r="E925" s="501"/>
      <c r="G925" s="29"/>
      <c r="J925" s="501"/>
      <c r="K925" s="501"/>
      <c r="L925" s="501"/>
      <c r="M925" s="501"/>
      <c r="N925" s="501"/>
      <c r="O925" s="501"/>
      <c r="Q925" s="501"/>
      <c r="R925" s="501"/>
      <c r="S925" s="501"/>
      <c r="W925" s="501"/>
      <c r="X925" s="522"/>
      <c r="Y925" s="501"/>
      <c r="Z925" s="501"/>
    </row>
    <row r="926" spans="1:26">
      <c r="J926" s="501"/>
      <c r="K926" s="501"/>
      <c r="L926" s="501"/>
      <c r="M926" s="501"/>
      <c r="N926" s="501"/>
      <c r="O926" s="501"/>
      <c r="Q926" s="501"/>
      <c r="R926" s="501"/>
      <c r="S926" s="501"/>
      <c r="W926" s="501"/>
      <c r="X926" s="522"/>
      <c r="Y926" s="501"/>
      <c r="Z926" s="501"/>
    </row>
    <row r="927" spans="1:26">
      <c r="C927" s="9"/>
      <c r="G927" s="129"/>
      <c r="J927" s="501"/>
      <c r="K927" s="501"/>
      <c r="L927" s="501"/>
      <c r="M927" s="501"/>
      <c r="N927" s="501"/>
      <c r="O927" s="501"/>
      <c r="Q927" s="501"/>
      <c r="R927" s="501"/>
      <c r="S927" s="501"/>
      <c r="W927" s="501"/>
      <c r="X927" s="522"/>
      <c r="Y927" s="501"/>
      <c r="Z927" s="501"/>
    </row>
    <row r="928" spans="1:26">
      <c r="C928" s="10"/>
      <c r="G928" s="129"/>
      <c r="J928" s="501"/>
      <c r="K928" s="501"/>
      <c r="L928" s="501"/>
      <c r="M928" s="501"/>
      <c r="N928" s="501"/>
      <c r="O928" s="501"/>
      <c r="Q928" s="501"/>
      <c r="R928" s="501"/>
      <c r="S928" s="501"/>
      <c r="W928" s="501"/>
      <c r="X928" s="522"/>
      <c r="Y928" s="501"/>
      <c r="Z928" s="501"/>
    </row>
    <row r="929" spans="1:26">
      <c r="A929" s="6"/>
      <c r="C929" s="12"/>
      <c r="E929" s="522"/>
      <c r="G929" s="29"/>
      <c r="J929" s="501"/>
      <c r="K929" s="501"/>
      <c r="L929" s="501"/>
      <c r="M929" s="501"/>
      <c r="N929" s="501"/>
      <c r="O929" s="501"/>
      <c r="Q929" s="501"/>
      <c r="R929" s="501"/>
      <c r="S929" s="501"/>
      <c r="W929" s="501"/>
      <c r="X929" s="522"/>
      <c r="Y929" s="501"/>
      <c r="Z929" s="501"/>
    </row>
    <row r="930" spans="1:26">
      <c r="A930" s="6"/>
      <c r="C930" s="714"/>
      <c r="E930" s="522"/>
      <c r="G930" s="29"/>
      <c r="J930" s="501"/>
      <c r="K930" s="501"/>
      <c r="L930" s="501"/>
      <c r="M930" s="501"/>
      <c r="N930" s="501"/>
      <c r="O930" s="501"/>
      <c r="Q930" s="501"/>
      <c r="R930" s="501"/>
      <c r="S930" s="501"/>
      <c r="W930" s="501"/>
      <c r="X930" s="522"/>
      <c r="Y930" s="501"/>
      <c r="Z930" s="501"/>
    </row>
    <row r="931" spans="1:26">
      <c r="A931" s="6"/>
      <c r="C931" s="12"/>
      <c r="E931" s="522"/>
      <c r="G931" s="29"/>
      <c r="J931" s="501"/>
      <c r="K931" s="501"/>
      <c r="L931" s="501"/>
      <c r="M931" s="501"/>
      <c r="N931" s="501"/>
      <c r="O931" s="501"/>
      <c r="Q931" s="501"/>
      <c r="R931" s="501"/>
      <c r="S931" s="501"/>
      <c r="W931" s="501"/>
      <c r="X931" s="522"/>
      <c r="Y931" s="501"/>
      <c r="Z931" s="501"/>
    </row>
    <row r="932" spans="1:26">
      <c r="A932" s="6"/>
      <c r="C932" s="714"/>
      <c r="E932" s="522"/>
      <c r="G932" s="29"/>
      <c r="J932" s="501"/>
      <c r="K932" s="501"/>
      <c r="L932" s="501"/>
      <c r="M932" s="501"/>
      <c r="N932" s="501"/>
      <c r="O932" s="501"/>
      <c r="Q932" s="501"/>
      <c r="R932" s="501"/>
      <c r="S932" s="501"/>
      <c r="W932" s="501"/>
      <c r="X932" s="522"/>
      <c r="Y932" s="501"/>
      <c r="Z932" s="501"/>
    </row>
    <row r="933" spans="1:26">
      <c r="A933" s="6"/>
      <c r="C933" s="526"/>
      <c r="E933" s="522"/>
      <c r="G933" s="29"/>
      <c r="J933" s="501"/>
      <c r="K933" s="501"/>
      <c r="L933" s="501"/>
      <c r="M933" s="501"/>
      <c r="N933" s="501"/>
      <c r="O933" s="501"/>
      <c r="Q933" s="501"/>
      <c r="R933" s="501"/>
      <c r="S933" s="501"/>
      <c r="W933" s="501"/>
      <c r="X933" s="522"/>
      <c r="Y933" s="501"/>
      <c r="Z933" s="501"/>
    </row>
    <row r="934" spans="1:26">
      <c r="A934" s="6"/>
      <c r="C934" s="12"/>
      <c r="J934" s="501"/>
      <c r="K934" s="501"/>
      <c r="L934" s="501"/>
      <c r="M934" s="501"/>
      <c r="N934" s="501"/>
      <c r="O934" s="501"/>
      <c r="Q934" s="501"/>
      <c r="R934" s="501"/>
      <c r="S934" s="501"/>
      <c r="W934" s="501"/>
      <c r="X934" s="522"/>
      <c r="Y934" s="501"/>
      <c r="Z934" s="501"/>
    </row>
    <row r="935" spans="1:26">
      <c r="A935" s="6"/>
      <c r="C935" s="714"/>
      <c r="E935" s="522"/>
      <c r="G935" s="29"/>
      <c r="J935" s="501"/>
      <c r="K935" s="501"/>
      <c r="L935" s="501"/>
      <c r="M935" s="501"/>
      <c r="N935" s="501"/>
      <c r="O935" s="501"/>
      <c r="Q935" s="501"/>
      <c r="R935" s="501"/>
      <c r="S935" s="501"/>
      <c r="W935" s="501"/>
      <c r="X935" s="522"/>
      <c r="Y935" s="501"/>
      <c r="Z935" s="501"/>
    </row>
    <row r="936" spans="1:26">
      <c r="A936" s="6"/>
      <c r="C936" s="10"/>
      <c r="G936" s="129"/>
      <c r="J936" s="501"/>
      <c r="K936" s="501"/>
      <c r="L936" s="501"/>
      <c r="M936" s="501"/>
      <c r="N936" s="501"/>
      <c r="O936" s="501"/>
      <c r="Q936" s="501"/>
      <c r="R936" s="501"/>
      <c r="S936" s="501"/>
      <c r="W936" s="501"/>
      <c r="X936" s="522"/>
      <c r="Y936" s="501"/>
      <c r="Z936" s="501"/>
    </row>
    <row r="937" spans="1:26">
      <c r="A937" s="6"/>
      <c r="C937" s="521"/>
      <c r="G937" s="129"/>
      <c r="J937" s="501"/>
      <c r="K937" s="501"/>
      <c r="L937" s="501"/>
      <c r="M937" s="501"/>
      <c r="N937" s="501"/>
      <c r="O937" s="501"/>
      <c r="Q937" s="501"/>
      <c r="R937" s="501"/>
      <c r="S937" s="501"/>
      <c r="W937" s="501"/>
      <c r="X937" s="522"/>
      <c r="Y937" s="501"/>
      <c r="Z937" s="501"/>
    </row>
    <row r="938" spans="1:26">
      <c r="A938" s="6"/>
      <c r="C938" s="12"/>
      <c r="E938" s="522"/>
      <c r="G938" s="29"/>
      <c r="J938" s="501"/>
      <c r="K938" s="501"/>
      <c r="L938" s="501"/>
      <c r="M938" s="501"/>
      <c r="N938" s="501"/>
      <c r="O938" s="501"/>
      <c r="Q938" s="501"/>
      <c r="R938" s="501"/>
      <c r="S938" s="501"/>
      <c r="W938" s="501"/>
      <c r="X938" s="522"/>
      <c r="Y938" s="501"/>
      <c r="Z938" s="501"/>
    </row>
    <row r="939" spans="1:26">
      <c r="A939" s="6"/>
      <c r="C939" s="12"/>
      <c r="E939" s="522"/>
      <c r="G939" s="29"/>
      <c r="J939" s="501"/>
      <c r="K939" s="501"/>
      <c r="L939" s="501"/>
      <c r="M939" s="501"/>
      <c r="N939" s="501"/>
      <c r="O939" s="501"/>
      <c r="Q939" s="501"/>
      <c r="R939" s="501"/>
      <c r="S939" s="501"/>
      <c r="W939" s="501"/>
      <c r="X939" s="522"/>
      <c r="Y939" s="501"/>
      <c r="Z939" s="501"/>
    </row>
    <row r="940" spans="1:26">
      <c r="A940" s="6"/>
      <c r="C940" s="12"/>
      <c r="E940" s="522"/>
      <c r="G940" s="29"/>
      <c r="J940" s="501"/>
      <c r="K940" s="501"/>
      <c r="L940" s="501"/>
      <c r="M940" s="501"/>
      <c r="N940" s="501"/>
      <c r="O940" s="501"/>
      <c r="Q940" s="501"/>
      <c r="R940" s="501"/>
      <c r="S940" s="501"/>
      <c r="W940" s="501"/>
      <c r="X940" s="522"/>
      <c r="Y940" s="501"/>
      <c r="Z940" s="501"/>
    </row>
    <row r="941" spans="1:26">
      <c r="A941" s="6"/>
      <c r="C941" s="12"/>
      <c r="E941" s="522"/>
      <c r="G941" s="29"/>
      <c r="J941" s="501"/>
      <c r="K941" s="501"/>
      <c r="L941" s="501"/>
      <c r="M941" s="501"/>
      <c r="N941" s="501"/>
      <c r="O941" s="501"/>
      <c r="Q941" s="501"/>
      <c r="R941" s="501"/>
      <c r="S941" s="501"/>
      <c r="W941" s="501"/>
      <c r="X941" s="522"/>
      <c r="Y941" s="501"/>
      <c r="Z941" s="501"/>
    </row>
    <row r="942" spans="1:26">
      <c r="A942" s="6"/>
      <c r="C942" s="12"/>
      <c r="E942" s="522"/>
      <c r="G942" s="29"/>
      <c r="J942" s="501"/>
      <c r="K942" s="501"/>
      <c r="L942" s="501"/>
      <c r="M942" s="501"/>
      <c r="N942" s="501"/>
      <c r="O942" s="501"/>
      <c r="Q942" s="501"/>
      <c r="R942" s="501"/>
      <c r="S942" s="501"/>
      <c r="W942" s="501"/>
      <c r="X942" s="522"/>
      <c r="Y942" s="501"/>
      <c r="Z942" s="501"/>
    </row>
    <row r="943" spans="1:26">
      <c r="A943" s="6"/>
      <c r="C943" s="718"/>
      <c r="E943" s="522"/>
      <c r="G943" s="29"/>
      <c r="J943" s="501"/>
      <c r="K943" s="501"/>
      <c r="L943" s="501"/>
      <c r="M943" s="501"/>
      <c r="N943" s="501"/>
      <c r="O943" s="501"/>
      <c r="Q943" s="501"/>
      <c r="R943" s="501"/>
      <c r="S943" s="501"/>
      <c r="W943" s="501"/>
      <c r="X943" s="522"/>
      <c r="Y943" s="501"/>
      <c r="Z943" s="501"/>
    </row>
    <row r="944" spans="1:26">
      <c r="C944" s="521"/>
      <c r="G944" s="129"/>
      <c r="J944" s="501"/>
      <c r="K944" s="501"/>
      <c r="L944" s="501"/>
      <c r="M944" s="501"/>
      <c r="N944" s="501"/>
      <c r="O944" s="501"/>
      <c r="Q944" s="501"/>
      <c r="R944" s="501"/>
      <c r="S944" s="501"/>
      <c r="W944" s="501"/>
      <c r="X944" s="522"/>
      <c r="Y944" s="501"/>
      <c r="Z944" s="501"/>
    </row>
    <row r="945" spans="1:26">
      <c r="A945" s="6"/>
      <c r="C945" s="12"/>
      <c r="E945" s="522"/>
      <c r="G945" s="29"/>
      <c r="J945" s="501"/>
      <c r="K945" s="501"/>
      <c r="L945" s="501"/>
      <c r="M945" s="501"/>
      <c r="N945" s="501"/>
      <c r="O945" s="501"/>
      <c r="Q945" s="501"/>
      <c r="R945" s="501"/>
      <c r="S945" s="501"/>
      <c r="W945" s="501"/>
      <c r="X945" s="522"/>
      <c r="Y945" s="501"/>
      <c r="Z945" s="501"/>
    </row>
    <row r="946" spans="1:26">
      <c r="A946" s="6"/>
      <c r="C946" s="12"/>
      <c r="E946" s="522"/>
      <c r="G946" s="29"/>
      <c r="J946" s="501"/>
      <c r="K946" s="501"/>
      <c r="L946" s="501"/>
      <c r="M946" s="501"/>
      <c r="N946" s="501"/>
      <c r="O946" s="501"/>
      <c r="Q946" s="501"/>
      <c r="R946" s="501"/>
      <c r="S946" s="501"/>
      <c r="W946" s="501"/>
      <c r="X946" s="522"/>
      <c r="Y946" s="501"/>
      <c r="Z946" s="501"/>
    </row>
    <row r="947" spans="1:26">
      <c r="C947" s="521"/>
      <c r="E947" s="501"/>
      <c r="G947" s="129"/>
      <c r="J947" s="501"/>
      <c r="K947" s="501"/>
      <c r="L947" s="501"/>
      <c r="M947" s="501"/>
      <c r="N947" s="501"/>
      <c r="O947" s="501"/>
      <c r="Q947" s="501"/>
      <c r="R947" s="501"/>
      <c r="S947" s="501"/>
      <c r="W947" s="501"/>
      <c r="X947" s="522"/>
      <c r="Y947" s="501"/>
      <c r="Z947" s="501"/>
    </row>
    <row r="948" spans="1:26">
      <c r="C948" s="521"/>
      <c r="E948" s="501"/>
      <c r="G948" s="129"/>
      <c r="J948" s="501"/>
      <c r="K948" s="501"/>
      <c r="L948" s="501"/>
      <c r="M948" s="501"/>
      <c r="N948" s="501"/>
      <c r="O948" s="501"/>
      <c r="Q948" s="501"/>
      <c r="R948" s="501"/>
      <c r="S948" s="501"/>
      <c r="W948" s="501"/>
      <c r="X948" s="522"/>
      <c r="Y948" s="501"/>
      <c r="Z948" s="501"/>
    </row>
    <row r="949" spans="1:26">
      <c r="A949" s="6"/>
      <c r="C949" s="12"/>
      <c r="E949" s="522"/>
      <c r="G949" s="29"/>
      <c r="J949" s="501"/>
      <c r="K949" s="501"/>
      <c r="L949" s="501"/>
      <c r="M949" s="501"/>
      <c r="N949" s="501"/>
      <c r="O949" s="501"/>
      <c r="Q949" s="501"/>
      <c r="R949" s="501"/>
      <c r="S949" s="501"/>
      <c r="W949" s="501"/>
      <c r="X949" s="522"/>
      <c r="Y949" s="501"/>
      <c r="Z949" s="501"/>
    </row>
    <row r="950" spans="1:26">
      <c r="A950" s="6"/>
      <c r="C950" s="12"/>
      <c r="E950" s="522"/>
      <c r="G950" s="29"/>
      <c r="J950" s="501"/>
      <c r="K950" s="501"/>
      <c r="L950" s="501"/>
      <c r="M950" s="501"/>
      <c r="N950" s="501"/>
      <c r="O950" s="501"/>
      <c r="Q950" s="501"/>
      <c r="R950" s="501"/>
      <c r="S950" s="501"/>
      <c r="W950" s="501"/>
      <c r="X950" s="522"/>
      <c r="Y950" s="501"/>
      <c r="Z950" s="501"/>
    </row>
    <row r="951" spans="1:26">
      <c r="G951" s="129"/>
      <c r="J951" s="501"/>
      <c r="K951" s="501"/>
      <c r="L951" s="501"/>
      <c r="M951" s="501"/>
      <c r="N951" s="501"/>
      <c r="O951" s="501"/>
      <c r="Q951" s="501"/>
      <c r="R951" s="501"/>
      <c r="S951" s="501"/>
      <c r="W951" s="501"/>
      <c r="X951" s="522"/>
      <c r="Y951" s="501"/>
      <c r="Z951" s="501"/>
    </row>
    <row r="952" spans="1:26">
      <c r="A952" s="6"/>
      <c r="C952" s="16"/>
      <c r="E952" s="17"/>
      <c r="G952" s="132"/>
      <c r="J952" s="501"/>
      <c r="K952" s="501"/>
      <c r="L952" s="501"/>
      <c r="M952" s="501"/>
      <c r="N952" s="501"/>
      <c r="O952" s="501"/>
      <c r="Q952" s="501"/>
      <c r="R952" s="501"/>
      <c r="S952" s="501"/>
      <c r="W952" s="501"/>
      <c r="X952" s="522"/>
      <c r="Y952" s="501"/>
      <c r="Z952" s="501"/>
    </row>
    <row r="953" spans="1:26">
      <c r="G953" s="129"/>
      <c r="J953" s="501"/>
      <c r="K953" s="501"/>
      <c r="L953" s="501"/>
      <c r="M953" s="501"/>
      <c r="N953" s="501"/>
      <c r="O953" s="501"/>
      <c r="Q953" s="501"/>
      <c r="R953" s="501"/>
      <c r="S953" s="501"/>
      <c r="W953" s="501"/>
      <c r="X953" s="522"/>
      <c r="Y953" s="501"/>
      <c r="Z953" s="501"/>
    </row>
    <row r="954" spans="1:26">
      <c r="A954" s="6"/>
      <c r="B954" s="58"/>
      <c r="D954" s="58"/>
      <c r="E954" s="574"/>
      <c r="F954" s="58"/>
      <c r="G954" s="132"/>
      <c r="H954" s="58"/>
      <c r="I954" s="58"/>
      <c r="J954" s="501"/>
      <c r="K954" s="501"/>
      <c r="L954" s="501"/>
      <c r="M954" s="501"/>
      <c r="N954" s="501"/>
      <c r="O954" s="501"/>
      <c r="P954" s="58"/>
      <c r="Q954" s="501"/>
      <c r="R954" s="501"/>
      <c r="S954" s="501"/>
      <c r="T954" s="58"/>
      <c r="U954" s="58"/>
      <c r="V954" s="58"/>
      <c r="W954" s="501"/>
      <c r="X954" s="522"/>
      <c r="Y954" s="501"/>
      <c r="Z954" s="501"/>
    </row>
    <row r="955" spans="1:26">
      <c r="A955" s="6"/>
      <c r="B955" s="58"/>
      <c r="D955" s="58"/>
      <c r="E955" s="574"/>
      <c r="F955" s="58"/>
      <c r="G955" s="132"/>
      <c r="H955" s="58"/>
      <c r="I955" s="58"/>
      <c r="J955" s="501"/>
      <c r="K955" s="501"/>
      <c r="L955" s="501"/>
      <c r="M955" s="501"/>
      <c r="N955" s="501"/>
      <c r="O955" s="501"/>
      <c r="P955" s="58"/>
      <c r="Q955" s="501"/>
      <c r="R955" s="501"/>
      <c r="S955" s="501"/>
      <c r="T955" s="58"/>
      <c r="U955" s="58"/>
      <c r="V955" s="58"/>
      <c r="W955" s="501"/>
      <c r="X955" s="522"/>
      <c r="Y955" s="501"/>
      <c r="Z955" s="501"/>
    </row>
    <row r="956" spans="1:26">
      <c r="A956" s="581"/>
      <c r="B956" s="4"/>
      <c r="C956" s="4"/>
      <c r="D956" s="4"/>
      <c r="E956" s="4"/>
      <c r="F956" s="4"/>
      <c r="G956" s="4"/>
      <c r="H956" s="4"/>
      <c r="I956" s="4"/>
      <c r="J956" s="501"/>
      <c r="K956" s="501"/>
      <c r="L956" s="501"/>
      <c r="M956" s="501"/>
      <c r="N956" s="501"/>
      <c r="O956" s="501"/>
      <c r="P956" s="4"/>
      <c r="Q956" s="501"/>
      <c r="R956" s="501"/>
      <c r="S956" s="501"/>
      <c r="T956" s="4"/>
      <c r="U956" s="4"/>
      <c r="V956" s="4"/>
      <c r="W956" s="501"/>
      <c r="X956" s="522"/>
      <c r="Y956" s="501"/>
      <c r="Z956" s="501"/>
    </row>
    <row r="957" spans="1:26">
      <c r="A957" s="731"/>
      <c r="B957" s="581"/>
      <c r="C957" s="581"/>
      <c r="D957" s="581"/>
      <c r="E957" s="581"/>
      <c r="F957" s="581"/>
      <c r="G957" s="581"/>
      <c r="H957" s="581"/>
      <c r="I957" s="581"/>
      <c r="J957" s="501"/>
      <c r="K957" s="501"/>
      <c r="L957" s="501"/>
      <c r="M957" s="501"/>
      <c r="N957" s="501"/>
      <c r="O957" s="501"/>
      <c r="P957" s="581"/>
      <c r="Q957" s="501"/>
      <c r="R957" s="501"/>
      <c r="S957" s="501"/>
      <c r="T957" s="581"/>
      <c r="U957" s="581"/>
      <c r="V957" s="581"/>
      <c r="W957" s="501"/>
      <c r="X957" s="522"/>
      <c r="Y957" s="501"/>
      <c r="Z957" s="501"/>
    </row>
    <row r="958" spans="1:26">
      <c r="B958" s="6"/>
      <c r="C958" s="6"/>
      <c r="D958" s="6"/>
      <c r="E958" s="3"/>
      <c r="F958" s="6"/>
      <c r="G958" s="3"/>
      <c r="H958" s="6"/>
      <c r="I958" s="6"/>
      <c r="J958" s="501"/>
      <c r="K958" s="501"/>
      <c r="L958" s="501"/>
      <c r="M958" s="501"/>
      <c r="N958" s="501"/>
      <c r="O958" s="501"/>
      <c r="P958" s="6"/>
      <c r="Q958" s="501"/>
      <c r="R958" s="501"/>
      <c r="S958" s="501"/>
      <c r="T958" s="6"/>
      <c r="U958" s="6"/>
      <c r="V958" s="6"/>
      <c r="W958" s="501"/>
      <c r="X958" s="522"/>
      <c r="Y958" s="501"/>
      <c r="Z958" s="501"/>
    </row>
    <row r="959" spans="1:26">
      <c r="A959" s="3"/>
      <c r="B959" s="3"/>
      <c r="C959" s="3"/>
      <c r="D959" s="3"/>
      <c r="E959" s="6"/>
      <c r="F959" s="3"/>
      <c r="G959" s="6"/>
      <c r="H959" s="3"/>
      <c r="I959" s="3"/>
      <c r="J959" s="501"/>
      <c r="K959" s="501"/>
      <c r="L959" s="501"/>
      <c r="M959" s="501"/>
      <c r="N959" s="501"/>
      <c r="O959" s="501"/>
      <c r="P959" s="3"/>
      <c r="Q959" s="501"/>
      <c r="R959" s="501"/>
      <c r="S959" s="501"/>
      <c r="T959" s="3"/>
      <c r="U959" s="3"/>
      <c r="V959" s="3"/>
      <c r="W959" s="501"/>
      <c r="X959" s="522"/>
      <c r="Y959" s="501"/>
      <c r="Z959" s="501"/>
    </row>
    <row r="960" spans="1:26">
      <c r="A960" s="5"/>
      <c r="B960" s="5"/>
      <c r="C960" s="5"/>
      <c r="D960" s="5"/>
      <c r="E960" s="6"/>
      <c r="F960" s="5"/>
      <c r="G960" s="17"/>
      <c r="H960" s="5"/>
      <c r="I960" s="5"/>
      <c r="J960" s="501"/>
      <c r="K960" s="501"/>
      <c r="L960" s="501"/>
      <c r="M960" s="501"/>
      <c r="N960" s="501"/>
      <c r="O960" s="501"/>
      <c r="P960" s="5"/>
      <c r="Q960" s="501"/>
      <c r="R960" s="501"/>
      <c r="S960" s="501"/>
      <c r="T960" s="5"/>
      <c r="U960" s="5"/>
      <c r="V960" s="5"/>
      <c r="W960" s="501"/>
      <c r="X960" s="522"/>
      <c r="Y960" s="501"/>
      <c r="Z960" s="501"/>
    </row>
    <row r="961" spans="1:26">
      <c r="A961" s="6"/>
      <c r="B961" s="58"/>
      <c r="C961" s="58"/>
      <c r="D961" s="58"/>
      <c r="E961" s="6"/>
      <c r="F961" s="58"/>
      <c r="G961" s="6"/>
      <c r="H961" s="58"/>
      <c r="I961" s="58"/>
      <c r="J961" s="501"/>
      <c r="K961" s="501"/>
      <c r="L961" s="501"/>
      <c r="M961" s="501"/>
      <c r="N961" s="501"/>
      <c r="O961" s="501"/>
      <c r="P961" s="58"/>
      <c r="Q961" s="501"/>
      <c r="R961" s="501"/>
      <c r="S961" s="501"/>
      <c r="T961" s="58"/>
      <c r="U961" s="58"/>
      <c r="V961" s="58"/>
      <c r="W961" s="501"/>
      <c r="X961" s="522"/>
      <c r="Y961" s="501"/>
      <c r="Z961" s="501"/>
    </row>
    <row r="962" spans="1:26">
      <c r="A962" s="6"/>
      <c r="B962" s="58"/>
      <c r="C962" s="58"/>
      <c r="D962" s="58"/>
      <c r="E962" s="6"/>
      <c r="F962" s="58"/>
      <c r="G962" s="6"/>
      <c r="H962" s="58"/>
      <c r="I962" s="58"/>
      <c r="J962" s="501"/>
      <c r="K962" s="501"/>
      <c r="L962" s="501"/>
      <c r="M962" s="501"/>
      <c r="N962" s="501"/>
      <c r="O962" s="501"/>
      <c r="P962" s="58"/>
      <c r="Q962" s="501"/>
      <c r="R962" s="501"/>
      <c r="S962" s="501"/>
      <c r="T962" s="58"/>
      <c r="U962" s="58"/>
      <c r="V962" s="58"/>
      <c r="W962" s="501"/>
      <c r="X962" s="522"/>
      <c r="Y962" s="501"/>
      <c r="Z962" s="501"/>
    </row>
    <row r="963" spans="1:26">
      <c r="G963" s="129"/>
      <c r="J963" s="501"/>
      <c r="K963" s="501"/>
      <c r="L963" s="501"/>
      <c r="M963" s="501"/>
      <c r="N963" s="501"/>
      <c r="O963" s="501"/>
      <c r="Q963" s="501"/>
      <c r="R963" s="501"/>
      <c r="S963" s="501"/>
      <c r="W963" s="501"/>
      <c r="X963" s="522"/>
      <c r="Y963" s="501"/>
      <c r="Z963" s="501"/>
    </row>
    <row r="964" spans="1:26">
      <c r="C964" s="9"/>
      <c r="G964" s="129"/>
      <c r="J964" s="501"/>
      <c r="K964" s="501"/>
      <c r="L964" s="501"/>
      <c r="M964" s="501"/>
      <c r="N964" s="501"/>
      <c r="O964" s="501"/>
      <c r="Q964" s="501"/>
      <c r="R964" s="501"/>
      <c r="S964" s="501"/>
      <c r="W964" s="501"/>
      <c r="X964" s="522"/>
      <c r="Y964" s="501"/>
      <c r="Z964" s="501"/>
    </row>
    <row r="965" spans="1:26">
      <c r="C965" s="10"/>
      <c r="G965" s="129"/>
      <c r="J965" s="501"/>
      <c r="K965" s="501"/>
      <c r="L965" s="501"/>
      <c r="M965" s="501"/>
      <c r="N965" s="501"/>
      <c r="O965" s="501"/>
      <c r="Q965" s="501"/>
      <c r="R965" s="501"/>
      <c r="S965" s="501"/>
      <c r="W965" s="501"/>
      <c r="X965" s="522"/>
      <c r="Y965" s="501"/>
      <c r="Z965" s="501"/>
    </row>
    <row r="966" spans="1:26">
      <c r="A966" s="6"/>
      <c r="C966" s="717"/>
      <c r="E966" s="522"/>
      <c r="G966" s="29"/>
      <c r="J966" s="501"/>
      <c r="K966" s="501"/>
      <c r="L966" s="501"/>
      <c r="M966" s="501"/>
      <c r="N966" s="501"/>
      <c r="O966" s="501"/>
      <c r="Q966" s="501"/>
      <c r="R966" s="501"/>
      <c r="S966" s="501"/>
      <c r="W966" s="501"/>
      <c r="X966" s="522"/>
      <c r="Y966" s="501"/>
      <c r="Z966" s="501"/>
    </row>
    <row r="967" spans="1:26">
      <c r="A967" s="6"/>
      <c r="C967" s="717"/>
      <c r="E967" s="522"/>
      <c r="G967" s="29"/>
      <c r="J967" s="501"/>
      <c r="K967" s="501"/>
      <c r="L967" s="501"/>
      <c r="M967" s="501"/>
      <c r="N967" s="501"/>
      <c r="O967" s="501"/>
      <c r="Q967" s="501"/>
      <c r="R967" s="501"/>
      <c r="S967" s="501"/>
      <c r="W967" s="501"/>
      <c r="X967" s="522"/>
      <c r="Y967" s="501"/>
      <c r="Z967" s="501"/>
    </row>
    <row r="968" spans="1:26">
      <c r="A968" s="6"/>
      <c r="C968" s="12"/>
      <c r="E968" s="522"/>
      <c r="G968" s="29"/>
      <c r="J968" s="501"/>
      <c r="K968" s="501"/>
      <c r="L968" s="501"/>
      <c r="M968" s="501"/>
      <c r="N968" s="501"/>
      <c r="O968" s="501"/>
      <c r="Q968" s="501"/>
      <c r="R968" s="501"/>
      <c r="S968" s="501"/>
      <c r="W968" s="501"/>
      <c r="X968" s="522"/>
      <c r="Y968" s="501"/>
      <c r="Z968" s="501"/>
    </row>
    <row r="969" spans="1:26">
      <c r="A969" s="6"/>
      <c r="C969" s="718"/>
      <c r="E969" s="522"/>
      <c r="G969" s="29"/>
      <c r="J969" s="501"/>
      <c r="K969" s="501"/>
      <c r="L969" s="501"/>
      <c r="M969" s="501"/>
      <c r="N969" s="501"/>
      <c r="O969" s="501"/>
      <c r="Q969" s="501"/>
      <c r="R969" s="501"/>
      <c r="S969" s="501"/>
      <c r="W969" s="501"/>
      <c r="X969" s="522"/>
      <c r="Y969" s="501"/>
      <c r="Z969" s="501"/>
    </row>
    <row r="970" spans="1:26">
      <c r="A970" s="6"/>
      <c r="C970" s="12"/>
      <c r="E970" s="522"/>
      <c r="G970" s="29"/>
      <c r="J970" s="501"/>
      <c r="K970" s="501"/>
      <c r="L970" s="501"/>
      <c r="M970" s="501"/>
      <c r="N970" s="501"/>
      <c r="O970" s="501"/>
      <c r="Q970" s="501"/>
      <c r="R970" s="501"/>
      <c r="S970" s="501"/>
      <c r="W970" s="501"/>
      <c r="X970" s="522"/>
      <c r="Y970" s="501"/>
      <c r="Z970" s="501"/>
    </row>
    <row r="971" spans="1:26">
      <c r="G971" s="129"/>
      <c r="J971" s="501"/>
      <c r="K971" s="501"/>
      <c r="L971" s="501"/>
      <c r="M971" s="501"/>
      <c r="N971" s="501"/>
      <c r="O971" s="501"/>
      <c r="Q971" s="501"/>
      <c r="R971" s="501"/>
      <c r="S971" s="501"/>
      <c r="W971" s="501"/>
      <c r="X971" s="522"/>
      <c r="Y971" s="501"/>
      <c r="Z971" s="501"/>
    </row>
    <row r="972" spans="1:26">
      <c r="C972" s="10"/>
      <c r="G972" s="129"/>
      <c r="J972" s="501"/>
      <c r="K972" s="501"/>
      <c r="L972" s="501"/>
      <c r="M972" s="501"/>
      <c r="N972" s="501"/>
      <c r="O972" s="501"/>
      <c r="Q972" s="501"/>
      <c r="R972" s="501"/>
      <c r="S972" s="501"/>
      <c r="W972" s="501"/>
      <c r="X972" s="522"/>
      <c r="Y972" s="501"/>
      <c r="Z972" s="501"/>
    </row>
    <row r="973" spans="1:26">
      <c r="C973" s="526"/>
      <c r="G973" s="129"/>
      <c r="J973" s="501"/>
      <c r="K973" s="501"/>
      <c r="L973" s="501"/>
      <c r="M973" s="501"/>
      <c r="N973" s="501"/>
      <c r="O973" s="501"/>
      <c r="Q973" s="501"/>
      <c r="R973" s="501"/>
      <c r="S973" s="501"/>
      <c r="W973" s="501"/>
      <c r="X973" s="522"/>
      <c r="Y973" s="501"/>
      <c r="Z973" s="501"/>
    </row>
    <row r="974" spans="1:26">
      <c r="C974" s="697"/>
      <c r="G974" s="129"/>
      <c r="J974" s="501"/>
      <c r="K974" s="501"/>
      <c r="L974" s="501"/>
      <c r="M974" s="501"/>
      <c r="N974" s="501"/>
      <c r="O974" s="501"/>
      <c r="Q974" s="501"/>
      <c r="R974" s="501"/>
      <c r="S974" s="501"/>
      <c r="W974" s="501"/>
      <c r="X974" s="522"/>
      <c r="Y974" s="501"/>
      <c r="Z974" s="501"/>
    </row>
    <row r="975" spans="1:26">
      <c r="A975" s="6"/>
      <c r="C975" s="719"/>
      <c r="E975" s="522"/>
      <c r="G975" s="29"/>
      <c r="J975" s="501"/>
      <c r="K975" s="501"/>
      <c r="L975" s="501"/>
      <c r="M975" s="501"/>
      <c r="N975" s="501"/>
      <c r="O975" s="501"/>
      <c r="Q975" s="501"/>
      <c r="R975" s="501"/>
      <c r="S975" s="501"/>
      <c r="W975" s="501"/>
      <c r="X975" s="522"/>
      <c r="Y975" s="501"/>
      <c r="Z975" s="501"/>
    </row>
    <row r="976" spans="1:26">
      <c r="C976" s="697"/>
      <c r="E976" s="501"/>
      <c r="G976" s="129"/>
      <c r="J976" s="501"/>
      <c r="K976" s="501"/>
      <c r="L976" s="501"/>
      <c r="M976" s="501"/>
      <c r="N976" s="501"/>
      <c r="O976" s="501"/>
      <c r="Q976" s="501"/>
      <c r="R976" s="501"/>
      <c r="S976" s="501"/>
      <c r="W976" s="501"/>
      <c r="X976" s="522"/>
      <c r="Y976" s="501"/>
      <c r="Z976" s="501"/>
    </row>
    <row r="977" spans="1:26">
      <c r="A977" s="6"/>
      <c r="C977" s="719"/>
      <c r="E977" s="522"/>
      <c r="G977" s="29"/>
      <c r="J977" s="501"/>
      <c r="K977" s="501"/>
      <c r="L977" s="501"/>
      <c r="M977" s="501"/>
      <c r="N977" s="501"/>
      <c r="O977" s="501"/>
      <c r="Q977" s="501"/>
      <c r="R977" s="501"/>
      <c r="S977" s="501"/>
      <c r="W977" s="501"/>
      <c r="X977" s="522"/>
      <c r="Y977" s="501"/>
      <c r="Z977" s="501"/>
    </row>
    <row r="978" spans="1:26">
      <c r="A978" s="6"/>
      <c r="C978" s="719"/>
      <c r="E978" s="522"/>
      <c r="G978" s="29"/>
      <c r="J978" s="501"/>
      <c r="K978" s="501"/>
      <c r="L978" s="501"/>
      <c r="M978" s="501"/>
      <c r="N978" s="501"/>
      <c r="O978" s="501"/>
      <c r="Q978" s="501"/>
      <c r="R978" s="501"/>
      <c r="S978" s="501"/>
      <c r="W978" s="501"/>
      <c r="X978" s="522"/>
      <c r="Y978" s="501"/>
      <c r="Z978" s="501"/>
    </row>
    <row r="979" spans="1:26">
      <c r="A979" s="6"/>
      <c r="C979" s="719"/>
      <c r="E979" s="522"/>
      <c r="G979" s="29"/>
      <c r="J979" s="501"/>
      <c r="K979" s="501"/>
      <c r="L979" s="501"/>
      <c r="M979" s="501"/>
      <c r="N979" s="501"/>
      <c r="O979" s="501"/>
      <c r="Q979" s="501"/>
      <c r="R979" s="501"/>
      <c r="S979" s="501"/>
      <c r="W979" s="501"/>
      <c r="X979" s="522"/>
      <c r="Y979" s="501"/>
      <c r="Z979" s="501"/>
    </row>
    <row r="980" spans="1:26">
      <c r="A980" s="6"/>
      <c r="C980" s="719"/>
      <c r="E980" s="522"/>
      <c r="G980" s="29"/>
      <c r="J980" s="501"/>
      <c r="K980" s="501"/>
      <c r="L980" s="501"/>
      <c r="M980" s="501"/>
      <c r="N980" s="501"/>
      <c r="O980" s="501"/>
      <c r="Q980" s="501"/>
      <c r="R980" s="501"/>
      <c r="S980" s="501"/>
      <c r="W980" s="501"/>
      <c r="X980" s="522"/>
      <c r="Y980" s="501"/>
      <c r="Z980" s="501"/>
    </row>
    <row r="981" spans="1:26">
      <c r="C981" s="501"/>
      <c r="E981" s="501"/>
      <c r="G981" s="129"/>
      <c r="J981" s="501"/>
      <c r="K981" s="501"/>
      <c r="L981" s="501"/>
      <c r="M981" s="501"/>
      <c r="N981" s="501"/>
      <c r="O981" s="501"/>
      <c r="Q981" s="501"/>
      <c r="R981" s="501"/>
      <c r="S981" s="501"/>
      <c r="W981" s="501"/>
      <c r="X981" s="522"/>
      <c r="Y981" s="501"/>
      <c r="Z981" s="501"/>
    </row>
    <row r="982" spans="1:26">
      <c r="C982" s="526"/>
      <c r="E982" s="522"/>
      <c r="G982" s="129"/>
      <c r="J982" s="501"/>
      <c r="K982" s="501"/>
      <c r="L982" s="501"/>
      <c r="M982" s="501"/>
      <c r="N982" s="501"/>
      <c r="O982" s="501"/>
      <c r="Q982" s="501"/>
      <c r="R982" s="501"/>
      <c r="S982" s="501"/>
      <c r="W982" s="501"/>
      <c r="X982" s="522"/>
      <c r="Y982" s="501"/>
      <c r="Z982" s="501"/>
    </row>
    <row r="983" spans="1:26">
      <c r="C983" s="697"/>
      <c r="E983" s="501"/>
      <c r="G983" s="129"/>
      <c r="J983" s="501"/>
      <c r="K983" s="501"/>
      <c r="L983" s="501"/>
      <c r="M983" s="501"/>
      <c r="N983" s="501"/>
      <c r="O983" s="501"/>
      <c r="Q983" s="501"/>
      <c r="R983" s="501"/>
      <c r="S983" s="501"/>
      <c r="W983" s="501"/>
      <c r="X983" s="522"/>
      <c r="Y983" s="501"/>
      <c r="Z983" s="501"/>
    </row>
    <row r="984" spans="1:26">
      <c r="A984" s="6"/>
      <c r="C984" s="719"/>
      <c r="E984" s="522"/>
      <c r="G984" s="29"/>
      <c r="J984" s="501"/>
      <c r="K984" s="501"/>
      <c r="L984" s="501"/>
      <c r="M984" s="501"/>
      <c r="N984" s="501"/>
      <c r="O984" s="501"/>
      <c r="Q984" s="501"/>
      <c r="R984" s="501"/>
      <c r="S984" s="501"/>
      <c r="W984" s="501"/>
      <c r="X984" s="522"/>
      <c r="Y984" s="501"/>
      <c r="Z984" s="501"/>
    </row>
    <row r="985" spans="1:26">
      <c r="A985" s="6"/>
      <c r="C985" s="719"/>
      <c r="E985" s="522"/>
      <c r="G985" s="29"/>
      <c r="J985" s="501"/>
      <c r="K985" s="501"/>
      <c r="L985" s="501"/>
      <c r="M985" s="501"/>
      <c r="N985" s="501"/>
      <c r="O985" s="501"/>
      <c r="Q985" s="501"/>
      <c r="R985" s="501"/>
      <c r="S985" s="501"/>
      <c r="W985" s="501"/>
      <c r="X985" s="522"/>
      <c r="Y985" s="501"/>
      <c r="Z985" s="501"/>
    </row>
    <row r="986" spans="1:26">
      <c r="G986" s="129"/>
      <c r="J986" s="501"/>
      <c r="K986" s="501"/>
      <c r="L986" s="501"/>
      <c r="M986" s="501"/>
      <c r="N986" s="501"/>
      <c r="O986" s="501"/>
      <c r="Q986" s="501"/>
      <c r="R986" s="501"/>
      <c r="S986" s="501"/>
      <c r="W986" s="501"/>
      <c r="X986" s="522"/>
      <c r="Y986" s="501"/>
      <c r="Z986" s="501"/>
    </row>
    <row r="987" spans="1:26">
      <c r="A987" s="6"/>
      <c r="E987" s="522"/>
      <c r="G987" s="29"/>
      <c r="J987" s="501"/>
      <c r="K987" s="501"/>
      <c r="L987" s="501"/>
      <c r="M987" s="501"/>
      <c r="N987" s="501"/>
      <c r="O987" s="501"/>
      <c r="Q987" s="501"/>
      <c r="R987" s="501"/>
      <c r="S987" s="501"/>
      <c r="W987" s="501"/>
      <c r="X987" s="522"/>
      <c r="Y987" s="501"/>
      <c r="Z987" s="501"/>
    </row>
    <row r="988" spans="1:26">
      <c r="A988" s="6"/>
      <c r="G988" s="129"/>
      <c r="J988" s="501"/>
      <c r="K988" s="501"/>
      <c r="L988" s="501"/>
      <c r="M988" s="501"/>
      <c r="N988" s="501"/>
      <c r="O988" s="501"/>
      <c r="Q988" s="501"/>
      <c r="R988" s="501"/>
      <c r="S988" s="501"/>
      <c r="W988" s="501"/>
      <c r="X988" s="522"/>
      <c r="Y988" s="501"/>
      <c r="Z988" s="501"/>
    </row>
    <row r="989" spans="1:26">
      <c r="G989" s="129"/>
      <c r="J989" s="501"/>
      <c r="K989" s="501"/>
      <c r="L989" s="501"/>
      <c r="M989" s="501"/>
      <c r="N989" s="501"/>
      <c r="O989" s="501"/>
      <c r="Q989" s="501"/>
      <c r="R989" s="501"/>
      <c r="S989" s="501"/>
      <c r="W989" s="501"/>
      <c r="X989" s="522"/>
      <c r="Y989" s="501"/>
      <c r="Z989" s="501"/>
    </row>
    <row r="990" spans="1:26">
      <c r="A990" s="6"/>
      <c r="G990" s="642"/>
      <c r="J990" s="501"/>
      <c r="K990" s="501"/>
      <c r="L990" s="501"/>
      <c r="M990" s="501"/>
      <c r="N990" s="501"/>
      <c r="O990" s="501"/>
      <c r="Q990" s="501"/>
      <c r="R990" s="501"/>
      <c r="S990" s="501"/>
      <c r="W990" s="501"/>
      <c r="X990" s="522"/>
      <c r="Y990" s="501"/>
      <c r="Z990" s="501"/>
    </row>
    <row r="991" spans="1:26">
      <c r="G991" s="129"/>
      <c r="J991" s="501"/>
      <c r="K991" s="501"/>
      <c r="L991" s="501"/>
      <c r="M991" s="501"/>
      <c r="N991" s="501"/>
      <c r="O991" s="501"/>
      <c r="Q991" s="501"/>
      <c r="R991" s="501"/>
      <c r="S991" s="501"/>
      <c r="W991" s="501"/>
      <c r="X991" s="522"/>
      <c r="Y991" s="501"/>
      <c r="Z991" s="501"/>
    </row>
    <row r="992" spans="1:26">
      <c r="G992" s="129"/>
      <c r="J992" s="501"/>
      <c r="K992" s="501"/>
      <c r="L992" s="501"/>
      <c r="M992" s="501"/>
      <c r="N992" s="501"/>
      <c r="O992" s="501"/>
      <c r="Q992" s="501"/>
      <c r="R992" s="501"/>
      <c r="S992" s="501"/>
      <c r="W992" s="501"/>
      <c r="X992" s="522"/>
      <c r="Y992" s="501"/>
      <c r="Z992" s="501"/>
    </row>
    <row r="993" spans="1:26">
      <c r="G993" s="129"/>
      <c r="J993" s="501"/>
      <c r="K993" s="501"/>
      <c r="L993" s="501"/>
      <c r="M993" s="501"/>
      <c r="N993" s="501"/>
      <c r="O993" s="501"/>
      <c r="Q993" s="501"/>
      <c r="R993" s="501"/>
      <c r="S993" s="501"/>
      <c r="W993" s="501"/>
      <c r="X993" s="522"/>
      <c r="Y993" s="501"/>
      <c r="Z993" s="501"/>
    </row>
    <row r="994" spans="1:26">
      <c r="A994" s="581"/>
      <c r="B994" s="4"/>
      <c r="C994" s="4"/>
      <c r="D994" s="4"/>
      <c r="E994" s="4"/>
      <c r="F994" s="4"/>
      <c r="G994" s="4"/>
      <c r="H994" s="4"/>
      <c r="I994" s="4"/>
      <c r="J994" s="501"/>
      <c r="K994" s="501"/>
      <c r="L994" s="501"/>
      <c r="M994" s="501"/>
      <c r="N994" s="501"/>
      <c r="O994" s="501"/>
      <c r="P994" s="4"/>
      <c r="Q994" s="501"/>
      <c r="R994" s="501"/>
      <c r="S994" s="501"/>
      <c r="T994" s="4"/>
      <c r="U994" s="4"/>
      <c r="V994" s="4"/>
      <c r="W994" s="501"/>
      <c r="X994" s="522"/>
      <c r="Y994" s="501"/>
      <c r="Z994" s="501"/>
    </row>
    <row r="995" spans="1:26">
      <c r="A995" s="731"/>
      <c r="B995" s="581"/>
      <c r="C995" s="581"/>
      <c r="D995" s="581"/>
      <c r="E995" s="581"/>
      <c r="F995" s="581"/>
      <c r="G995" s="581"/>
      <c r="H995" s="581"/>
      <c r="I995" s="581"/>
      <c r="J995" s="501"/>
      <c r="K995" s="501"/>
      <c r="L995" s="501"/>
      <c r="M995" s="501"/>
      <c r="N995" s="501"/>
      <c r="O995" s="501"/>
      <c r="P995" s="581"/>
      <c r="Q995" s="501"/>
      <c r="R995" s="501"/>
      <c r="S995" s="501"/>
      <c r="T995" s="581"/>
      <c r="U995" s="581"/>
      <c r="V995" s="581"/>
      <c r="W995" s="501"/>
      <c r="X995" s="522"/>
      <c r="Y995" s="501"/>
      <c r="Z995" s="501"/>
    </row>
    <row r="996" spans="1:26">
      <c r="A996" s="6"/>
      <c r="B996" s="6"/>
      <c r="C996" s="6"/>
      <c r="D996" s="6"/>
      <c r="E996" s="3"/>
      <c r="F996" s="6"/>
      <c r="G996" s="3"/>
      <c r="H996" s="6"/>
      <c r="I996" s="6"/>
      <c r="J996" s="501"/>
      <c r="K996" s="501"/>
      <c r="L996" s="501"/>
      <c r="M996" s="501"/>
      <c r="N996" s="501"/>
      <c r="O996" s="501"/>
      <c r="P996" s="6"/>
      <c r="Q996" s="501"/>
      <c r="R996" s="501"/>
      <c r="S996" s="501"/>
      <c r="T996" s="6"/>
      <c r="U996" s="6"/>
      <c r="V996" s="6"/>
      <c r="W996" s="501"/>
      <c r="X996" s="522"/>
      <c r="Y996" s="501"/>
      <c r="Z996" s="501"/>
    </row>
    <row r="997" spans="1:26">
      <c r="A997" s="3"/>
      <c r="B997" s="3"/>
      <c r="C997" s="3"/>
      <c r="D997" s="3"/>
      <c r="E997" s="6"/>
      <c r="F997" s="3"/>
      <c r="G997" s="6"/>
      <c r="H997" s="3"/>
      <c r="I997" s="3"/>
      <c r="J997" s="501"/>
      <c r="K997" s="501"/>
      <c r="L997" s="501"/>
      <c r="M997" s="501"/>
      <c r="N997" s="501"/>
      <c r="O997" s="501"/>
      <c r="P997" s="3"/>
      <c r="Q997" s="501"/>
      <c r="R997" s="501"/>
      <c r="S997" s="501"/>
      <c r="T997" s="3"/>
      <c r="U997" s="3"/>
      <c r="V997" s="3"/>
      <c r="W997" s="501"/>
      <c r="X997" s="522"/>
      <c r="Y997" s="501"/>
      <c r="Z997" s="501"/>
    </row>
    <row r="998" spans="1:26">
      <c r="A998" s="5"/>
      <c r="B998" s="5"/>
      <c r="C998" s="5"/>
      <c r="D998" s="5"/>
      <c r="E998" s="6"/>
      <c r="F998" s="5"/>
      <c r="G998" s="17"/>
      <c r="H998" s="5"/>
      <c r="I998" s="5"/>
      <c r="J998" s="501"/>
      <c r="K998" s="501"/>
      <c r="L998" s="501"/>
      <c r="M998" s="501"/>
      <c r="N998" s="501"/>
      <c r="O998" s="501"/>
      <c r="P998" s="5"/>
      <c r="Q998" s="501"/>
      <c r="R998" s="501"/>
      <c r="S998" s="501"/>
      <c r="T998" s="5"/>
      <c r="U998" s="5"/>
      <c r="V998" s="5"/>
      <c r="W998" s="501"/>
      <c r="X998" s="522"/>
      <c r="Y998" s="501"/>
      <c r="Z998" s="501"/>
    </row>
    <row r="999" spans="1:26">
      <c r="A999" s="6"/>
      <c r="B999" s="58"/>
      <c r="C999" s="58"/>
      <c r="D999" s="58"/>
      <c r="E999" s="6"/>
      <c r="F999" s="58"/>
      <c r="G999" s="6"/>
      <c r="H999" s="58"/>
      <c r="I999" s="58"/>
      <c r="J999" s="501"/>
      <c r="K999" s="501"/>
      <c r="L999" s="501"/>
      <c r="M999" s="501"/>
      <c r="N999" s="501"/>
      <c r="O999" s="501"/>
      <c r="P999" s="58"/>
      <c r="Q999" s="501"/>
      <c r="R999" s="501"/>
      <c r="S999" s="501"/>
      <c r="T999" s="58"/>
      <c r="U999" s="58"/>
      <c r="V999" s="58"/>
      <c r="W999" s="501"/>
      <c r="X999" s="522"/>
      <c r="Y999" s="501"/>
      <c r="Z999" s="501"/>
    </row>
    <row r="1000" spans="1:26">
      <c r="A1000" s="6"/>
      <c r="B1000" s="58"/>
      <c r="C1000" s="58"/>
      <c r="D1000" s="58"/>
      <c r="E1000" s="6"/>
      <c r="F1000" s="58"/>
      <c r="G1000" s="6"/>
      <c r="H1000" s="58"/>
      <c r="I1000" s="58"/>
      <c r="J1000" s="501"/>
      <c r="K1000" s="501"/>
      <c r="L1000" s="501"/>
      <c r="M1000" s="501"/>
      <c r="N1000" s="501"/>
      <c r="O1000" s="501"/>
      <c r="P1000" s="58"/>
      <c r="Q1000" s="501"/>
      <c r="R1000" s="501"/>
      <c r="S1000" s="501"/>
      <c r="T1000" s="58"/>
      <c r="U1000" s="58"/>
      <c r="V1000" s="58"/>
      <c r="W1000" s="501"/>
      <c r="X1000" s="522"/>
      <c r="Y1000" s="501"/>
      <c r="Z1000" s="501"/>
    </row>
    <row r="1001" spans="1:26">
      <c r="G1001" s="129"/>
      <c r="J1001" s="501"/>
      <c r="K1001" s="501"/>
      <c r="L1001" s="501"/>
      <c r="M1001" s="501"/>
      <c r="N1001" s="501"/>
      <c r="O1001" s="501"/>
      <c r="Q1001" s="501"/>
      <c r="R1001" s="501"/>
      <c r="S1001" s="501"/>
      <c r="W1001" s="501"/>
      <c r="X1001" s="522"/>
      <c r="Y1001" s="501"/>
      <c r="Z1001" s="501"/>
    </row>
    <row r="1002" spans="1:26">
      <c r="C1002" s="723"/>
      <c r="E1002" s="733"/>
      <c r="G1002" s="129"/>
      <c r="J1002" s="501"/>
      <c r="K1002" s="501"/>
      <c r="L1002" s="501"/>
      <c r="M1002" s="501"/>
      <c r="N1002" s="501"/>
      <c r="O1002" s="501"/>
      <c r="Q1002" s="501"/>
      <c r="R1002" s="501"/>
      <c r="S1002" s="501"/>
      <c r="W1002" s="501"/>
      <c r="X1002" s="522"/>
      <c r="Y1002" s="501"/>
      <c r="Z1002" s="501"/>
    </row>
    <row r="1003" spans="1:26">
      <c r="A1003" s="6"/>
      <c r="C1003" s="521"/>
      <c r="E1003" s="30"/>
      <c r="G1003" s="29"/>
      <c r="J1003" s="501"/>
      <c r="K1003" s="501"/>
      <c r="L1003" s="501"/>
      <c r="M1003" s="501"/>
      <c r="N1003" s="501"/>
      <c r="O1003" s="501"/>
      <c r="Q1003" s="501"/>
      <c r="R1003" s="501"/>
      <c r="S1003" s="501"/>
      <c r="W1003" s="501"/>
      <c r="X1003" s="522"/>
      <c r="Y1003" s="501"/>
      <c r="Z1003" s="501"/>
    </row>
    <row r="1004" spans="1:26">
      <c r="A1004" s="6"/>
      <c r="C1004" s="521"/>
      <c r="E1004" s="30"/>
      <c r="G1004" s="29"/>
      <c r="J1004" s="501"/>
      <c r="K1004" s="501"/>
      <c r="L1004" s="501"/>
      <c r="M1004" s="501"/>
      <c r="N1004" s="501"/>
      <c r="O1004" s="501"/>
      <c r="Q1004" s="501"/>
      <c r="R1004" s="501"/>
      <c r="S1004" s="501"/>
      <c r="W1004" s="501"/>
      <c r="X1004" s="522"/>
      <c r="Y1004" s="501"/>
      <c r="Z1004" s="501"/>
    </row>
    <row r="1005" spans="1:26">
      <c r="A1005" s="6"/>
      <c r="C1005" s="521"/>
      <c r="E1005" s="30"/>
      <c r="G1005" s="29"/>
      <c r="J1005" s="501"/>
      <c r="K1005" s="501"/>
      <c r="L1005" s="501"/>
      <c r="M1005" s="501"/>
      <c r="N1005" s="501"/>
      <c r="O1005" s="501"/>
      <c r="Q1005" s="501"/>
      <c r="R1005" s="501"/>
      <c r="S1005" s="501"/>
      <c r="W1005" s="501"/>
      <c r="X1005" s="522"/>
      <c r="Y1005" s="501"/>
      <c r="Z1005" s="501"/>
    </row>
    <row r="1006" spans="1:26">
      <c r="A1006" s="6"/>
      <c r="C1006" s="521"/>
      <c r="E1006" s="1"/>
      <c r="G1006" s="29"/>
      <c r="J1006" s="501"/>
      <c r="K1006" s="501"/>
      <c r="L1006" s="501"/>
      <c r="M1006" s="501"/>
      <c r="N1006" s="501"/>
      <c r="O1006" s="501"/>
      <c r="Q1006" s="501"/>
      <c r="R1006" s="501"/>
      <c r="S1006" s="501"/>
      <c r="W1006" s="501"/>
      <c r="X1006" s="522"/>
      <c r="Y1006" s="501"/>
      <c r="Z1006" s="501"/>
    </row>
    <row r="1007" spans="1:26">
      <c r="A1007" s="6"/>
      <c r="C1007" s="521"/>
      <c r="E1007" s="1"/>
      <c r="G1007" s="29"/>
      <c r="J1007" s="501"/>
      <c r="K1007" s="501"/>
      <c r="L1007" s="501"/>
      <c r="M1007" s="501"/>
      <c r="N1007" s="501"/>
      <c r="O1007" s="501"/>
      <c r="Q1007" s="501"/>
      <c r="R1007" s="501"/>
      <c r="S1007" s="501"/>
      <c r="W1007" s="501"/>
      <c r="X1007" s="522"/>
      <c r="Y1007" s="501"/>
      <c r="Z1007" s="501"/>
    </row>
    <row r="1008" spans="1:26">
      <c r="A1008" s="6"/>
      <c r="C1008" s="521"/>
      <c r="E1008" s="1"/>
      <c r="G1008" s="29"/>
      <c r="J1008" s="501"/>
      <c r="K1008" s="501"/>
      <c r="L1008" s="501"/>
      <c r="M1008" s="501"/>
      <c r="N1008" s="501"/>
      <c r="O1008" s="501"/>
      <c r="Q1008" s="501"/>
      <c r="R1008" s="501"/>
      <c r="S1008" s="501"/>
      <c r="W1008" s="501"/>
      <c r="X1008" s="522"/>
      <c r="Y1008" s="501"/>
      <c r="Z1008" s="501"/>
    </row>
    <row r="1009" spans="1:26">
      <c r="C1009" s="10"/>
      <c r="J1009" s="501"/>
      <c r="K1009" s="501"/>
      <c r="L1009" s="501"/>
      <c r="M1009" s="501"/>
      <c r="N1009" s="501"/>
      <c r="O1009" s="501"/>
      <c r="Q1009" s="501"/>
      <c r="R1009" s="501"/>
      <c r="S1009" s="501"/>
      <c r="W1009" s="501"/>
      <c r="X1009" s="522"/>
      <c r="Y1009" s="501"/>
      <c r="Z1009" s="501"/>
    </row>
    <row r="1010" spans="1:26">
      <c r="A1010" s="6"/>
      <c r="C1010" s="724"/>
      <c r="E1010" s="734"/>
      <c r="G1010" s="132"/>
      <c r="J1010" s="501"/>
      <c r="K1010" s="501"/>
      <c r="L1010" s="501"/>
      <c r="M1010" s="501"/>
      <c r="N1010" s="501"/>
      <c r="O1010" s="501"/>
      <c r="Q1010" s="501"/>
      <c r="R1010" s="501"/>
      <c r="S1010" s="501"/>
      <c r="W1010" s="501"/>
      <c r="X1010" s="522"/>
      <c r="Y1010" s="501"/>
      <c r="Z1010" s="501"/>
    </row>
    <row r="1011" spans="1:26">
      <c r="C1011" s="10"/>
      <c r="G1011" s="129"/>
      <c r="J1011" s="501"/>
      <c r="K1011" s="501"/>
      <c r="L1011" s="501"/>
      <c r="M1011" s="501"/>
      <c r="N1011" s="501"/>
      <c r="O1011" s="501"/>
      <c r="Q1011" s="501"/>
      <c r="R1011" s="501"/>
      <c r="S1011" s="501"/>
      <c r="W1011" s="501"/>
      <c r="X1011" s="522"/>
      <c r="Y1011" s="501"/>
      <c r="Z1011" s="501"/>
    </row>
    <row r="1012" spans="1:26">
      <c r="A1012" s="6"/>
      <c r="C1012" s="521"/>
      <c r="E1012" s="30"/>
      <c r="G1012" s="29"/>
      <c r="J1012" s="501"/>
      <c r="K1012" s="501"/>
      <c r="L1012" s="501"/>
      <c r="M1012" s="501"/>
      <c r="N1012" s="501"/>
      <c r="O1012" s="501"/>
      <c r="Q1012" s="501"/>
      <c r="R1012" s="501"/>
      <c r="S1012" s="501"/>
      <c r="W1012" s="501"/>
      <c r="X1012" s="522"/>
      <c r="Y1012" s="501"/>
      <c r="Z1012" s="501"/>
    </row>
    <row r="1013" spans="1:26">
      <c r="A1013" s="6"/>
      <c r="J1013" s="501"/>
      <c r="K1013" s="501"/>
      <c r="L1013" s="501"/>
      <c r="M1013" s="501"/>
      <c r="N1013" s="501"/>
      <c r="O1013" s="501"/>
      <c r="Q1013" s="501"/>
      <c r="R1013" s="501"/>
      <c r="S1013" s="501"/>
      <c r="W1013" s="501"/>
      <c r="X1013" s="522"/>
      <c r="Y1013" s="501"/>
      <c r="Z1013" s="501"/>
    </row>
    <row r="1014" spans="1:26">
      <c r="G1014" s="129"/>
      <c r="J1014" s="501"/>
      <c r="K1014" s="501"/>
      <c r="L1014" s="501"/>
      <c r="M1014" s="501"/>
      <c r="N1014" s="501"/>
      <c r="O1014" s="501"/>
      <c r="Q1014" s="501"/>
      <c r="R1014" s="501"/>
      <c r="S1014" s="501"/>
      <c r="W1014" s="501"/>
      <c r="X1014" s="522"/>
      <c r="Y1014" s="501"/>
      <c r="Z1014" s="501"/>
    </row>
    <row r="1015" spans="1:26">
      <c r="G1015" s="129"/>
      <c r="J1015" s="501"/>
      <c r="K1015" s="501"/>
      <c r="L1015" s="501"/>
      <c r="M1015" s="501"/>
      <c r="N1015" s="501"/>
      <c r="O1015" s="501"/>
      <c r="Q1015" s="501"/>
      <c r="R1015" s="501"/>
      <c r="S1015" s="501"/>
      <c r="W1015" s="501"/>
      <c r="X1015" s="522"/>
      <c r="Y1015" s="501"/>
      <c r="Z1015" s="501"/>
    </row>
    <row r="1016" spans="1:26">
      <c r="C1016" s="9"/>
      <c r="G1016" s="129"/>
      <c r="J1016" s="501"/>
      <c r="K1016" s="501"/>
      <c r="L1016" s="501"/>
      <c r="M1016" s="501"/>
      <c r="N1016" s="501"/>
      <c r="O1016" s="501"/>
      <c r="Q1016" s="501"/>
      <c r="R1016" s="501"/>
      <c r="S1016" s="501"/>
      <c r="W1016" s="501"/>
      <c r="X1016" s="522"/>
      <c r="Y1016" s="501"/>
      <c r="Z1016" s="501"/>
    </row>
    <row r="1017" spans="1:26">
      <c r="A1017" s="6"/>
      <c r="C1017" s="521"/>
      <c r="E1017" s="30"/>
      <c r="G1017" s="29"/>
      <c r="J1017" s="501"/>
      <c r="K1017" s="501"/>
      <c r="L1017" s="501"/>
      <c r="M1017" s="501"/>
      <c r="N1017" s="501"/>
      <c r="O1017" s="501"/>
      <c r="Q1017" s="501"/>
      <c r="R1017" s="501"/>
      <c r="S1017" s="501"/>
      <c r="W1017" s="501"/>
      <c r="X1017" s="522"/>
      <c r="Y1017" s="501"/>
      <c r="Z1017" s="501"/>
    </row>
    <row r="1018" spans="1:26">
      <c r="A1018" s="6"/>
      <c r="C1018" s="521"/>
      <c r="E1018" s="1"/>
      <c r="G1018" s="29"/>
      <c r="J1018" s="501"/>
      <c r="K1018" s="501"/>
      <c r="L1018" s="501"/>
      <c r="M1018" s="501"/>
      <c r="N1018" s="501"/>
      <c r="O1018" s="501"/>
      <c r="Q1018" s="501"/>
      <c r="R1018" s="501"/>
      <c r="S1018" s="501"/>
      <c r="W1018" s="501"/>
      <c r="X1018" s="522"/>
      <c r="Y1018" s="501"/>
      <c r="Z1018" s="501"/>
    </row>
    <row r="1019" spans="1:26">
      <c r="C1019" s="521"/>
      <c r="G1019" s="129"/>
      <c r="J1019" s="501"/>
      <c r="K1019" s="501"/>
      <c r="L1019" s="501"/>
      <c r="M1019" s="501"/>
      <c r="N1019" s="501"/>
      <c r="O1019" s="501"/>
      <c r="Q1019" s="501"/>
      <c r="R1019" s="501"/>
      <c r="S1019" s="501"/>
      <c r="W1019" s="501"/>
      <c r="X1019" s="522"/>
      <c r="Y1019" s="501"/>
      <c r="Z1019" s="501"/>
    </row>
    <row r="1020" spans="1:26">
      <c r="A1020" s="6"/>
      <c r="C1020" s="526"/>
      <c r="E1020" s="522"/>
      <c r="G1020" s="29"/>
      <c r="J1020" s="501"/>
      <c r="K1020" s="501"/>
      <c r="L1020" s="501"/>
      <c r="M1020" s="501"/>
      <c r="N1020" s="501"/>
      <c r="O1020" s="501"/>
      <c r="Q1020" s="501"/>
      <c r="R1020" s="501"/>
      <c r="S1020" s="501"/>
      <c r="W1020" s="501"/>
      <c r="X1020" s="522"/>
      <c r="Y1020" s="501"/>
      <c r="Z1020" s="501"/>
    </row>
    <row r="1021" spans="1:26">
      <c r="A1021" s="6"/>
      <c r="C1021" s="526"/>
      <c r="E1021" s="1"/>
      <c r="G1021" s="29"/>
      <c r="J1021" s="501"/>
      <c r="K1021" s="501"/>
      <c r="L1021" s="501"/>
      <c r="M1021" s="501"/>
      <c r="N1021" s="501"/>
      <c r="O1021" s="501"/>
      <c r="Q1021" s="501"/>
      <c r="R1021" s="501"/>
      <c r="S1021" s="501"/>
      <c r="W1021" s="501"/>
      <c r="X1021" s="522"/>
      <c r="Y1021" s="501"/>
      <c r="Z1021" s="501"/>
    </row>
    <row r="1022" spans="1:26">
      <c r="A1022" s="6"/>
      <c r="C1022" s="526"/>
      <c r="E1022" s="1"/>
      <c r="G1022" s="29"/>
      <c r="J1022" s="501"/>
      <c r="K1022" s="501"/>
      <c r="L1022" s="501"/>
      <c r="M1022" s="501"/>
      <c r="N1022" s="501"/>
      <c r="O1022" s="501"/>
      <c r="Q1022" s="501"/>
      <c r="R1022" s="501"/>
      <c r="S1022" s="501"/>
      <c r="W1022" s="501"/>
      <c r="X1022" s="522"/>
      <c r="Y1022" s="501"/>
      <c r="Z1022" s="501"/>
    </row>
    <row r="1023" spans="1:26">
      <c r="A1023" s="6"/>
      <c r="C1023" s="526"/>
      <c r="E1023" s="1"/>
      <c r="G1023" s="29"/>
      <c r="J1023" s="501"/>
      <c r="K1023" s="501"/>
      <c r="L1023" s="501"/>
      <c r="M1023" s="501"/>
      <c r="N1023" s="501"/>
      <c r="O1023" s="501"/>
      <c r="Q1023" s="501"/>
      <c r="R1023" s="501"/>
      <c r="S1023" s="501"/>
      <c r="W1023" s="501"/>
      <c r="X1023" s="522"/>
      <c r="Y1023" s="501"/>
      <c r="Z1023" s="501"/>
    </row>
    <row r="1024" spans="1:26">
      <c r="A1024" s="6"/>
      <c r="C1024" s="526"/>
      <c r="E1024" s="1"/>
      <c r="G1024" s="29"/>
      <c r="J1024" s="501"/>
      <c r="K1024" s="501"/>
      <c r="L1024" s="501"/>
      <c r="M1024" s="501"/>
      <c r="N1024" s="501"/>
      <c r="O1024" s="501"/>
      <c r="Q1024" s="501"/>
      <c r="R1024" s="501"/>
      <c r="S1024" s="501"/>
      <c r="W1024" s="501"/>
      <c r="X1024" s="522"/>
      <c r="Y1024" s="501"/>
      <c r="Z1024" s="501"/>
    </row>
    <row r="1025" spans="1:26">
      <c r="C1025" s="521"/>
      <c r="G1025" s="129"/>
      <c r="J1025" s="501"/>
      <c r="K1025" s="501"/>
      <c r="L1025" s="501"/>
      <c r="M1025" s="501"/>
      <c r="N1025" s="501"/>
      <c r="O1025" s="501"/>
      <c r="Q1025" s="501"/>
      <c r="R1025" s="501"/>
      <c r="S1025" s="501"/>
      <c r="W1025" s="501"/>
      <c r="X1025" s="522"/>
      <c r="Y1025" s="501"/>
      <c r="Z1025" s="501"/>
    </row>
    <row r="1026" spans="1:26">
      <c r="A1026" s="6"/>
      <c r="C1026" s="526"/>
      <c r="E1026" s="522"/>
      <c r="G1026" s="29"/>
      <c r="J1026" s="501"/>
      <c r="K1026" s="501"/>
      <c r="L1026" s="501"/>
      <c r="M1026" s="501"/>
      <c r="N1026" s="501"/>
      <c r="O1026" s="501"/>
      <c r="Q1026" s="501"/>
      <c r="R1026" s="501"/>
      <c r="S1026" s="501"/>
      <c r="W1026" s="501"/>
      <c r="X1026" s="522"/>
      <c r="Y1026" s="501"/>
      <c r="Z1026" s="501"/>
    </row>
    <row r="1027" spans="1:26">
      <c r="A1027" s="6"/>
      <c r="C1027" s="526"/>
      <c r="E1027" s="1"/>
      <c r="G1027" s="29"/>
      <c r="J1027" s="501"/>
      <c r="K1027" s="501"/>
      <c r="L1027" s="501"/>
      <c r="M1027" s="501"/>
      <c r="N1027" s="501"/>
      <c r="O1027" s="501"/>
      <c r="Q1027" s="501"/>
      <c r="R1027" s="501"/>
      <c r="S1027" s="501"/>
      <c r="W1027" s="501"/>
      <c r="X1027" s="522"/>
      <c r="Y1027" s="501"/>
      <c r="Z1027" s="501"/>
    </row>
    <row r="1028" spans="1:26">
      <c r="A1028" s="6"/>
      <c r="C1028" s="526"/>
      <c r="E1028" s="1"/>
      <c r="G1028" s="29"/>
      <c r="J1028" s="501"/>
      <c r="K1028" s="501"/>
      <c r="L1028" s="501"/>
      <c r="M1028" s="501"/>
      <c r="N1028" s="501"/>
      <c r="O1028" s="501"/>
      <c r="Q1028" s="501"/>
      <c r="R1028" s="501"/>
      <c r="S1028" s="501"/>
      <c r="W1028" s="501"/>
      <c r="X1028" s="522"/>
      <c r="Y1028" s="501"/>
      <c r="Z1028" s="501"/>
    </row>
    <row r="1029" spans="1:26">
      <c r="C1029" s="713"/>
      <c r="G1029" s="129"/>
      <c r="J1029" s="501"/>
      <c r="K1029" s="501"/>
      <c r="L1029" s="501"/>
      <c r="M1029" s="501"/>
      <c r="N1029" s="501"/>
      <c r="O1029" s="501"/>
      <c r="Q1029" s="501"/>
      <c r="R1029" s="501"/>
      <c r="S1029" s="501"/>
      <c r="W1029" s="501"/>
      <c r="X1029" s="522"/>
      <c r="Y1029" s="501"/>
      <c r="Z1029" s="501"/>
    </row>
    <row r="1030" spans="1:26">
      <c r="A1030" s="6"/>
      <c r="G1030" s="132"/>
      <c r="J1030" s="501"/>
      <c r="K1030" s="501"/>
      <c r="L1030" s="501"/>
      <c r="M1030" s="501"/>
      <c r="N1030" s="501"/>
      <c r="O1030" s="501"/>
      <c r="Q1030" s="501"/>
      <c r="R1030" s="501"/>
      <c r="S1030" s="501"/>
      <c r="W1030" s="501"/>
      <c r="X1030" s="522"/>
      <c r="Y1030" s="501"/>
      <c r="Z1030" s="501"/>
    </row>
    <row r="1031" spans="1:26">
      <c r="A1031" s="6"/>
      <c r="C1031" s="501"/>
      <c r="G1031" s="29"/>
      <c r="J1031" s="501"/>
      <c r="K1031" s="501"/>
      <c r="L1031" s="501"/>
      <c r="M1031" s="501"/>
      <c r="N1031" s="501"/>
      <c r="O1031" s="501"/>
      <c r="Q1031" s="501"/>
      <c r="R1031" s="501"/>
      <c r="S1031" s="501"/>
      <c r="W1031" s="501"/>
      <c r="X1031" s="522"/>
      <c r="Y1031" s="501"/>
      <c r="Z1031" s="501"/>
    </row>
    <row r="1032" spans="1:26">
      <c r="A1032" s="2"/>
      <c r="J1032" s="501"/>
      <c r="K1032" s="501"/>
      <c r="L1032" s="501"/>
      <c r="M1032" s="501"/>
      <c r="N1032" s="501"/>
      <c r="O1032" s="501"/>
      <c r="Q1032" s="501"/>
      <c r="R1032" s="501"/>
      <c r="S1032" s="501"/>
      <c r="W1032" s="501"/>
      <c r="X1032" s="522"/>
      <c r="Y1032" s="501"/>
      <c r="Z1032" s="501"/>
    </row>
    <row r="1033" spans="1:26">
      <c r="G1033" s="129"/>
      <c r="J1033" s="501"/>
      <c r="K1033" s="501"/>
      <c r="L1033" s="501"/>
      <c r="M1033" s="501"/>
      <c r="N1033" s="501"/>
      <c r="O1033" s="501"/>
      <c r="Q1033" s="501"/>
      <c r="R1033" s="501"/>
      <c r="S1033" s="501"/>
      <c r="W1033" s="501"/>
      <c r="X1033" s="522"/>
      <c r="Y1033" s="501"/>
      <c r="Z1033" s="501"/>
    </row>
    <row r="1034" spans="1:26">
      <c r="G1034" s="129"/>
      <c r="J1034" s="501"/>
      <c r="K1034" s="501"/>
      <c r="L1034" s="501"/>
      <c r="M1034" s="501"/>
      <c r="N1034" s="501"/>
      <c r="O1034" s="501"/>
      <c r="Q1034" s="501"/>
      <c r="R1034" s="501"/>
      <c r="S1034" s="501"/>
      <c r="W1034" s="501"/>
      <c r="X1034" s="522"/>
      <c r="Y1034" s="501"/>
      <c r="Z1034" s="501"/>
    </row>
    <row r="1035" spans="1:26">
      <c r="G1035" s="129"/>
      <c r="J1035" s="501"/>
      <c r="K1035" s="501"/>
      <c r="L1035" s="501"/>
      <c r="M1035" s="501"/>
      <c r="N1035" s="501"/>
      <c r="O1035" s="501"/>
      <c r="Q1035" s="501"/>
      <c r="R1035" s="501"/>
      <c r="S1035" s="501"/>
      <c r="W1035" s="501"/>
      <c r="X1035" s="522"/>
      <c r="Y1035" s="501"/>
      <c r="Z1035" s="501"/>
    </row>
    <row r="1036" spans="1:26">
      <c r="A1036" s="581"/>
      <c r="B1036" s="4"/>
      <c r="C1036" s="4"/>
      <c r="D1036" s="4"/>
      <c r="E1036" s="4"/>
      <c r="F1036" s="4"/>
      <c r="G1036" s="4"/>
      <c r="H1036" s="4"/>
      <c r="I1036" s="4"/>
      <c r="J1036" s="501"/>
      <c r="K1036" s="501"/>
      <c r="L1036" s="501"/>
      <c r="M1036" s="501"/>
      <c r="N1036" s="501"/>
      <c r="O1036" s="501"/>
      <c r="P1036" s="4"/>
      <c r="Q1036" s="501"/>
      <c r="R1036" s="501"/>
      <c r="S1036" s="501"/>
      <c r="T1036" s="4"/>
      <c r="U1036" s="4"/>
      <c r="V1036" s="4"/>
      <c r="W1036" s="501"/>
      <c r="X1036" s="522"/>
      <c r="Y1036" s="501"/>
      <c r="Z1036" s="501"/>
    </row>
    <row r="1037" spans="1:26">
      <c r="A1037" s="731"/>
      <c r="B1037" s="581"/>
      <c r="C1037" s="581"/>
      <c r="D1037" s="581"/>
      <c r="E1037" s="581"/>
      <c r="F1037" s="581"/>
      <c r="G1037" s="581"/>
      <c r="H1037" s="581"/>
      <c r="I1037" s="581"/>
      <c r="J1037" s="501"/>
      <c r="K1037" s="501"/>
      <c r="L1037" s="501"/>
      <c r="M1037" s="501"/>
      <c r="N1037" s="501"/>
      <c r="O1037" s="501"/>
      <c r="P1037" s="581"/>
      <c r="Q1037" s="501"/>
      <c r="R1037" s="501"/>
      <c r="S1037" s="501"/>
      <c r="T1037" s="581"/>
      <c r="U1037" s="581"/>
      <c r="V1037" s="581"/>
      <c r="W1037" s="501"/>
      <c r="X1037" s="522"/>
      <c r="Y1037" s="501"/>
      <c r="Z1037" s="501"/>
    </row>
    <row r="1038" spans="1:26">
      <c r="A1038" s="6"/>
      <c r="B1038" s="6"/>
      <c r="C1038" s="6"/>
      <c r="D1038" s="6"/>
      <c r="E1038" s="3"/>
      <c r="F1038" s="6"/>
      <c r="G1038" s="3"/>
      <c r="H1038" s="6"/>
      <c r="I1038" s="6"/>
      <c r="J1038" s="501"/>
      <c r="K1038" s="501"/>
      <c r="L1038" s="501"/>
      <c r="M1038" s="501"/>
      <c r="N1038" s="501"/>
      <c r="O1038" s="501"/>
      <c r="P1038" s="6"/>
      <c r="Q1038" s="501"/>
      <c r="R1038" s="501"/>
      <c r="S1038" s="501"/>
      <c r="T1038" s="6"/>
      <c r="U1038" s="6"/>
      <c r="V1038" s="6"/>
      <c r="W1038" s="501"/>
      <c r="X1038" s="522"/>
      <c r="Y1038" s="501"/>
      <c r="Z1038" s="501"/>
    </row>
    <row r="1039" spans="1:26">
      <c r="A1039" s="3"/>
      <c r="B1039" s="3"/>
      <c r="C1039" s="3"/>
      <c r="D1039" s="3"/>
      <c r="E1039" s="6"/>
      <c r="F1039" s="3"/>
      <c r="G1039" s="6"/>
      <c r="H1039" s="3"/>
      <c r="I1039" s="3"/>
      <c r="J1039" s="501"/>
      <c r="K1039" s="501"/>
      <c r="L1039" s="501"/>
      <c r="M1039" s="501"/>
      <c r="N1039" s="501"/>
      <c r="O1039" s="501"/>
      <c r="P1039" s="3"/>
      <c r="Q1039" s="501"/>
      <c r="R1039" s="501"/>
      <c r="S1039" s="501"/>
      <c r="T1039" s="3"/>
      <c r="U1039" s="3"/>
      <c r="V1039" s="3"/>
      <c r="W1039" s="501"/>
      <c r="X1039" s="522"/>
      <c r="Y1039" s="501"/>
      <c r="Z1039" s="501"/>
    </row>
    <row r="1040" spans="1:26">
      <c r="A1040" s="5"/>
      <c r="B1040" s="5"/>
      <c r="C1040" s="5"/>
      <c r="D1040" s="5"/>
      <c r="E1040" s="6"/>
      <c r="F1040" s="5"/>
      <c r="G1040" s="17"/>
      <c r="H1040" s="5"/>
      <c r="I1040" s="5"/>
      <c r="J1040" s="501"/>
      <c r="K1040" s="501"/>
      <c r="L1040" s="501"/>
      <c r="M1040" s="501"/>
      <c r="N1040" s="501"/>
      <c r="O1040" s="501"/>
      <c r="P1040" s="5"/>
      <c r="Q1040" s="501"/>
      <c r="R1040" s="501"/>
      <c r="S1040" s="501"/>
      <c r="T1040" s="5"/>
      <c r="U1040" s="5"/>
      <c r="V1040" s="5"/>
      <c r="W1040" s="501"/>
      <c r="X1040" s="522"/>
      <c r="Y1040" s="501"/>
      <c r="Z1040" s="501"/>
    </row>
    <row r="1041" spans="1:26">
      <c r="A1041" s="6"/>
      <c r="B1041" s="58"/>
      <c r="C1041" s="58"/>
      <c r="D1041" s="58"/>
      <c r="E1041" s="6"/>
      <c r="F1041" s="58"/>
      <c r="G1041" s="6"/>
      <c r="H1041" s="58"/>
      <c r="I1041" s="58"/>
      <c r="J1041" s="501"/>
      <c r="K1041" s="501"/>
      <c r="L1041" s="501"/>
      <c r="M1041" s="501"/>
      <c r="N1041" s="501"/>
      <c r="O1041" s="501"/>
      <c r="P1041" s="58"/>
      <c r="Q1041" s="501"/>
      <c r="R1041" s="501"/>
      <c r="S1041" s="501"/>
      <c r="T1041" s="58"/>
      <c r="U1041" s="58"/>
      <c r="V1041" s="58"/>
      <c r="W1041" s="501"/>
      <c r="X1041" s="522"/>
      <c r="Y1041" s="501"/>
      <c r="Z1041" s="501"/>
    </row>
    <row r="1042" spans="1:26">
      <c r="A1042" s="6"/>
      <c r="B1042" s="58"/>
      <c r="C1042" s="58"/>
      <c r="D1042" s="58"/>
      <c r="E1042" s="6"/>
      <c r="F1042" s="58"/>
      <c r="G1042" s="6"/>
      <c r="H1042" s="58"/>
      <c r="I1042" s="58"/>
      <c r="J1042" s="501"/>
      <c r="K1042" s="501"/>
      <c r="L1042" s="501"/>
      <c r="M1042" s="501"/>
      <c r="N1042" s="501"/>
      <c r="O1042" s="501"/>
      <c r="P1042" s="58"/>
      <c r="Q1042" s="501"/>
      <c r="R1042" s="501"/>
      <c r="S1042" s="501"/>
      <c r="T1042" s="58"/>
      <c r="U1042" s="58"/>
      <c r="V1042" s="58"/>
      <c r="W1042" s="501"/>
      <c r="X1042" s="522"/>
      <c r="Y1042" s="501"/>
      <c r="Z1042" s="501"/>
    </row>
    <row r="1043" spans="1:26">
      <c r="G1043" s="129"/>
      <c r="J1043" s="501"/>
      <c r="K1043" s="501"/>
      <c r="L1043" s="501"/>
      <c r="M1043" s="501"/>
      <c r="N1043" s="501"/>
      <c r="O1043" s="501"/>
      <c r="Q1043" s="501"/>
      <c r="R1043" s="501"/>
      <c r="S1043" s="501"/>
      <c r="W1043" s="501"/>
      <c r="X1043" s="522"/>
      <c r="Y1043" s="501"/>
      <c r="Z1043" s="501"/>
    </row>
    <row r="1044" spans="1:26">
      <c r="C1044" s="9"/>
      <c r="G1044" s="129"/>
      <c r="J1044" s="501"/>
      <c r="K1044" s="501"/>
      <c r="L1044" s="501"/>
      <c r="M1044" s="501"/>
      <c r="N1044" s="501"/>
      <c r="O1044" s="501"/>
      <c r="Q1044" s="501"/>
      <c r="R1044" s="501"/>
      <c r="S1044" s="501"/>
      <c r="W1044" s="501"/>
      <c r="X1044" s="522"/>
      <c r="Y1044" s="501"/>
      <c r="Z1044" s="501"/>
    </row>
    <row r="1045" spans="1:26">
      <c r="A1045" s="6"/>
      <c r="C1045" s="521"/>
      <c r="E1045" s="522"/>
      <c r="G1045" s="29"/>
      <c r="J1045" s="501"/>
      <c r="K1045" s="501"/>
      <c r="L1045" s="501"/>
      <c r="M1045" s="501"/>
      <c r="N1045" s="501"/>
      <c r="O1045" s="501"/>
      <c r="Q1045" s="501"/>
      <c r="R1045" s="501"/>
      <c r="S1045" s="501"/>
      <c r="W1045" s="501"/>
      <c r="X1045" s="522"/>
      <c r="Y1045" s="501"/>
      <c r="Z1045" s="501"/>
    </row>
    <row r="1046" spans="1:26">
      <c r="A1046" s="6"/>
      <c r="C1046" s="521"/>
      <c r="E1046" s="501"/>
      <c r="G1046" s="29"/>
      <c r="J1046" s="501"/>
      <c r="K1046" s="501"/>
      <c r="L1046" s="501"/>
      <c r="M1046" s="501"/>
      <c r="N1046" s="501"/>
      <c r="O1046" s="501"/>
      <c r="Q1046" s="501"/>
      <c r="R1046" s="501"/>
      <c r="S1046" s="501"/>
      <c r="W1046" s="501"/>
      <c r="X1046" s="522"/>
      <c r="Y1046" s="501"/>
      <c r="Z1046" s="501"/>
    </row>
    <row r="1047" spans="1:26">
      <c r="A1047" s="6"/>
      <c r="C1047" s="705"/>
      <c r="E1047" s="522"/>
      <c r="G1047" s="29"/>
      <c r="J1047" s="501"/>
      <c r="K1047" s="501"/>
      <c r="L1047" s="501"/>
      <c r="M1047" s="501"/>
      <c r="N1047" s="501"/>
      <c r="O1047" s="501"/>
      <c r="Q1047" s="501"/>
      <c r="R1047" s="501"/>
      <c r="S1047" s="501"/>
      <c r="W1047" s="501"/>
      <c r="X1047" s="522"/>
      <c r="Y1047" s="501"/>
      <c r="Z1047" s="501"/>
    </row>
    <row r="1048" spans="1:26">
      <c r="A1048" s="6"/>
      <c r="C1048" s="705"/>
      <c r="E1048" s="522"/>
      <c r="G1048" s="29"/>
      <c r="J1048" s="501"/>
      <c r="K1048" s="501"/>
      <c r="L1048" s="501"/>
      <c r="M1048" s="501"/>
      <c r="N1048" s="501"/>
      <c r="O1048" s="501"/>
      <c r="Q1048" s="501"/>
      <c r="R1048" s="501"/>
      <c r="S1048" s="501"/>
      <c r="W1048" s="501"/>
      <c r="X1048" s="522"/>
      <c r="Y1048" s="501"/>
      <c r="Z1048" s="501"/>
    </row>
    <row r="1049" spans="1:26">
      <c r="A1049" s="6"/>
      <c r="C1049" s="705"/>
      <c r="E1049" s="522"/>
      <c r="G1049" s="29"/>
      <c r="J1049" s="501"/>
      <c r="K1049" s="501"/>
      <c r="L1049" s="501"/>
      <c r="M1049" s="501"/>
      <c r="N1049" s="501"/>
      <c r="O1049" s="501"/>
      <c r="Q1049" s="501"/>
      <c r="R1049" s="501"/>
      <c r="S1049" s="501"/>
      <c r="W1049" s="501"/>
      <c r="X1049" s="522"/>
      <c r="Y1049" s="501"/>
      <c r="Z1049" s="501"/>
    </row>
    <row r="1050" spans="1:26">
      <c r="A1050" s="6"/>
      <c r="C1050" s="521"/>
      <c r="E1050" s="501"/>
      <c r="G1050" s="29"/>
      <c r="J1050" s="501"/>
      <c r="K1050" s="501"/>
      <c r="L1050" s="501"/>
      <c r="M1050" s="501"/>
      <c r="N1050" s="501"/>
      <c r="O1050" s="501"/>
      <c r="Q1050" s="501"/>
      <c r="R1050" s="501"/>
      <c r="S1050" s="501"/>
      <c r="W1050" s="501"/>
      <c r="X1050" s="522"/>
      <c r="Y1050" s="501"/>
      <c r="Z1050" s="501"/>
    </row>
    <row r="1051" spans="1:26">
      <c r="A1051" s="6"/>
      <c r="C1051" s="697"/>
      <c r="E1051" s="522"/>
      <c r="G1051" s="29"/>
      <c r="J1051" s="501"/>
      <c r="K1051" s="501"/>
      <c r="L1051" s="501"/>
      <c r="M1051" s="501"/>
      <c r="N1051" s="501"/>
      <c r="O1051" s="501"/>
      <c r="Q1051" s="501"/>
      <c r="R1051" s="501"/>
      <c r="S1051" s="501"/>
      <c r="W1051" s="501"/>
      <c r="X1051" s="522"/>
      <c r="Y1051" s="501"/>
      <c r="Z1051" s="501"/>
    </row>
    <row r="1052" spans="1:26">
      <c r="A1052" s="6"/>
      <c r="C1052" s="501"/>
      <c r="G1052" s="29"/>
      <c r="J1052" s="501"/>
      <c r="K1052" s="501"/>
      <c r="L1052" s="501"/>
      <c r="M1052" s="501"/>
      <c r="N1052" s="501"/>
      <c r="O1052" s="501"/>
      <c r="Q1052" s="501"/>
      <c r="R1052" s="501"/>
      <c r="S1052" s="501"/>
      <c r="W1052" s="501"/>
      <c r="X1052" s="522"/>
      <c r="Y1052" s="501"/>
      <c r="Z1052" s="501"/>
    </row>
    <row r="1053" spans="1:26">
      <c r="A1053" s="6"/>
      <c r="C1053" s="501"/>
      <c r="G1053" s="132"/>
      <c r="J1053" s="501"/>
      <c r="K1053" s="501"/>
      <c r="L1053" s="501"/>
      <c r="M1053" s="501"/>
      <c r="N1053" s="501"/>
      <c r="O1053" s="501"/>
      <c r="Q1053" s="501"/>
      <c r="R1053" s="501"/>
      <c r="S1053" s="501"/>
      <c r="W1053" s="501"/>
      <c r="X1053" s="522"/>
      <c r="Y1053" s="501"/>
      <c r="Z1053" s="501"/>
    </row>
    <row r="1054" spans="1:26">
      <c r="A1054" s="6"/>
      <c r="C1054" s="501"/>
      <c r="G1054" s="129"/>
      <c r="J1054" s="501"/>
      <c r="K1054" s="501"/>
      <c r="L1054" s="501"/>
      <c r="M1054" s="501"/>
      <c r="N1054" s="501"/>
      <c r="O1054" s="501"/>
      <c r="Q1054" s="501"/>
      <c r="R1054" s="501"/>
      <c r="S1054" s="501"/>
      <c r="W1054" s="501"/>
      <c r="X1054" s="522"/>
      <c r="Y1054" s="501"/>
      <c r="Z1054" s="501"/>
    </row>
    <row r="1055" spans="1:26">
      <c r="A1055" s="6"/>
      <c r="C1055" s="726"/>
      <c r="G1055" s="129"/>
      <c r="J1055" s="501"/>
      <c r="K1055" s="501"/>
      <c r="L1055" s="501"/>
      <c r="M1055" s="501"/>
      <c r="N1055" s="501"/>
      <c r="O1055" s="501"/>
      <c r="Q1055" s="501"/>
      <c r="R1055" s="501"/>
      <c r="S1055" s="501"/>
      <c r="W1055" s="501"/>
      <c r="X1055" s="522"/>
      <c r="Y1055" s="501"/>
      <c r="Z1055" s="501"/>
    </row>
    <row r="1056" spans="1:26">
      <c r="A1056" s="6"/>
      <c r="C1056" s="727"/>
      <c r="G1056" s="129"/>
      <c r="J1056" s="501"/>
      <c r="K1056" s="501"/>
      <c r="L1056" s="501"/>
      <c r="M1056" s="501"/>
      <c r="N1056" s="501"/>
      <c r="O1056" s="501"/>
      <c r="Q1056" s="501"/>
      <c r="R1056" s="501"/>
      <c r="S1056" s="501"/>
      <c r="W1056" s="501"/>
      <c r="X1056" s="522"/>
      <c r="Y1056" s="501"/>
      <c r="Z1056" s="501"/>
    </row>
    <row r="1057" spans="1:26">
      <c r="A1057" s="6"/>
      <c r="C1057" s="501"/>
      <c r="G1057" s="129"/>
      <c r="J1057" s="501"/>
      <c r="K1057" s="501"/>
      <c r="L1057" s="501"/>
      <c r="M1057" s="501"/>
      <c r="N1057" s="501"/>
      <c r="O1057" s="501"/>
      <c r="Q1057" s="501"/>
      <c r="R1057" s="501"/>
      <c r="S1057" s="501"/>
      <c r="W1057" s="501"/>
      <c r="X1057" s="522"/>
      <c r="Y1057" s="501"/>
      <c r="Z1057" s="501"/>
    </row>
    <row r="1058" spans="1:26">
      <c r="A1058" s="6"/>
      <c r="J1058" s="501"/>
      <c r="K1058" s="501"/>
      <c r="L1058" s="501"/>
      <c r="M1058" s="501"/>
      <c r="N1058" s="501"/>
      <c r="O1058" s="501"/>
      <c r="Q1058" s="501"/>
      <c r="R1058" s="501"/>
      <c r="S1058" s="501"/>
      <c r="W1058" s="501"/>
      <c r="X1058" s="522"/>
      <c r="Y1058" s="501"/>
      <c r="Z1058" s="501"/>
    </row>
    <row r="1059" spans="1:26">
      <c r="A1059" s="6"/>
      <c r="C1059" s="727"/>
      <c r="G1059" s="735"/>
      <c r="J1059" s="501"/>
      <c r="K1059" s="501"/>
      <c r="L1059" s="501"/>
      <c r="M1059" s="501"/>
      <c r="N1059" s="501"/>
      <c r="O1059" s="501"/>
      <c r="Q1059" s="501"/>
      <c r="R1059" s="501"/>
      <c r="S1059" s="501"/>
      <c r="W1059" s="501"/>
      <c r="X1059" s="522"/>
      <c r="Y1059" s="501"/>
      <c r="Z1059" s="501"/>
    </row>
    <row r="1060" spans="1:26">
      <c r="A1060" s="6"/>
      <c r="J1060" s="501"/>
      <c r="K1060" s="501"/>
      <c r="L1060" s="501"/>
      <c r="M1060" s="501"/>
      <c r="N1060" s="501"/>
      <c r="O1060" s="501"/>
      <c r="Q1060" s="501"/>
      <c r="R1060" s="501"/>
      <c r="S1060" s="501"/>
      <c r="W1060" s="501"/>
      <c r="X1060" s="522"/>
      <c r="Y1060" s="501"/>
      <c r="Z1060" s="501"/>
    </row>
    <row r="1061" spans="1:26">
      <c r="A1061" s="6"/>
      <c r="J1061" s="501"/>
      <c r="K1061" s="501"/>
      <c r="L1061" s="501"/>
      <c r="M1061" s="501"/>
      <c r="N1061" s="501"/>
      <c r="O1061" s="501"/>
      <c r="Q1061" s="501"/>
      <c r="R1061" s="501"/>
      <c r="S1061" s="501"/>
      <c r="W1061" s="501"/>
      <c r="X1061" s="522"/>
      <c r="Y1061" s="501"/>
      <c r="Z1061" s="501"/>
    </row>
    <row r="1062" spans="1:26">
      <c r="B1062" s="9"/>
      <c r="D1062" s="9"/>
      <c r="F1062" s="9"/>
      <c r="H1062" s="9"/>
      <c r="I1062" s="9"/>
      <c r="J1062" s="501"/>
      <c r="K1062" s="501"/>
      <c r="L1062" s="501"/>
      <c r="M1062" s="501"/>
      <c r="N1062" s="501"/>
      <c r="O1062" s="501"/>
      <c r="P1062" s="9"/>
      <c r="Q1062" s="501"/>
      <c r="R1062" s="501"/>
      <c r="S1062" s="501"/>
      <c r="T1062" s="9"/>
      <c r="U1062" s="9"/>
      <c r="V1062" s="9"/>
      <c r="W1062" s="501"/>
      <c r="X1062" s="522"/>
      <c r="Y1062" s="501"/>
      <c r="Z1062" s="501"/>
    </row>
    <row r="1063" spans="1:26">
      <c r="B1063" s="15"/>
      <c r="C1063" s="15"/>
      <c r="D1063" s="15"/>
      <c r="F1063" s="15"/>
      <c r="H1063" s="15"/>
      <c r="I1063" s="15"/>
      <c r="J1063" s="501"/>
      <c r="K1063" s="501"/>
      <c r="L1063" s="501"/>
      <c r="M1063" s="501"/>
      <c r="N1063" s="501"/>
      <c r="O1063" s="501"/>
      <c r="P1063" s="15"/>
      <c r="Q1063" s="501"/>
      <c r="R1063" s="501"/>
      <c r="S1063" s="501"/>
      <c r="T1063" s="15"/>
      <c r="U1063" s="15"/>
      <c r="V1063" s="15"/>
      <c r="W1063" s="501"/>
      <c r="X1063" s="522"/>
      <c r="Y1063" s="501"/>
      <c r="Z1063" s="501"/>
    </row>
    <row r="1064" spans="1:26">
      <c r="C1064" s="15"/>
      <c r="J1064" s="501"/>
      <c r="K1064" s="501"/>
      <c r="L1064" s="501"/>
      <c r="M1064" s="501"/>
      <c r="N1064" s="501"/>
      <c r="O1064" s="501"/>
      <c r="Q1064" s="501"/>
      <c r="R1064" s="501"/>
      <c r="S1064" s="501"/>
      <c r="W1064" s="501"/>
      <c r="X1064" s="522"/>
      <c r="Y1064" s="501"/>
      <c r="Z1064" s="501"/>
    </row>
    <row r="1065" spans="1:26">
      <c r="C1065" s="15"/>
      <c r="J1065" s="501"/>
      <c r="K1065" s="501"/>
      <c r="L1065" s="501"/>
      <c r="M1065" s="501"/>
      <c r="N1065" s="501"/>
      <c r="O1065" s="501"/>
      <c r="Q1065" s="501"/>
      <c r="R1065" s="501"/>
      <c r="S1065" s="501"/>
      <c r="W1065" s="501"/>
      <c r="X1065" s="522"/>
      <c r="Y1065" s="501"/>
      <c r="Z1065" s="501"/>
    </row>
    <row r="1066" spans="1:26">
      <c r="C1066" s="15"/>
      <c r="J1066" s="501"/>
      <c r="K1066" s="501"/>
      <c r="L1066" s="501"/>
      <c r="M1066" s="501"/>
      <c r="N1066" s="501"/>
      <c r="O1066" s="501"/>
      <c r="Q1066" s="501"/>
      <c r="R1066" s="501"/>
      <c r="S1066" s="501"/>
      <c r="W1066" s="501"/>
      <c r="X1066" s="522"/>
      <c r="Y1066" s="501"/>
      <c r="Z1066" s="501"/>
    </row>
    <row r="1067" spans="1:26">
      <c r="C1067" s="15"/>
      <c r="J1067" s="501"/>
      <c r="K1067" s="501"/>
      <c r="L1067" s="501"/>
      <c r="M1067" s="501"/>
      <c r="N1067" s="501"/>
      <c r="O1067" s="501"/>
      <c r="Q1067" s="501"/>
      <c r="R1067" s="501"/>
      <c r="S1067" s="501"/>
      <c r="W1067" s="501"/>
      <c r="X1067" s="522"/>
      <c r="Y1067" s="501"/>
      <c r="Z1067" s="501"/>
    </row>
    <row r="1068" spans="1:26">
      <c r="J1068" s="501"/>
      <c r="K1068" s="501"/>
      <c r="L1068" s="501"/>
      <c r="M1068" s="501"/>
      <c r="N1068" s="501"/>
      <c r="O1068" s="501"/>
      <c r="Q1068" s="501"/>
      <c r="R1068" s="501"/>
      <c r="S1068" s="501"/>
      <c r="W1068" s="501"/>
      <c r="X1068" s="522"/>
      <c r="Y1068" s="501"/>
      <c r="Z1068" s="501"/>
    </row>
    <row r="1069" spans="1:26">
      <c r="J1069" s="501"/>
      <c r="K1069" s="501"/>
      <c r="L1069" s="501"/>
      <c r="M1069" s="501"/>
      <c r="N1069" s="501"/>
      <c r="O1069" s="501"/>
      <c r="Q1069" s="501"/>
      <c r="R1069" s="501"/>
      <c r="S1069" s="501"/>
      <c r="W1069" s="501"/>
      <c r="X1069" s="522"/>
      <c r="Y1069" s="501"/>
      <c r="Z1069" s="501"/>
    </row>
    <row r="1070" spans="1:26">
      <c r="J1070" s="501"/>
      <c r="K1070" s="501"/>
      <c r="L1070" s="501"/>
      <c r="M1070" s="501"/>
      <c r="N1070" s="501"/>
      <c r="O1070" s="501"/>
      <c r="Q1070" s="501"/>
      <c r="R1070" s="501"/>
      <c r="S1070" s="501"/>
      <c r="W1070" s="501"/>
      <c r="X1070" s="522"/>
      <c r="Y1070" s="501"/>
      <c r="Z1070" s="501"/>
    </row>
    <row r="1071" spans="1:26">
      <c r="J1071" s="501"/>
      <c r="K1071" s="501"/>
      <c r="L1071" s="501"/>
      <c r="M1071" s="501"/>
      <c r="N1071" s="501"/>
      <c r="O1071" s="501"/>
      <c r="Q1071" s="501"/>
      <c r="R1071" s="501"/>
      <c r="S1071" s="501"/>
      <c r="W1071" s="501"/>
      <c r="X1071" s="522"/>
      <c r="Y1071" s="501"/>
      <c r="Z1071" s="501"/>
    </row>
    <row r="1072" spans="1:26">
      <c r="J1072" s="501"/>
      <c r="K1072" s="501"/>
      <c r="L1072" s="501"/>
      <c r="M1072" s="501"/>
      <c r="N1072" s="501"/>
      <c r="O1072" s="501"/>
      <c r="Q1072" s="501"/>
      <c r="R1072" s="501"/>
      <c r="S1072" s="501"/>
      <c r="W1072" s="501"/>
      <c r="X1072" s="522"/>
      <c r="Y1072" s="501"/>
      <c r="Z1072" s="501"/>
    </row>
    <row r="1073" spans="7:26">
      <c r="J1073" s="501"/>
      <c r="K1073" s="501"/>
      <c r="L1073" s="501"/>
      <c r="M1073" s="501"/>
      <c r="N1073" s="501"/>
      <c r="O1073" s="501"/>
      <c r="Q1073" s="501"/>
      <c r="R1073" s="501"/>
      <c r="S1073" s="501"/>
      <c r="W1073" s="501"/>
      <c r="X1073" s="522"/>
      <c r="Y1073" s="501"/>
      <c r="Z1073" s="501"/>
    </row>
    <row r="1074" spans="7:26">
      <c r="J1074" s="501"/>
      <c r="K1074" s="501"/>
      <c r="L1074" s="501"/>
      <c r="M1074" s="501"/>
      <c r="N1074" s="501"/>
      <c r="O1074" s="501"/>
      <c r="Q1074" s="501"/>
      <c r="R1074" s="501"/>
      <c r="S1074" s="501"/>
      <c r="W1074" s="501"/>
      <c r="X1074" s="522"/>
      <c r="Y1074" s="501"/>
      <c r="Z1074" s="501"/>
    </row>
    <row r="1075" spans="7:26">
      <c r="G1075" s="605"/>
      <c r="J1075" s="501"/>
      <c r="K1075" s="501"/>
      <c r="L1075" s="501"/>
      <c r="M1075" s="501"/>
      <c r="N1075" s="501"/>
      <c r="O1075" s="501"/>
      <c r="Q1075" s="501"/>
      <c r="R1075" s="501"/>
      <c r="S1075" s="501"/>
      <c r="W1075" s="501"/>
      <c r="X1075" s="522"/>
      <c r="Y1075" s="501"/>
      <c r="Z1075" s="501"/>
    </row>
    <row r="1076" spans="7:26">
      <c r="G1076" s="501"/>
      <c r="J1076" s="501"/>
      <c r="K1076" s="501"/>
      <c r="L1076" s="501"/>
      <c r="M1076" s="501"/>
      <c r="N1076" s="501"/>
      <c r="O1076" s="501"/>
      <c r="Q1076" s="501"/>
      <c r="R1076" s="501"/>
      <c r="S1076" s="501"/>
      <c r="W1076" s="501"/>
      <c r="X1076" s="522"/>
      <c r="Y1076" s="501"/>
      <c r="Z1076" s="501"/>
    </row>
    <row r="1077" spans="7:26">
      <c r="G1077" s="501"/>
      <c r="J1077" s="501"/>
      <c r="K1077" s="501"/>
      <c r="L1077" s="501"/>
      <c r="M1077" s="501"/>
      <c r="N1077" s="501"/>
      <c r="O1077" s="501"/>
      <c r="Q1077" s="501"/>
      <c r="R1077" s="501"/>
      <c r="S1077" s="501"/>
      <c r="W1077" s="501"/>
      <c r="X1077" s="522"/>
      <c r="Y1077" s="501"/>
      <c r="Z1077" s="501"/>
    </row>
    <row r="1078" spans="7:26">
      <c r="G1078" s="501"/>
      <c r="J1078" s="501"/>
      <c r="K1078" s="501"/>
      <c r="L1078" s="501"/>
      <c r="M1078" s="501"/>
      <c r="N1078" s="501"/>
      <c r="O1078" s="501"/>
      <c r="Q1078" s="501"/>
      <c r="R1078" s="501"/>
      <c r="S1078" s="501"/>
      <c r="W1078" s="501"/>
      <c r="X1078" s="522"/>
      <c r="Y1078" s="501"/>
      <c r="Z1078" s="501"/>
    </row>
    <row r="1079" spans="7:26">
      <c r="J1079" s="501"/>
      <c r="K1079" s="501"/>
      <c r="L1079" s="501"/>
      <c r="M1079" s="501"/>
      <c r="N1079" s="501"/>
      <c r="O1079" s="501"/>
      <c r="Q1079" s="501"/>
      <c r="R1079" s="501"/>
      <c r="S1079" s="501"/>
      <c r="W1079" s="501"/>
      <c r="X1079" s="522"/>
      <c r="Y1079" s="501"/>
      <c r="Z1079" s="501"/>
    </row>
    <row r="1080" spans="7:26">
      <c r="J1080" s="501"/>
      <c r="K1080" s="501"/>
      <c r="L1080" s="501"/>
      <c r="M1080" s="501"/>
      <c r="N1080" s="501"/>
      <c r="O1080" s="501"/>
      <c r="Q1080" s="501"/>
      <c r="R1080" s="501"/>
      <c r="S1080" s="501"/>
      <c r="W1080" s="501"/>
      <c r="X1080" s="522"/>
      <c r="Y1080" s="501"/>
      <c r="Z1080" s="501"/>
    </row>
    <row r="1081" spans="7:26">
      <c r="J1081" s="501"/>
      <c r="K1081" s="501"/>
      <c r="L1081" s="501"/>
      <c r="M1081" s="501"/>
      <c r="N1081" s="501"/>
      <c r="O1081" s="501"/>
      <c r="Q1081" s="501"/>
      <c r="R1081" s="501"/>
      <c r="S1081" s="501"/>
      <c r="W1081" s="501"/>
      <c r="X1081" s="522"/>
      <c r="Y1081" s="501"/>
      <c r="Z1081" s="501"/>
    </row>
    <row r="1082" spans="7:26">
      <c r="J1082" s="501"/>
      <c r="K1082" s="501"/>
      <c r="L1082" s="501"/>
      <c r="M1082" s="501"/>
      <c r="N1082" s="501"/>
      <c r="O1082" s="501"/>
      <c r="Q1082" s="501"/>
      <c r="R1082" s="501"/>
      <c r="S1082" s="501"/>
      <c r="W1082" s="501"/>
      <c r="X1082" s="522"/>
      <c r="Y1082" s="501"/>
      <c r="Z1082" s="501"/>
    </row>
    <row r="1083" spans="7:26">
      <c r="J1083" s="501"/>
      <c r="K1083" s="501"/>
      <c r="L1083" s="501"/>
      <c r="M1083" s="501"/>
      <c r="N1083" s="501"/>
      <c r="O1083" s="501"/>
      <c r="Q1083" s="501"/>
      <c r="R1083" s="501"/>
      <c r="S1083" s="501"/>
      <c r="W1083" s="501"/>
      <c r="X1083" s="522"/>
      <c r="Y1083" s="501"/>
      <c r="Z1083" s="501"/>
    </row>
    <row r="1084" spans="7:26">
      <c r="J1084" s="501"/>
      <c r="K1084" s="501"/>
      <c r="L1084" s="501"/>
      <c r="M1084" s="501"/>
      <c r="N1084" s="501"/>
      <c r="O1084" s="501"/>
      <c r="Q1084" s="501"/>
      <c r="R1084" s="501"/>
      <c r="S1084" s="501"/>
      <c r="W1084" s="501"/>
      <c r="X1084" s="522"/>
      <c r="Y1084" s="501"/>
      <c r="Z1084" s="501"/>
    </row>
    <row r="1085" spans="7:26">
      <c r="J1085" s="501"/>
      <c r="K1085" s="501"/>
      <c r="L1085" s="501"/>
      <c r="M1085" s="501"/>
      <c r="N1085" s="501"/>
      <c r="O1085" s="501"/>
      <c r="Q1085" s="501"/>
      <c r="R1085" s="501"/>
      <c r="S1085" s="501"/>
      <c r="W1085" s="501"/>
      <c r="X1085" s="522"/>
      <c r="Y1085" s="501"/>
      <c r="Z1085" s="501"/>
    </row>
    <row r="1086" spans="7:26">
      <c r="J1086" s="501"/>
      <c r="K1086" s="501"/>
      <c r="L1086" s="501"/>
      <c r="M1086" s="501"/>
      <c r="N1086" s="501"/>
      <c r="O1086" s="501"/>
      <c r="Q1086" s="501"/>
      <c r="R1086" s="501"/>
      <c r="S1086" s="501"/>
      <c r="W1086" s="501"/>
      <c r="X1086" s="522"/>
      <c r="Y1086" s="501"/>
      <c r="Z1086" s="501"/>
    </row>
    <row r="1087" spans="7:26">
      <c r="J1087" s="501"/>
      <c r="K1087" s="501"/>
      <c r="L1087" s="501"/>
      <c r="M1087" s="501"/>
      <c r="N1087" s="501"/>
      <c r="O1087" s="501"/>
      <c r="Q1087" s="501"/>
      <c r="R1087" s="501"/>
      <c r="S1087" s="501"/>
      <c r="W1087" s="501"/>
      <c r="X1087" s="522"/>
      <c r="Y1087" s="501"/>
      <c r="Z1087" s="501"/>
    </row>
    <row r="1088" spans="7:26">
      <c r="J1088" s="501"/>
      <c r="K1088" s="501"/>
      <c r="L1088" s="501"/>
      <c r="M1088" s="501"/>
      <c r="N1088" s="501"/>
      <c r="O1088" s="501"/>
      <c r="Q1088" s="501"/>
      <c r="R1088" s="501"/>
      <c r="S1088" s="501"/>
      <c r="W1088" s="501"/>
      <c r="X1088" s="522"/>
      <c r="Y1088" s="501"/>
      <c r="Z1088" s="501"/>
    </row>
    <row r="1089" spans="10:26">
      <c r="J1089" s="501"/>
      <c r="K1089" s="501"/>
      <c r="L1089" s="501"/>
      <c r="M1089" s="501"/>
      <c r="N1089" s="501"/>
      <c r="O1089" s="501"/>
      <c r="Q1089" s="501"/>
      <c r="R1089" s="501"/>
      <c r="S1089" s="501"/>
      <c r="W1089" s="501"/>
      <c r="X1089" s="522"/>
      <c r="Y1089" s="501"/>
      <c r="Z1089" s="501"/>
    </row>
    <row r="1090" spans="10:26">
      <c r="J1090" s="501"/>
      <c r="K1090" s="501"/>
      <c r="L1090" s="501"/>
      <c r="M1090" s="501"/>
      <c r="N1090" s="501"/>
      <c r="O1090" s="501"/>
      <c r="Q1090" s="501"/>
      <c r="R1090" s="501"/>
      <c r="S1090" s="501"/>
      <c r="W1090" s="501"/>
      <c r="X1090" s="522"/>
      <c r="Y1090" s="501"/>
      <c r="Z1090" s="501"/>
    </row>
  </sheetData>
  <mergeCells count="104">
    <mergeCell ref="A842:X842"/>
    <mergeCell ref="A843:X843"/>
    <mergeCell ref="G845:J845"/>
    <mergeCell ref="L845:N845"/>
    <mergeCell ref="Q845:S845"/>
    <mergeCell ref="U845:X845"/>
    <mergeCell ref="A803:X803"/>
    <mergeCell ref="A804:X804"/>
    <mergeCell ref="G806:J806"/>
    <mergeCell ref="L806:N806"/>
    <mergeCell ref="Q806:S806"/>
    <mergeCell ref="U806:X806"/>
    <mergeCell ref="A768:X768"/>
    <mergeCell ref="A769:X769"/>
    <mergeCell ref="G771:J771"/>
    <mergeCell ref="L771:N771"/>
    <mergeCell ref="Q771:S771"/>
    <mergeCell ref="U771:X771"/>
    <mergeCell ref="A714:X714"/>
    <mergeCell ref="A715:X715"/>
    <mergeCell ref="G717:J717"/>
    <mergeCell ref="L717:N717"/>
    <mergeCell ref="Q717:S717"/>
    <mergeCell ref="U717:X717"/>
    <mergeCell ref="AA652:AF652"/>
    <mergeCell ref="A673:X673"/>
    <mergeCell ref="A674:X674"/>
    <mergeCell ref="G676:J676"/>
    <mergeCell ref="L676:N676"/>
    <mergeCell ref="Q676:S676"/>
    <mergeCell ref="U676:X676"/>
    <mergeCell ref="A628:X628"/>
    <mergeCell ref="A629:X629"/>
    <mergeCell ref="G631:J631"/>
    <mergeCell ref="L631:N631"/>
    <mergeCell ref="Q631:S631"/>
    <mergeCell ref="U631:X631"/>
    <mergeCell ref="A571:X571"/>
    <mergeCell ref="A572:X572"/>
    <mergeCell ref="G574:J574"/>
    <mergeCell ref="L574:N574"/>
    <mergeCell ref="Q574:S574"/>
    <mergeCell ref="U574:X574"/>
    <mergeCell ref="A521:X521"/>
    <mergeCell ref="A522:X522"/>
    <mergeCell ref="G524:J524"/>
    <mergeCell ref="L524:N524"/>
    <mergeCell ref="Q524:S524"/>
    <mergeCell ref="U524:X524"/>
    <mergeCell ref="A464:X464"/>
    <mergeCell ref="A465:X465"/>
    <mergeCell ref="G467:J467"/>
    <mergeCell ref="L467:N467"/>
    <mergeCell ref="Q467:S467"/>
    <mergeCell ref="U467:X467"/>
    <mergeCell ref="A409:X409"/>
    <mergeCell ref="A410:X410"/>
    <mergeCell ref="G412:J412"/>
    <mergeCell ref="L412:N412"/>
    <mergeCell ref="Q412:S412"/>
    <mergeCell ref="U412:X412"/>
    <mergeCell ref="A342:X342"/>
    <mergeCell ref="A343:X343"/>
    <mergeCell ref="G345:J345"/>
    <mergeCell ref="L345:N345"/>
    <mergeCell ref="Q345:S345"/>
    <mergeCell ref="U345:X345"/>
    <mergeCell ref="A271:X271"/>
    <mergeCell ref="A272:X272"/>
    <mergeCell ref="G274:J274"/>
    <mergeCell ref="L274:N274"/>
    <mergeCell ref="Q274:S274"/>
    <mergeCell ref="U274:X274"/>
    <mergeCell ref="G221:J221"/>
    <mergeCell ref="L221:N221"/>
    <mergeCell ref="Q221:S221"/>
    <mergeCell ref="U221:X221"/>
    <mergeCell ref="A151:X151"/>
    <mergeCell ref="A152:X152"/>
    <mergeCell ref="G154:J154"/>
    <mergeCell ref="L154:N154"/>
    <mergeCell ref="Q154:S154"/>
    <mergeCell ref="U154:X154"/>
    <mergeCell ref="AA10:AB10"/>
    <mergeCell ref="A62:X62"/>
    <mergeCell ref="A63:X63"/>
    <mergeCell ref="G65:J65"/>
    <mergeCell ref="L65:N65"/>
    <mergeCell ref="Q65:S65"/>
    <mergeCell ref="U65:X65"/>
    <mergeCell ref="A218:X218"/>
    <mergeCell ref="A219:X219"/>
    <mergeCell ref="A5:X5"/>
    <mergeCell ref="A6:X6"/>
    <mergeCell ref="G8:J8"/>
    <mergeCell ref="L8:N8"/>
    <mergeCell ref="Q8:S8"/>
    <mergeCell ref="U8:X8"/>
    <mergeCell ref="A111:X111"/>
    <mergeCell ref="A112:X112"/>
    <mergeCell ref="G114:J114"/>
    <mergeCell ref="L114:N114"/>
    <mergeCell ref="Q114:S114"/>
    <mergeCell ref="U114:X114"/>
  </mergeCells>
  <printOptions horizontalCentered="1"/>
  <pageMargins left="0.7" right="0.7" top="0.75" bottom="0.75" header="0.3" footer="0.3"/>
  <pageSetup scale="41" firstPageNumber="35" fitToHeight="0" orientation="landscape" useFirstPageNumber="1" r:id="rId1"/>
  <headerFooter>
    <oddHeader>&amp;R&amp;10Filed: 2024-02-16
EB-2022-0200
Rate Order
Working Papers
Schedule 19
Page &amp;P of 51</oddHeader>
  </headerFooter>
  <rowBreaks count="17" manualBreakCount="17">
    <brk id="57" max="23" man="1"/>
    <brk id="106" max="23" man="1"/>
    <brk id="146" max="23" man="1"/>
    <brk id="213" max="23" man="1"/>
    <brk id="268" max="23" man="1"/>
    <brk id="336" max="23" man="1"/>
    <brk id="404" max="23" man="1"/>
    <brk id="459" max="23" man="1"/>
    <brk id="516" max="23" man="1"/>
    <brk id="566" max="23" man="1"/>
    <brk id="623" max="23" man="1"/>
    <brk id="668" max="23" man="1"/>
    <brk id="709" max="23" man="1"/>
    <brk id="763" max="23" man="1"/>
    <brk id="798" max="23" man="1"/>
    <brk id="837" max="23" man="1"/>
    <brk id="876" max="25" man="1"/>
  </rowBreaks>
  <colBreaks count="1" manualBreakCount="1">
    <brk id="26" max="104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BE773-AA23-4ED7-9EED-735BDF9216D4}">
  <sheetPr syncVertical="1" syncRef="A685" transitionEvaluation="1" transitionEntry="1">
    <pageSetUpPr autoPageBreaks="0"/>
  </sheetPr>
  <dimension ref="A1:AH1097"/>
  <sheetViews>
    <sheetView view="pageBreakPreview" topLeftCell="A685" zoomScaleNormal="100" zoomScaleSheetLayoutView="100" zoomScalePageLayoutView="60" workbookViewId="0">
      <selection activeCell="H692" sqref="H692"/>
    </sheetView>
  </sheetViews>
  <sheetFormatPr defaultColWidth="9.625" defaultRowHeight="12.6"/>
  <cols>
    <col min="1" max="1" width="5.125" style="51" customWidth="1"/>
    <col min="2" max="2" width="1" style="51" customWidth="1"/>
    <col min="3" max="3" width="1.125" style="13" hidden="1" customWidth="1"/>
    <col min="4" max="4" width="44.75" style="13" customWidth="1"/>
    <col min="5" max="5" width="1.625" style="13" customWidth="1"/>
    <col min="6" max="6" width="11.625" style="13" customWidth="1"/>
    <col min="7" max="7" width="1.125" style="13" customWidth="1"/>
    <col min="8" max="8" width="9.625" style="13" customWidth="1"/>
    <col min="9" max="9" width="2.625" style="13" customWidth="1"/>
    <col min="10" max="10" width="8.625" style="13" customWidth="1"/>
    <col min="11" max="11" width="2.625" style="13" customWidth="1"/>
    <col min="12" max="12" width="10" style="13" customWidth="1"/>
    <col min="13" max="13" width="2.625" style="13" customWidth="1"/>
    <col min="14" max="14" width="10.125" style="13" customWidth="1"/>
    <col min="15" max="15" width="2.625" style="13" customWidth="1"/>
    <col min="16" max="16" width="8.625" style="13" customWidth="1"/>
    <col min="17" max="17" width="3.625" style="13" customWidth="1"/>
    <col min="18" max="18" width="9.5" style="13" bestFit="1" customWidth="1"/>
    <col min="19" max="19" width="8.5" style="13" customWidth="1"/>
    <col min="20" max="20" width="2.625" style="104" customWidth="1"/>
    <col min="21" max="21" width="9.5" style="13" customWidth="1"/>
    <col min="22" max="22" width="13.125" style="13" customWidth="1"/>
    <col min="23" max="23" width="11.125" style="13" customWidth="1"/>
    <col min="24" max="24" width="3.125" style="13" customWidth="1"/>
    <col min="25" max="25" width="11.125" style="13" customWidth="1"/>
    <col min="26" max="26" width="3.125" style="13" customWidth="1"/>
    <col min="27" max="27" width="11.125" style="13" customWidth="1"/>
    <col min="28" max="28" width="6.625" style="13" customWidth="1"/>
    <col min="29" max="33" width="9.625" style="13"/>
    <col min="34" max="34" width="16.625" style="13" customWidth="1"/>
    <col min="35" max="16384" width="9.625" style="13"/>
  </cols>
  <sheetData>
    <row r="1" spans="1:25" ht="12.75" customHeight="1">
      <c r="A1" s="122"/>
      <c r="B1" s="122"/>
      <c r="P1" s="105"/>
      <c r="Q1" s="105"/>
      <c r="S1" s="109"/>
    </row>
    <row r="2" spans="1:25" ht="12.75" customHeight="1">
      <c r="A2" s="277"/>
      <c r="B2" s="277"/>
      <c r="C2" s="277"/>
      <c r="G2" s="279"/>
      <c r="H2" s="277"/>
      <c r="I2" s="277"/>
      <c r="J2" s="277"/>
      <c r="K2" s="277"/>
      <c r="P2" s="105"/>
      <c r="Q2" s="105"/>
      <c r="S2" s="109"/>
      <c r="Y2" s="280"/>
    </row>
    <row r="3" spans="1:25" ht="12.75" customHeight="1">
      <c r="A3" s="277"/>
      <c r="B3" s="277"/>
      <c r="C3" s="277"/>
      <c r="G3" s="279"/>
      <c r="H3" s="277"/>
      <c r="I3" s="277"/>
      <c r="J3" s="277"/>
      <c r="K3" s="277"/>
      <c r="P3" s="105"/>
      <c r="Q3" s="105"/>
      <c r="S3" s="109"/>
    </row>
    <row r="4" spans="1:25" ht="12.75" customHeight="1">
      <c r="A4" s="276"/>
      <c r="B4" s="276"/>
      <c r="C4" s="51"/>
      <c r="G4" s="51"/>
      <c r="H4" s="276"/>
      <c r="I4" s="276"/>
      <c r="J4" s="122"/>
      <c r="K4" s="51"/>
      <c r="P4" s="105"/>
      <c r="Q4" s="105"/>
      <c r="S4" s="109"/>
    </row>
    <row r="5" spans="1:25" ht="12.75" customHeight="1">
      <c r="A5" s="1163"/>
      <c r="B5" s="1163"/>
      <c r="C5" s="1163"/>
      <c r="D5" s="1206"/>
      <c r="E5" s="1206"/>
      <c r="F5" s="1206"/>
      <c r="G5" s="1206"/>
      <c r="H5" s="1206"/>
      <c r="I5" s="1206"/>
      <c r="J5" s="1206"/>
      <c r="K5" s="1206"/>
      <c r="L5" s="1206"/>
      <c r="M5" s="1206"/>
      <c r="N5" s="1206"/>
      <c r="O5" s="1206"/>
      <c r="P5" s="1206"/>
      <c r="Q5" s="105"/>
      <c r="S5" s="109"/>
    </row>
    <row r="6" spans="1:25" ht="12.75" customHeight="1">
      <c r="A6" s="1163" t="s">
        <v>513</v>
      </c>
      <c r="B6" s="1163"/>
      <c r="C6" s="1163"/>
      <c r="D6" s="1206"/>
      <c r="E6" s="1206"/>
      <c r="F6" s="1206"/>
      <c r="G6" s="1206"/>
      <c r="H6" s="1206"/>
      <c r="I6" s="1206"/>
      <c r="J6" s="1206"/>
      <c r="K6" s="1206"/>
      <c r="L6" s="1206"/>
      <c r="M6" s="1206"/>
      <c r="N6" s="1206"/>
      <c r="O6" s="1206"/>
      <c r="P6" s="1206"/>
      <c r="Q6" s="281"/>
      <c r="S6" s="109"/>
    </row>
    <row r="7" spans="1:25" ht="12.75" customHeight="1">
      <c r="A7" s="1162" t="s">
        <v>125</v>
      </c>
      <c r="B7" s="1206"/>
      <c r="C7" s="1206"/>
      <c r="D7" s="1206"/>
      <c r="E7" s="1206"/>
      <c r="F7" s="1206"/>
      <c r="G7" s="1206"/>
      <c r="H7" s="1206"/>
      <c r="I7" s="1206"/>
      <c r="J7" s="1206"/>
      <c r="K7" s="1206"/>
      <c r="L7" s="1206"/>
      <c r="M7" s="1206"/>
      <c r="N7" s="1206"/>
      <c r="O7" s="1206"/>
      <c r="P7" s="1206"/>
      <c r="Q7" s="281"/>
    </row>
    <row r="8" spans="1:25" ht="12.95">
      <c r="E8" s="56"/>
      <c r="M8" s="95"/>
    </row>
    <row r="9" spans="1:25" ht="12.75" customHeight="1">
      <c r="G9" s="55"/>
      <c r="H9" s="2"/>
      <c r="I9" s="2"/>
      <c r="J9" s="51"/>
      <c r="K9" s="2"/>
      <c r="L9" s="51"/>
      <c r="M9" s="2"/>
      <c r="N9" s="1160" t="s">
        <v>514</v>
      </c>
      <c r="O9" s="1160"/>
      <c r="P9" s="1160"/>
      <c r="Q9" s="17"/>
    </row>
    <row r="10" spans="1:25" ht="12.75" customHeight="1">
      <c r="G10" s="282"/>
      <c r="H10" s="6"/>
      <c r="I10" s="57"/>
      <c r="J10" s="1164" t="s">
        <v>515</v>
      </c>
      <c r="K10" s="1164"/>
      <c r="L10" s="1164"/>
      <c r="N10" s="1161"/>
      <c r="O10" s="1161"/>
      <c r="P10" s="1161"/>
      <c r="Q10" s="17"/>
    </row>
    <row r="11" spans="1:25" ht="12.75" customHeight="1">
      <c r="A11" s="51" t="s">
        <v>56</v>
      </c>
      <c r="C11" s="52"/>
      <c r="F11" s="55"/>
      <c r="G11" s="51"/>
      <c r="H11" s="6" t="s">
        <v>93</v>
      </c>
      <c r="I11" s="57"/>
      <c r="J11" s="1" t="s">
        <v>516</v>
      </c>
      <c r="K11" s="4"/>
      <c r="L11" s="6" t="s">
        <v>102</v>
      </c>
      <c r="N11" s="17"/>
      <c r="O11" s="17"/>
      <c r="P11" s="17"/>
      <c r="Q11" s="17"/>
    </row>
    <row r="12" spans="1:25" ht="12.75" customHeight="1">
      <c r="A12" s="53" t="s">
        <v>57</v>
      </c>
      <c r="B12" s="55"/>
      <c r="C12" s="56"/>
      <c r="D12" s="54" t="s">
        <v>194</v>
      </c>
      <c r="F12" s="271" t="s">
        <v>245</v>
      </c>
      <c r="G12" s="55"/>
      <c r="H12" s="356" t="s">
        <v>235</v>
      </c>
      <c r="I12" s="17"/>
      <c r="J12" s="237" t="s">
        <v>517</v>
      </c>
      <c r="L12" s="356" t="s">
        <v>518</v>
      </c>
      <c r="N12" s="7" t="s">
        <v>6</v>
      </c>
      <c r="O12" s="1"/>
      <c r="P12" s="7" t="s">
        <v>519</v>
      </c>
      <c r="Q12" s="1"/>
    </row>
    <row r="13" spans="1:25" ht="12.75" customHeight="1">
      <c r="F13" s="283"/>
      <c r="G13" s="55"/>
      <c r="H13" s="6" t="s">
        <v>520</v>
      </c>
      <c r="I13" s="6"/>
      <c r="J13" s="123" t="s">
        <v>521</v>
      </c>
      <c r="L13" s="6" t="s">
        <v>522</v>
      </c>
      <c r="N13" s="8" t="s">
        <v>12</v>
      </c>
      <c r="O13" s="1"/>
      <c r="P13" s="8" t="s">
        <v>13</v>
      </c>
      <c r="Q13" s="8"/>
    </row>
    <row r="14" spans="1:25" ht="12.75" customHeight="1">
      <c r="D14" s="243" t="s">
        <v>127</v>
      </c>
      <c r="E14" s="52"/>
      <c r="K14" s="94"/>
      <c r="L14" s="95"/>
      <c r="M14" s="95"/>
      <c r="R14" s="96"/>
    </row>
    <row r="15" spans="1:25" ht="12.75" customHeight="1">
      <c r="A15" s="6">
        <f>MAX(A$13:A14)+1</f>
        <v>1</v>
      </c>
      <c r="B15" s="97"/>
      <c r="C15" s="98"/>
      <c r="D15" s="52" t="s">
        <v>258</v>
      </c>
      <c r="F15" s="269" t="s">
        <v>523</v>
      </c>
      <c r="G15" s="99"/>
      <c r="H15" s="330">
        <v>21.878786989991127</v>
      </c>
      <c r="I15" s="330"/>
      <c r="J15" s="330">
        <f>ROUND(L15,2)-ROUND(H15,2)</f>
        <v>2.8500000000000014</v>
      </c>
      <c r="K15" s="330"/>
      <c r="L15" s="330">
        <v>24.728996861884422</v>
      </c>
      <c r="M15" s="331"/>
      <c r="N15" s="330">
        <v>24.728996861884422</v>
      </c>
      <c r="O15" s="330"/>
      <c r="P15" s="149">
        <v>0</v>
      </c>
      <c r="Q15" s="104"/>
      <c r="R15" s="108"/>
      <c r="S15" s="108"/>
      <c r="V15" s="284"/>
    </row>
    <row r="16" spans="1:25" ht="12.75" customHeight="1">
      <c r="A16" s="6">
        <f>MAX(A$13:A15)+1</f>
        <v>2</v>
      </c>
      <c r="B16" s="97"/>
      <c r="C16" s="98"/>
      <c r="D16" s="136" t="s">
        <v>260</v>
      </c>
      <c r="F16" s="269"/>
      <c r="G16" s="99"/>
      <c r="H16" s="99"/>
      <c r="I16" s="99"/>
      <c r="J16" s="120"/>
      <c r="K16" s="100"/>
      <c r="L16" s="120"/>
      <c r="M16" s="95"/>
      <c r="N16" s="121"/>
      <c r="O16" s="101"/>
      <c r="P16" s="99"/>
      <c r="Q16" s="104"/>
      <c r="R16" s="108"/>
      <c r="S16" s="108"/>
      <c r="V16" s="284"/>
    </row>
    <row r="17" spans="1:22" ht="13.5" customHeight="1">
      <c r="A17" s="6">
        <f>MAX(A$13:A16)+1</f>
        <v>3</v>
      </c>
      <c r="B17" s="6"/>
      <c r="D17" s="13" t="s">
        <v>524</v>
      </c>
      <c r="F17" s="55" t="s">
        <v>525</v>
      </c>
      <c r="G17" s="103"/>
      <c r="H17" s="102">
        <v>10.625586308573068</v>
      </c>
      <c r="I17" s="102"/>
      <c r="J17" s="102">
        <f t="shared" ref="J17:J26" si="0">ROUND(L17,4)-ROUND(H17,4)</f>
        <v>-0.43780000000000108</v>
      </c>
      <c r="L17" s="102">
        <v>10.187796988903653</v>
      </c>
      <c r="M17" s="95"/>
      <c r="N17" s="102">
        <v>9.1134375961890424</v>
      </c>
      <c r="O17" s="101"/>
      <c r="P17" s="104">
        <v>1.0743593927146096</v>
      </c>
      <c r="Q17" s="104"/>
      <c r="R17" s="108"/>
      <c r="S17" s="108"/>
      <c r="V17" s="284"/>
    </row>
    <row r="18" spans="1:22" ht="13.5" customHeight="1">
      <c r="A18" s="6">
        <f>MAX(A$13:A17)+1</f>
        <v>4</v>
      </c>
      <c r="B18" s="6"/>
      <c r="D18" s="13" t="s">
        <v>526</v>
      </c>
      <c r="F18" s="55" t="s">
        <v>525</v>
      </c>
      <c r="G18" s="102"/>
      <c r="H18" s="102">
        <v>9.9455984153461188</v>
      </c>
      <c r="I18" s="102"/>
      <c r="J18" s="102">
        <f t="shared" si="0"/>
        <v>-0.45630000000000059</v>
      </c>
      <c r="K18" s="100"/>
      <c r="L18" s="102">
        <v>9.4893470044355812</v>
      </c>
      <c r="M18" s="95"/>
      <c r="N18" s="102">
        <v>8.4193342371274493</v>
      </c>
      <c r="O18" s="101"/>
      <c r="P18" s="104">
        <v>1.0700127673081337</v>
      </c>
      <c r="Q18" s="104"/>
      <c r="R18" s="108"/>
      <c r="S18" s="108"/>
      <c r="V18" s="284"/>
    </row>
    <row r="19" spans="1:22" ht="13.5" customHeight="1">
      <c r="A19" s="6">
        <f>MAX(A$13:A18)+1</f>
        <v>5</v>
      </c>
      <c r="B19" s="6"/>
      <c r="D19" s="13" t="s">
        <v>527</v>
      </c>
      <c r="F19" s="55" t="s">
        <v>525</v>
      </c>
      <c r="G19" s="102"/>
      <c r="H19" s="102">
        <v>9.4131350011351689</v>
      </c>
      <c r="I19" s="102"/>
      <c r="J19" s="102">
        <f>ROUND(L19,4)-ROUND(H19,4)+0.0001</f>
        <v>-0.4706000000000008</v>
      </c>
      <c r="K19" s="100"/>
      <c r="L19" s="102">
        <v>8.942426913468605</v>
      </c>
      <c r="M19" s="95"/>
      <c r="N19" s="102">
        <v>7.8758190000844914</v>
      </c>
      <c r="O19" s="101"/>
      <c r="P19" s="104">
        <v>1.0666079133841135</v>
      </c>
      <c r="Q19" s="104"/>
      <c r="R19" s="108"/>
      <c r="S19" s="108"/>
      <c r="V19" s="284"/>
    </row>
    <row r="20" spans="1:22" ht="13.5" customHeight="1">
      <c r="A20" s="6">
        <f>MAX(A$13:A19)+1</f>
        <v>6</v>
      </c>
      <c r="B20" s="6"/>
      <c r="D20" s="13" t="s">
        <v>528</v>
      </c>
      <c r="F20" s="270" t="s">
        <v>525</v>
      </c>
      <c r="G20" s="102"/>
      <c r="H20" s="102">
        <v>9.0162092414560693</v>
      </c>
      <c r="I20" s="102"/>
      <c r="J20" s="102">
        <f t="shared" si="0"/>
        <v>-0.48149999999999871</v>
      </c>
      <c r="L20" s="102">
        <v>8.5347243700329987</v>
      </c>
      <c r="M20" s="95"/>
      <c r="N20" s="102">
        <v>7.4706535338554163</v>
      </c>
      <c r="O20" s="101"/>
      <c r="P20" s="104">
        <v>1.0640708361775819</v>
      </c>
      <c r="Q20" s="104"/>
      <c r="R20" s="108"/>
      <c r="S20" s="108"/>
      <c r="V20" s="284"/>
    </row>
    <row r="21" spans="1:22" ht="12.75" customHeight="1">
      <c r="A21" s="6"/>
      <c r="B21" s="6"/>
      <c r="G21" s="103"/>
      <c r="H21" s="106"/>
      <c r="I21" s="102"/>
      <c r="J21" s="102"/>
      <c r="L21" s="102"/>
      <c r="M21" s="95"/>
      <c r="N21" s="107"/>
      <c r="O21" s="101"/>
      <c r="P21" s="104"/>
      <c r="Q21" s="104"/>
      <c r="R21" s="108"/>
      <c r="S21" s="108"/>
      <c r="V21" s="284"/>
    </row>
    <row r="22" spans="1:22" ht="12.75" customHeight="1">
      <c r="A22" s="6">
        <f>MAX(A$13:A21)+1</f>
        <v>7</v>
      </c>
      <c r="B22" s="6"/>
      <c r="D22" s="52" t="s">
        <v>529</v>
      </c>
      <c r="F22" s="55" t="s">
        <v>525</v>
      </c>
      <c r="G22" s="103"/>
      <c r="H22" s="102">
        <v>1.2932710721024872</v>
      </c>
      <c r="I22" s="102"/>
      <c r="J22" s="102">
        <f t="shared" si="0"/>
        <v>9.200000000000097E-3</v>
      </c>
      <c r="L22" s="102">
        <v>1.3025425077595889</v>
      </c>
      <c r="M22" s="95"/>
      <c r="N22" s="102">
        <v>0.70350265408764601</v>
      </c>
      <c r="O22" s="101"/>
      <c r="P22" s="104">
        <v>0.59903985367194279</v>
      </c>
      <c r="Q22" s="104"/>
      <c r="R22" s="108"/>
      <c r="S22" s="108"/>
      <c r="V22" s="284"/>
    </row>
    <row r="23" spans="1:22" ht="12.75" customHeight="1">
      <c r="A23" s="6">
        <f>MAX(A$13:A22)+1</f>
        <v>8</v>
      </c>
      <c r="B23" s="6"/>
      <c r="D23" s="52" t="s">
        <v>268</v>
      </c>
      <c r="F23" s="55" t="s">
        <v>525</v>
      </c>
      <c r="G23" s="103"/>
      <c r="H23" s="102">
        <v>3.9267443870173873</v>
      </c>
      <c r="I23" s="102"/>
      <c r="J23" s="102">
        <f t="shared" si="0"/>
        <v>2.0999999999999908E-3</v>
      </c>
      <c r="L23" s="102">
        <v>3.9288005575113383</v>
      </c>
      <c r="M23" s="95"/>
      <c r="N23" s="102">
        <v>7.7304072871026877E-2</v>
      </c>
      <c r="O23" s="101"/>
      <c r="P23" s="104">
        <v>3.8514964846403115</v>
      </c>
      <c r="Q23" s="104"/>
      <c r="R23" s="108"/>
      <c r="S23" s="108"/>
      <c r="V23" s="284"/>
    </row>
    <row r="24" spans="1:22" ht="12.75" customHeight="1">
      <c r="A24" s="6">
        <f>MAX(A$13:A23)+1</f>
        <v>9</v>
      </c>
      <c r="B24" s="6"/>
      <c r="D24" s="52" t="s">
        <v>269</v>
      </c>
      <c r="F24" s="55" t="s">
        <v>525</v>
      </c>
      <c r="G24" s="103"/>
      <c r="H24" s="102">
        <v>0.96972012770460903</v>
      </c>
      <c r="I24" s="102"/>
      <c r="J24" s="102">
        <f t="shared" si="0"/>
        <v>1.639999999999997E-2</v>
      </c>
      <c r="L24" s="102">
        <v>0.98605500195202045</v>
      </c>
      <c r="M24" s="95"/>
      <c r="N24" s="102">
        <v>0.61412821206972279</v>
      </c>
      <c r="O24" s="101"/>
      <c r="P24" s="104">
        <v>0.37192678988229777</v>
      </c>
      <c r="Q24" s="104"/>
      <c r="R24" s="108"/>
      <c r="S24" s="108"/>
      <c r="V24" s="284"/>
    </row>
    <row r="25" spans="1:22" ht="12.75" customHeight="1">
      <c r="A25" s="6"/>
      <c r="B25" s="6"/>
      <c r="D25" s="52"/>
      <c r="F25" s="55"/>
      <c r="G25" s="103"/>
      <c r="H25" s="102"/>
      <c r="I25" s="102"/>
      <c r="J25" s="102"/>
      <c r="L25" s="102"/>
      <c r="M25" s="95"/>
      <c r="N25" s="102"/>
      <c r="O25" s="101"/>
      <c r="P25" s="104"/>
      <c r="Q25" s="104"/>
      <c r="R25" s="108"/>
      <c r="S25" s="108"/>
      <c r="V25" s="284"/>
    </row>
    <row r="26" spans="1:22" ht="12.75" customHeight="1">
      <c r="A26" s="6">
        <f>MAX(A$13:A24)+1</f>
        <v>10</v>
      </c>
      <c r="B26" s="6"/>
      <c r="D26" s="52" t="s">
        <v>270</v>
      </c>
      <c r="F26" s="270" t="s">
        <v>525</v>
      </c>
      <c r="H26" s="102">
        <v>18.377497019556195</v>
      </c>
      <c r="J26" s="102">
        <f t="shared" si="0"/>
        <v>2.2999999999981924E-3</v>
      </c>
      <c r="L26" s="13">
        <v>18.379818368314123</v>
      </c>
      <c r="M26" s="95"/>
      <c r="N26" s="102">
        <v>8.7273751894589899E-2</v>
      </c>
      <c r="O26" s="101"/>
      <c r="P26" s="104">
        <v>18.29254461641953</v>
      </c>
      <c r="Q26" s="104"/>
      <c r="R26" s="108"/>
      <c r="S26" s="108"/>
      <c r="V26" s="284"/>
    </row>
    <row r="27" spans="1:22" ht="12.75" customHeight="1">
      <c r="A27" s="6"/>
      <c r="B27" s="6"/>
      <c r="J27" s="102"/>
      <c r="M27" s="95"/>
      <c r="O27" s="101"/>
      <c r="S27" s="104"/>
    </row>
    <row r="28" spans="1:22" ht="12.75" customHeight="1">
      <c r="A28" s="6"/>
      <c r="B28" s="6"/>
      <c r="C28" s="124"/>
      <c r="D28" s="427" t="s">
        <v>128</v>
      </c>
      <c r="E28" s="52"/>
      <c r="J28" s="102"/>
      <c r="M28" s="95"/>
      <c r="O28" s="101"/>
      <c r="S28" s="104"/>
    </row>
    <row r="29" spans="1:22" ht="12.75" customHeight="1">
      <c r="A29" s="6">
        <f>MAX(A$13:A28)+1</f>
        <v>11</v>
      </c>
      <c r="B29" s="6"/>
      <c r="C29" s="98"/>
      <c r="D29" s="52" t="s">
        <v>258</v>
      </c>
      <c r="F29" s="269" t="s">
        <v>523</v>
      </c>
      <c r="G29" s="103"/>
      <c r="H29" s="330">
        <v>76.575754464968981</v>
      </c>
      <c r="I29" s="330"/>
      <c r="J29" s="330">
        <f>ROUND(L29,2)-ROUND(H29,2)</f>
        <v>2.0900000000000034</v>
      </c>
      <c r="K29" s="330"/>
      <c r="L29" s="330">
        <v>78.668208897704304</v>
      </c>
      <c r="M29" s="331"/>
      <c r="N29" s="330">
        <v>78.668208897704304</v>
      </c>
      <c r="O29" s="330"/>
      <c r="P29" s="149">
        <v>0</v>
      </c>
      <c r="R29" s="108"/>
      <c r="S29" s="108"/>
      <c r="V29" s="284"/>
    </row>
    <row r="30" spans="1:22" ht="12.75" customHeight="1">
      <c r="A30" s="6">
        <f>MAX(A$13:A29)+1</f>
        <v>12</v>
      </c>
      <c r="B30" s="6"/>
      <c r="C30" s="98"/>
      <c r="D30" s="136" t="s">
        <v>260</v>
      </c>
      <c r="G30" s="103"/>
      <c r="H30" s="99"/>
      <c r="I30" s="99"/>
      <c r="J30" s="120"/>
      <c r="K30" s="100"/>
      <c r="L30" s="120"/>
      <c r="M30" s="104"/>
      <c r="N30" s="99"/>
      <c r="O30" s="101"/>
      <c r="P30" s="99"/>
      <c r="R30" s="108"/>
      <c r="S30" s="108"/>
      <c r="V30" s="284"/>
    </row>
    <row r="31" spans="1:22" ht="13.5" customHeight="1">
      <c r="A31" s="6">
        <f>MAX(A$13:A30)+1</f>
        <v>13</v>
      </c>
      <c r="B31" s="6"/>
      <c r="D31" s="52" t="s">
        <v>530</v>
      </c>
      <c r="F31" s="270" t="s">
        <v>525</v>
      </c>
      <c r="G31" s="103"/>
      <c r="H31" s="102">
        <v>10.02372105089005</v>
      </c>
      <c r="I31" s="102"/>
      <c r="J31" s="102">
        <f t="shared" ref="J31:J42" si="1">ROUND(L31,4)-ROUND(H31,4)</f>
        <v>0.41360000000000063</v>
      </c>
      <c r="L31" s="102">
        <v>10.437260453492998</v>
      </c>
      <c r="M31" s="104"/>
      <c r="N31" s="104">
        <v>9.4461465599662624</v>
      </c>
      <c r="O31" s="101"/>
      <c r="P31" s="104">
        <v>0.99111389352673873</v>
      </c>
      <c r="R31" s="108"/>
      <c r="S31" s="108"/>
      <c r="V31" s="413"/>
    </row>
    <row r="32" spans="1:22" ht="13.5" customHeight="1">
      <c r="A32" s="6">
        <f>MAX(A$13:A31)+1</f>
        <v>14</v>
      </c>
      <c r="B32" s="6"/>
      <c r="D32" s="272" t="s">
        <v>531</v>
      </c>
      <c r="F32" s="270" t="s">
        <v>525</v>
      </c>
      <c r="G32" s="102"/>
      <c r="H32" s="102">
        <v>7.6575306126998592</v>
      </c>
      <c r="I32" s="102"/>
      <c r="J32" s="102">
        <f>ROUND(L32,4)-ROUND(H32,4)+0.0001</f>
        <v>0.34979999999999944</v>
      </c>
      <c r="K32" s="100"/>
      <c r="L32" s="102">
        <v>8.0072321417561572</v>
      </c>
      <c r="M32" s="104"/>
      <c r="N32" s="104">
        <v>7.0460889562322482</v>
      </c>
      <c r="O32" s="101"/>
      <c r="P32" s="104">
        <v>0.96114318552390865</v>
      </c>
      <c r="R32" s="108"/>
      <c r="S32" s="108"/>
      <c r="V32" s="413"/>
    </row>
    <row r="33" spans="1:34" ht="13.5" customHeight="1">
      <c r="A33" s="6">
        <f>MAX(A$13:A32)+1</f>
        <v>15</v>
      </c>
      <c r="B33" s="6"/>
      <c r="D33" s="272" t="s">
        <v>532</v>
      </c>
      <c r="F33" s="270" t="s">
        <v>525</v>
      </c>
      <c r="G33" s="102"/>
      <c r="H33" s="102">
        <v>6.0005324475411648</v>
      </c>
      <c r="I33" s="102"/>
      <c r="J33" s="102">
        <f t="shared" si="1"/>
        <v>0.3050000000000006</v>
      </c>
      <c r="K33" s="100"/>
      <c r="L33" s="102">
        <v>6.3055295790010888</v>
      </c>
      <c r="M33" s="104"/>
      <c r="N33" s="104">
        <v>5.3653761847907582</v>
      </c>
      <c r="O33" s="101"/>
      <c r="P33" s="104">
        <v>0.94015339421033173</v>
      </c>
      <c r="R33" s="108"/>
      <c r="S33" s="108"/>
      <c r="V33" s="413"/>
    </row>
    <row r="34" spans="1:34" ht="13.5" customHeight="1">
      <c r="A34" s="6">
        <f>MAX(A$13:A33)+1</f>
        <v>16</v>
      </c>
      <c r="B34" s="6"/>
      <c r="D34" s="272" t="s">
        <v>533</v>
      </c>
      <c r="F34" s="270" t="s">
        <v>525</v>
      </c>
      <c r="G34" s="102"/>
      <c r="H34" s="102">
        <v>4.9359527096542184</v>
      </c>
      <c r="I34" s="102"/>
      <c r="J34" s="102">
        <f>ROUND(L34,4)-ROUND(H34,4)-0.0001</f>
        <v>0.27610000000000023</v>
      </c>
      <c r="K34" s="100"/>
      <c r="L34" s="102">
        <v>5.2122283665319094</v>
      </c>
      <c r="M34" s="104"/>
      <c r="N34" s="104">
        <v>4.285559617731038</v>
      </c>
      <c r="O34" s="101"/>
      <c r="P34" s="104">
        <v>0.92666874880087213</v>
      </c>
      <c r="R34" s="108"/>
      <c r="S34" s="108"/>
      <c r="V34" s="413"/>
    </row>
    <row r="35" spans="1:34" ht="13.5" customHeight="1">
      <c r="A35" s="6">
        <f>MAX(A$13:A34)+1</f>
        <v>17</v>
      </c>
      <c r="B35" s="6"/>
      <c r="D35" s="272" t="s">
        <v>534</v>
      </c>
      <c r="F35" s="270" t="s">
        <v>525</v>
      </c>
      <c r="G35" s="102"/>
      <c r="H35" s="102">
        <v>4.4628924854344909</v>
      </c>
      <c r="I35" s="102"/>
      <c r="J35" s="102">
        <f t="shared" si="1"/>
        <v>0.26349999999999962</v>
      </c>
      <c r="K35" s="100"/>
      <c r="L35" s="102">
        <v>4.7264053859768804</v>
      </c>
      <c r="M35" s="104"/>
      <c r="N35" s="104">
        <v>3.8057292492467205</v>
      </c>
      <c r="O35" s="101"/>
      <c r="P35" s="104">
        <v>0.92067613673015991</v>
      </c>
      <c r="R35" s="108"/>
      <c r="S35" s="108"/>
      <c r="V35" s="413"/>
    </row>
    <row r="36" spans="1:34" ht="13.5" customHeight="1">
      <c r="A36" s="6">
        <f>MAX(A$13:A35)+1</f>
        <v>18</v>
      </c>
      <c r="B36" s="6"/>
      <c r="D36" s="52" t="s">
        <v>535</v>
      </c>
      <c r="F36" s="270" t="s">
        <v>525</v>
      </c>
      <c r="G36" s="102"/>
      <c r="H36" s="102">
        <v>4.3440974799090117</v>
      </c>
      <c r="I36" s="102"/>
      <c r="J36" s="102">
        <f t="shared" si="1"/>
        <v>0.26029999999999998</v>
      </c>
      <c r="K36" s="100"/>
      <c r="L36" s="102">
        <v>4.6044053741483379</v>
      </c>
      <c r="M36" s="104"/>
      <c r="N36" s="104">
        <v>3.6852333849529804</v>
      </c>
      <c r="O36" s="101"/>
      <c r="P36" s="104">
        <v>0.91917198919535936</v>
      </c>
      <c r="R36" s="108"/>
      <c r="S36" s="108"/>
      <c r="V36" s="413"/>
    </row>
    <row r="37" spans="1:34" ht="12.75" customHeight="1">
      <c r="A37" s="6"/>
      <c r="B37" s="6"/>
      <c r="G37" s="103"/>
      <c r="H37" s="106"/>
      <c r="I37" s="102"/>
      <c r="J37" s="102"/>
      <c r="L37" s="102"/>
      <c r="M37" s="104"/>
      <c r="O37" s="101"/>
      <c r="R37" s="108"/>
      <c r="S37" s="108"/>
      <c r="V37" s="284"/>
    </row>
    <row r="38" spans="1:34" ht="12.75" customHeight="1">
      <c r="A38" s="6">
        <f>MAX(A$13:A37)+1</f>
        <v>19</v>
      </c>
      <c r="B38" s="6"/>
      <c r="D38" s="52" t="s">
        <v>529</v>
      </c>
      <c r="F38" s="270" t="s">
        <v>525</v>
      </c>
      <c r="G38" s="103"/>
      <c r="H38" s="102">
        <v>1.206161316244416</v>
      </c>
      <c r="I38" s="102"/>
      <c r="J38" s="102">
        <f>ROUND(L38,4)-ROUND(H38,4)</f>
        <v>8.3999999999999631E-3</v>
      </c>
      <c r="L38" s="102">
        <v>1.2146336312731292</v>
      </c>
      <c r="M38" s="104"/>
      <c r="N38" s="104">
        <v>0.65234320948455382</v>
      </c>
      <c r="O38" s="101"/>
      <c r="P38" s="104">
        <v>0.56229042178857536</v>
      </c>
      <c r="R38" s="108"/>
      <c r="S38" s="108"/>
      <c r="V38" s="284"/>
    </row>
    <row r="39" spans="1:34" ht="12.75" customHeight="1">
      <c r="A39" s="6">
        <f>MAX(A$13:A38)+1</f>
        <v>20</v>
      </c>
      <c r="B39" s="6"/>
      <c r="D39" s="52" t="s">
        <v>268</v>
      </c>
      <c r="F39" s="270" t="s">
        <v>525</v>
      </c>
      <c r="G39" s="103"/>
      <c r="H39" s="102">
        <v>3.9267443846006143</v>
      </c>
      <c r="I39" s="102"/>
      <c r="J39" s="102">
        <f t="shared" si="1"/>
        <v>2.0999999999999908E-3</v>
      </c>
      <c r="L39" s="102">
        <v>3.9288005543255302</v>
      </c>
      <c r="M39" s="104"/>
      <c r="N39" s="104">
        <v>7.7304043958259211E-2</v>
      </c>
      <c r="O39" s="101"/>
      <c r="P39" s="104">
        <v>3.8514965103672716</v>
      </c>
      <c r="R39" s="108"/>
      <c r="S39" s="108"/>
      <c r="V39" s="284"/>
    </row>
    <row r="40" spans="1:34" ht="12.75" customHeight="1">
      <c r="A40" s="6">
        <f>MAX(A$13:A39)+1</f>
        <v>21</v>
      </c>
      <c r="B40" s="6"/>
      <c r="D40" s="52" t="s">
        <v>269</v>
      </c>
      <c r="F40" s="270" t="s">
        <v>525</v>
      </c>
      <c r="G40" s="103"/>
      <c r="H40" s="102">
        <v>0.96972040643947122</v>
      </c>
      <c r="I40" s="102"/>
      <c r="J40" s="102">
        <f t="shared" si="1"/>
        <v>1.639999999999997E-2</v>
      </c>
      <c r="L40" s="102">
        <v>0.98605536938240845</v>
      </c>
      <c r="M40" s="104"/>
      <c r="N40" s="104">
        <v>0.61413154667907977</v>
      </c>
      <c r="O40" s="101"/>
      <c r="P40" s="104">
        <v>0.37192382270332858</v>
      </c>
      <c r="R40" s="108"/>
      <c r="S40" s="108"/>
      <c r="V40" s="284"/>
    </row>
    <row r="41" spans="1:34" ht="12.75" customHeight="1">
      <c r="A41" s="6"/>
      <c r="B41" s="6"/>
      <c r="D41" s="52"/>
      <c r="F41" s="270"/>
      <c r="G41" s="103"/>
      <c r="H41" s="102"/>
      <c r="I41" s="102"/>
      <c r="J41" s="102"/>
      <c r="L41" s="102"/>
      <c r="M41" s="104"/>
      <c r="N41" s="104"/>
      <c r="O41" s="101"/>
      <c r="P41" s="104"/>
      <c r="R41" s="108"/>
      <c r="S41" s="108"/>
      <c r="V41" s="284"/>
    </row>
    <row r="42" spans="1:34" ht="12.75" customHeight="1">
      <c r="A42" s="6">
        <f>MAX(A$13:A40)+1</f>
        <v>22</v>
      </c>
      <c r="D42" s="52" t="s">
        <v>270</v>
      </c>
      <c r="F42" s="270" t="s">
        <v>525</v>
      </c>
      <c r="G42" s="102"/>
      <c r="H42" s="102">
        <v>18.400798940142568</v>
      </c>
      <c r="I42" s="102"/>
      <c r="J42" s="102">
        <f t="shared" si="1"/>
        <v>3.0000000000001137E-3</v>
      </c>
      <c r="L42" s="102">
        <v>18.403757315058826</v>
      </c>
      <c r="M42" s="95"/>
      <c r="N42" s="104">
        <v>0.11122347625307809</v>
      </c>
      <c r="O42" s="101"/>
      <c r="P42" s="104">
        <v>18.292533838805749</v>
      </c>
      <c r="R42" s="108"/>
      <c r="S42" s="108"/>
      <c r="V42" s="284"/>
    </row>
    <row r="43" spans="1:34" ht="12.75" customHeight="1">
      <c r="C43" s="243"/>
      <c r="D43" s="428"/>
      <c r="E43" s="243"/>
      <c r="F43" s="243"/>
      <c r="G43" s="244"/>
      <c r="H43" s="244"/>
      <c r="I43" s="244"/>
      <c r="J43" s="244"/>
      <c r="K43" s="243"/>
      <c r="L43" s="244"/>
      <c r="M43" s="95"/>
      <c r="O43" s="101"/>
      <c r="S43" s="104"/>
    </row>
    <row r="44" spans="1:34" ht="12.75" customHeight="1">
      <c r="A44" s="122"/>
      <c r="B44" s="122"/>
      <c r="D44" s="300" t="s">
        <v>129</v>
      </c>
      <c r="E44" s="116"/>
      <c r="F44" s="109"/>
      <c r="G44" s="111"/>
      <c r="H44" s="111"/>
      <c r="I44" s="111"/>
      <c r="J44" s="115"/>
      <c r="K44" s="109"/>
      <c r="L44" s="111"/>
      <c r="O44" s="101"/>
      <c r="S44" s="104"/>
    </row>
    <row r="45" spans="1:34" ht="12.75" customHeight="1">
      <c r="A45" s="6">
        <f>MAX(A$13:A44)+1</f>
        <v>23</v>
      </c>
      <c r="B45" s="6"/>
      <c r="C45" s="110"/>
      <c r="D45" s="429" t="s">
        <v>536</v>
      </c>
      <c r="E45" s="109"/>
      <c r="F45" s="269" t="s">
        <v>523</v>
      </c>
      <c r="G45" s="99"/>
      <c r="H45" s="330">
        <v>133.47154003244088</v>
      </c>
      <c r="I45" s="330"/>
      <c r="J45" s="330">
        <f>ROUND(L45,2)-ROUND(H45,2)</f>
        <v>3.6500000000000057</v>
      </c>
      <c r="K45" s="330"/>
      <c r="L45" s="330">
        <v>137.11868810869854</v>
      </c>
      <c r="M45" s="331"/>
      <c r="N45" s="330">
        <v>137.11868810869854</v>
      </c>
      <c r="O45" s="330"/>
      <c r="P45" s="149">
        <v>0</v>
      </c>
      <c r="R45" s="104"/>
      <c r="S45" s="108"/>
      <c r="V45" s="284"/>
      <c r="AC45" s="109"/>
      <c r="AD45" s="109"/>
      <c r="AE45" s="116"/>
      <c r="AF45" s="109"/>
      <c r="AG45" s="109"/>
      <c r="AH45" s="109"/>
    </row>
    <row r="46" spans="1:34" ht="12.75" customHeight="1">
      <c r="A46" s="6">
        <f>MAX(A$13:A45)+1</f>
        <v>24</v>
      </c>
      <c r="B46" s="6"/>
      <c r="C46" s="110"/>
      <c r="D46" s="136" t="s">
        <v>280</v>
      </c>
      <c r="E46" s="109"/>
      <c r="F46" s="270" t="s">
        <v>525</v>
      </c>
      <c r="G46" s="103"/>
      <c r="H46" s="102">
        <v>39.612916581984031</v>
      </c>
      <c r="I46" s="102"/>
      <c r="J46" s="102">
        <f t="shared" ref="J46:J56" si="2">ROUND(L46,4)-ROUND(H46,4)</f>
        <v>1.082499999999996</v>
      </c>
      <c r="K46" s="112"/>
      <c r="L46" s="102">
        <v>40.695350878252903</v>
      </c>
      <c r="M46" s="104"/>
      <c r="N46" s="104">
        <v>40.695350878252903</v>
      </c>
      <c r="O46" s="104"/>
      <c r="P46" s="275">
        <v>0</v>
      </c>
      <c r="R46" s="104"/>
      <c r="S46" s="108"/>
      <c r="V46" s="284"/>
      <c r="AC46" s="109"/>
      <c r="AD46" s="109"/>
      <c r="AE46" s="116"/>
      <c r="AF46" s="109"/>
      <c r="AG46" s="109"/>
      <c r="AH46" s="109"/>
    </row>
    <row r="47" spans="1:34" ht="12.75" customHeight="1">
      <c r="A47" s="6"/>
      <c r="B47" s="6"/>
      <c r="C47" s="110"/>
      <c r="D47" s="136" t="s">
        <v>260</v>
      </c>
      <c r="E47" s="109"/>
      <c r="F47" s="109"/>
      <c r="G47" s="103"/>
      <c r="H47" s="102"/>
      <c r="I47" s="102"/>
      <c r="J47" s="102"/>
      <c r="K47" s="112"/>
      <c r="L47" s="102"/>
      <c r="M47" s="104"/>
      <c r="N47" s="104"/>
      <c r="O47" s="104"/>
      <c r="P47" s="104"/>
      <c r="R47" s="104"/>
      <c r="S47" s="108"/>
      <c r="V47" s="284"/>
      <c r="AC47" s="109"/>
      <c r="AD47" s="109"/>
      <c r="AE47" s="116"/>
      <c r="AF47" s="109"/>
      <c r="AG47" s="109"/>
      <c r="AH47" s="109"/>
    </row>
    <row r="48" spans="1:34" ht="13.5" customHeight="1">
      <c r="A48" s="6">
        <f>MAX(A$13:A47)+1</f>
        <v>25</v>
      </c>
      <c r="B48" s="6"/>
      <c r="C48" s="109"/>
      <c r="D48" s="136" t="s">
        <v>537</v>
      </c>
      <c r="E48" s="109"/>
      <c r="F48" s="270" t="s">
        <v>525</v>
      </c>
      <c r="G48" s="102"/>
      <c r="H48" s="102">
        <v>0.18751269562434469</v>
      </c>
      <c r="I48" s="102"/>
      <c r="J48" s="102">
        <f t="shared" si="2"/>
        <v>1.0118</v>
      </c>
      <c r="K48" s="109"/>
      <c r="L48" s="102">
        <v>1.1993184243566981</v>
      </c>
      <c r="M48" s="104"/>
      <c r="N48" s="104">
        <v>0.99316000879230337</v>
      </c>
      <c r="O48" s="104"/>
      <c r="P48" s="104">
        <v>0.2061584155643946</v>
      </c>
      <c r="R48" s="104"/>
      <c r="S48" s="108"/>
      <c r="V48" s="284"/>
      <c r="AC48" s="109"/>
      <c r="AD48" s="109"/>
      <c r="AE48" s="116"/>
      <c r="AF48" s="109"/>
      <c r="AG48" s="109"/>
      <c r="AH48" s="109"/>
    </row>
    <row r="49" spans="1:34" ht="13.5" customHeight="1">
      <c r="A49" s="6">
        <f>MAX(A$13:A48)+1</f>
        <v>26</v>
      </c>
      <c r="B49" s="6"/>
      <c r="C49" s="109"/>
      <c r="D49" s="110" t="s">
        <v>538</v>
      </c>
      <c r="E49" s="109"/>
      <c r="F49" s="270" t="s">
        <v>525</v>
      </c>
      <c r="G49" s="102"/>
      <c r="H49" s="102">
        <f>H48</f>
        <v>0.18751269562434469</v>
      </c>
      <c r="I49" s="102"/>
      <c r="J49" s="102">
        <f t="shared" si="2"/>
        <v>1.0118</v>
      </c>
      <c r="K49" s="109"/>
      <c r="L49" s="102">
        <f>L48</f>
        <v>1.1993184243566981</v>
      </c>
      <c r="M49" s="104"/>
      <c r="N49" s="104">
        <f>N48</f>
        <v>0.99316000879230337</v>
      </c>
      <c r="O49" s="104"/>
      <c r="P49" s="104">
        <f>P48</f>
        <v>0.2061584155643946</v>
      </c>
      <c r="R49" s="104"/>
      <c r="S49" s="108"/>
      <c r="V49" s="284"/>
      <c r="AC49" s="109"/>
      <c r="AD49" s="109"/>
      <c r="AE49" s="116"/>
      <c r="AF49" s="109"/>
      <c r="AG49" s="109"/>
      <c r="AH49" s="109"/>
    </row>
    <row r="50" spans="1:34" ht="13.5" customHeight="1">
      <c r="A50" s="6">
        <f>MAX(A$13:A49)+1</f>
        <v>27</v>
      </c>
      <c r="B50" s="6"/>
      <c r="C50" s="109"/>
      <c r="D50" s="110" t="s">
        <v>539</v>
      </c>
      <c r="E50" s="109"/>
      <c r="F50" s="270" t="s">
        <v>525</v>
      </c>
      <c r="G50" s="102"/>
      <c r="H50" s="102">
        <f>H49</f>
        <v>0.18751269562434469</v>
      </c>
      <c r="I50" s="102"/>
      <c r="J50" s="102">
        <f t="shared" si="2"/>
        <v>1.0118</v>
      </c>
      <c r="K50" s="109"/>
      <c r="L50" s="102">
        <f>L49</f>
        <v>1.1993184243566981</v>
      </c>
      <c r="M50" s="104"/>
      <c r="N50" s="104">
        <f>N48</f>
        <v>0.99316000879230337</v>
      </c>
      <c r="O50" s="104"/>
      <c r="P50" s="104">
        <f>P48</f>
        <v>0.2061584155643946</v>
      </c>
      <c r="R50" s="104"/>
      <c r="S50" s="108"/>
      <c r="V50" s="284"/>
      <c r="AC50" s="109"/>
      <c r="AD50" s="109"/>
      <c r="AE50" s="116"/>
      <c r="AF50" s="109"/>
      <c r="AG50" s="109"/>
      <c r="AH50" s="109"/>
    </row>
    <row r="51" spans="1:34" ht="12.75" customHeight="1">
      <c r="A51" s="6"/>
      <c r="B51" s="6"/>
      <c r="C51" s="109"/>
      <c r="D51" s="114"/>
      <c r="E51" s="109"/>
      <c r="F51" s="109"/>
      <c r="G51" s="102"/>
      <c r="H51" s="106"/>
      <c r="I51" s="102"/>
      <c r="J51" s="102"/>
      <c r="K51" s="109"/>
      <c r="L51" s="106"/>
      <c r="M51" s="104"/>
      <c r="N51" s="104"/>
      <c r="O51" s="104"/>
      <c r="P51" s="104"/>
      <c r="R51" s="104"/>
      <c r="S51" s="108"/>
      <c r="V51" s="284"/>
      <c r="AC51" s="109"/>
      <c r="AD51" s="109"/>
      <c r="AE51" s="109"/>
      <c r="AF51" s="109"/>
      <c r="AG51" s="109"/>
      <c r="AH51" s="109"/>
    </row>
    <row r="52" spans="1:34" ht="12.75" customHeight="1">
      <c r="A52" s="6">
        <f>MAX(A$13:A51)+1</f>
        <v>28</v>
      </c>
      <c r="B52" s="6"/>
      <c r="C52" s="109"/>
      <c r="D52" s="52" t="s">
        <v>529</v>
      </c>
      <c r="E52" s="109"/>
      <c r="F52" s="270" t="s">
        <v>525</v>
      </c>
      <c r="G52" s="102"/>
      <c r="H52" s="102">
        <v>1.2036738876609459</v>
      </c>
      <c r="I52" s="102"/>
      <c r="J52" s="102">
        <f>ROUND(L52,4)-ROUND(H52,4)</f>
        <v>1.6100000000000003E-2</v>
      </c>
      <c r="K52" s="109"/>
      <c r="L52" s="102">
        <v>1.2198462745398164</v>
      </c>
      <c r="M52" s="104"/>
      <c r="N52" s="104">
        <v>0.60801931428363709</v>
      </c>
      <c r="O52" s="104"/>
      <c r="P52" s="104">
        <v>0.61182696025617955</v>
      </c>
      <c r="R52" s="104"/>
      <c r="S52" s="108"/>
      <c r="V52" s="284"/>
      <c r="AC52" s="109"/>
      <c r="AD52" s="109"/>
      <c r="AE52" s="109"/>
      <c r="AF52" s="109"/>
      <c r="AG52" s="109"/>
      <c r="AH52" s="109"/>
    </row>
    <row r="53" spans="1:34" ht="12.75" customHeight="1">
      <c r="A53" s="6">
        <f>MAX(A$13:A52)+1</f>
        <v>29</v>
      </c>
      <c r="B53" s="6"/>
      <c r="C53" s="109"/>
      <c r="D53" s="52" t="s">
        <v>268</v>
      </c>
      <c r="E53" s="109"/>
      <c r="F53" s="270" t="s">
        <v>525</v>
      </c>
      <c r="G53" s="102"/>
      <c r="H53" s="102">
        <v>3.9267459704927896</v>
      </c>
      <c r="I53" s="102"/>
      <c r="J53" s="102">
        <f t="shared" si="2"/>
        <v>2.0999999999999908E-3</v>
      </c>
      <c r="K53" s="109"/>
      <c r="L53" s="102">
        <v>3.9288033873015</v>
      </c>
      <c r="M53" s="104"/>
      <c r="N53" s="104">
        <v>7.735092949465007E-2</v>
      </c>
      <c r="O53" s="104"/>
      <c r="P53" s="104">
        <v>3.8514524578068499</v>
      </c>
      <c r="R53" s="104"/>
      <c r="S53" s="108"/>
      <c r="V53" s="284"/>
      <c r="AC53" s="109"/>
      <c r="AD53" s="109"/>
      <c r="AE53" s="109"/>
      <c r="AF53" s="109"/>
      <c r="AG53" s="109"/>
      <c r="AH53" s="109"/>
    </row>
    <row r="54" spans="1:34" ht="12.75" customHeight="1">
      <c r="A54" s="6">
        <f>MAX(A$13:A53)+1</f>
        <v>30</v>
      </c>
      <c r="B54" s="6"/>
      <c r="C54" s="109"/>
      <c r="D54" s="52" t="s">
        <v>269</v>
      </c>
      <c r="E54" s="109"/>
      <c r="F54" s="270" t="s">
        <v>525</v>
      </c>
      <c r="G54" s="102"/>
      <c r="H54" s="102">
        <v>0.96971998004937487</v>
      </c>
      <c r="I54" s="102"/>
      <c r="J54" s="102">
        <f t="shared" si="2"/>
        <v>1.639999999999997E-2</v>
      </c>
      <c r="K54" s="109"/>
      <c r="L54" s="102">
        <v>0.98605460769575948</v>
      </c>
      <c r="M54" s="104"/>
      <c r="N54" s="104">
        <v>0.61411894082308871</v>
      </c>
      <c r="O54" s="104"/>
      <c r="P54" s="104">
        <v>0.37193566687267077</v>
      </c>
      <c r="R54" s="104"/>
      <c r="S54" s="108"/>
      <c r="V54" s="284"/>
      <c r="AC54" s="109"/>
      <c r="AD54" s="109"/>
      <c r="AE54" s="109"/>
      <c r="AF54" s="109"/>
      <c r="AG54" s="109"/>
      <c r="AH54" s="109"/>
    </row>
    <row r="55" spans="1:34" ht="12.75" customHeight="1">
      <c r="A55" s="6"/>
      <c r="B55" s="6"/>
      <c r="C55" s="109"/>
      <c r="D55" s="52"/>
      <c r="E55" s="109"/>
      <c r="F55" s="270"/>
      <c r="G55" s="102"/>
      <c r="H55" s="102"/>
      <c r="I55" s="102"/>
      <c r="J55" s="102"/>
      <c r="K55" s="109"/>
      <c r="L55" s="102"/>
      <c r="M55" s="104"/>
      <c r="N55" s="104"/>
      <c r="O55" s="104"/>
      <c r="P55" s="104"/>
      <c r="R55" s="104"/>
      <c r="S55" s="108"/>
      <c r="V55" s="284"/>
      <c r="AC55" s="109"/>
      <c r="AD55" s="109"/>
      <c r="AE55" s="109"/>
      <c r="AF55" s="109"/>
      <c r="AG55" s="109"/>
      <c r="AH55" s="109"/>
    </row>
    <row r="56" spans="1:34" ht="13.5" customHeight="1">
      <c r="A56" s="122">
        <v>31</v>
      </c>
      <c r="B56" s="122"/>
      <c r="C56" s="109"/>
      <c r="D56" s="52" t="s">
        <v>270</v>
      </c>
      <c r="E56" s="109"/>
      <c r="F56" s="270" t="s">
        <v>525</v>
      </c>
      <c r="G56" s="111"/>
      <c r="H56" s="102">
        <v>18.400811234906183</v>
      </c>
      <c r="I56" s="111"/>
      <c r="J56" s="102">
        <f t="shared" si="2"/>
        <v>3.0000000000001137E-3</v>
      </c>
      <c r="K56" s="109"/>
      <c r="L56" s="102">
        <v>18.403779277945343</v>
      </c>
      <c r="N56" s="104">
        <v>0.11158696035111074</v>
      </c>
      <c r="O56" s="104"/>
      <c r="P56" s="104">
        <v>18.292192317594232</v>
      </c>
      <c r="R56" s="104"/>
      <c r="S56" s="108"/>
      <c r="V56" s="284"/>
      <c r="AC56" s="109"/>
      <c r="AD56" s="109"/>
      <c r="AE56" s="109"/>
      <c r="AF56" s="109"/>
      <c r="AG56" s="109"/>
      <c r="AH56" s="109"/>
    </row>
    <row r="57" spans="1:34" ht="12.75" customHeight="1">
      <c r="A57" s="122"/>
      <c r="B57" s="122"/>
      <c r="C57" s="109"/>
      <c r="D57" s="109"/>
      <c r="E57" s="109"/>
      <c r="F57" s="109"/>
      <c r="G57" s="117"/>
      <c r="H57" s="117"/>
      <c r="I57" s="117"/>
      <c r="J57" s="115"/>
      <c r="K57" s="109"/>
      <c r="L57" s="117"/>
      <c r="N57" s="124"/>
      <c r="O57" s="124"/>
      <c r="P57" s="124"/>
      <c r="S57" s="108"/>
      <c r="V57" s="284"/>
      <c r="AC57" s="109"/>
      <c r="AD57" s="109"/>
      <c r="AE57" s="109"/>
      <c r="AF57" s="109"/>
      <c r="AG57" s="109"/>
      <c r="AH57" s="109"/>
    </row>
    <row r="58" spans="1:34" ht="12.75" customHeight="1">
      <c r="A58" s="122"/>
      <c r="B58" s="122"/>
      <c r="C58" s="109"/>
      <c r="D58" s="300" t="s">
        <v>130</v>
      </c>
      <c r="E58" s="116"/>
      <c r="F58" s="109"/>
      <c r="G58" s="117"/>
      <c r="H58" s="117"/>
      <c r="I58" s="117"/>
      <c r="J58" s="115"/>
      <c r="K58" s="109"/>
      <c r="L58" s="117"/>
      <c r="N58" s="124"/>
      <c r="O58" s="124"/>
      <c r="P58" s="124"/>
      <c r="S58" s="108"/>
      <c r="V58" s="284"/>
      <c r="AC58" s="109"/>
      <c r="AD58" s="109"/>
      <c r="AE58" s="109"/>
      <c r="AF58" s="109"/>
      <c r="AG58" s="109"/>
      <c r="AH58" s="109"/>
    </row>
    <row r="59" spans="1:34" ht="12.75" customHeight="1">
      <c r="A59" s="6">
        <v>32</v>
      </c>
      <c r="B59" s="6"/>
      <c r="C59" s="110"/>
      <c r="D59" s="116" t="s">
        <v>258</v>
      </c>
      <c r="E59" s="109"/>
      <c r="F59" s="269" t="s">
        <v>523</v>
      </c>
      <c r="G59" s="99"/>
      <c r="H59" s="330">
        <v>642.54715571555448</v>
      </c>
      <c r="I59" s="330"/>
      <c r="J59" s="330">
        <f>ROUND(L59,2)-ROUND(H59,2)</f>
        <v>17.550000000000068</v>
      </c>
      <c r="K59" s="330"/>
      <c r="L59" s="330">
        <v>660.10494086063659</v>
      </c>
      <c r="M59" s="331"/>
      <c r="N59" s="330">
        <v>660.10494086063659</v>
      </c>
      <c r="O59" s="104"/>
      <c r="P59" s="275">
        <v>0</v>
      </c>
      <c r="R59" s="104"/>
      <c r="S59" s="108"/>
      <c r="V59" s="284"/>
      <c r="AC59" s="109"/>
      <c r="AD59" s="109"/>
      <c r="AE59" s="116"/>
      <c r="AF59" s="109"/>
      <c r="AG59" s="109"/>
      <c r="AH59" s="109"/>
    </row>
    <row r="60" spans="1:34" ht="12.75" customHeight="1">
      <c r="A60" s="6">
        <v>33</v>
      </c>
      <c r="B60" s="6"/>
      <c r="C60" s="109"/>
      <c r="D60" s="136" t="s">
        <v>280</v>
      </c>
      <c r="E60" s="109"/>
      <c r="F60" s="273" t="s">
        <v>540</v>
      </c>
      <c r="G60" s="103"/>
      <c r="H60" s="102">
        <v>25.39395049703483</v>
      </c>
      <c r="I60" s="102"/>
      <c r="J60" s="102">
        <f>ROUND(L60,4)-ROUND(H60,4)</f>
        <v>0.69380000000000308</v>
      </c>
      <c r="K60" s="109"/>
      <c r="L60" s="102">
        <v>26.087847470736737</v>
      </c>
      <c r="M60" s="104"/>
      <c r="N60" s="104">
        <v>26.087847470736737</v>
      </c>
      <c r="O60" s="104"/>
      <c r="P60" s="275">
        <v>0</v>
      </c>
      <c r="R60" s="104"/>
      <c r="S60" s="108"/>
      <c r="V60" s="284"/>
      <c r="AC60" s="109"/>
      <c r="AD60" s="109"/>
      <c r="AE60" s="285"/>
      <c r="AF60" s="285"/>
      <c r="AG60" s="285"/>
      <c r="AH60" s="109"/>
    </row>
    <row r="61" spans="1:34" ht="12.75" customHeight="1">
      <c r="A61" s="6"/>
      <c r="B61" s="6"/>
      <c r="C61" s="109"/>
      <c r="D61" s="136" t="s">
        <v>260</v>
      </c>
      <c r="E61" s="109"/>
      <c r="F61" s="109"/>
      <c r="G61" s="103"/>
      <c r="H61" s="102"/>
      <c r="I61" s="102"/>
      <c r="J61" s="102"/>
      <c r="K61" s="109"/>
      <c r="L61" s="102"/>
      <c r="M61" s="104"/>
      <c r="N61" s="104"/>
      <c r="O61" s="104"/>
      <c r="P61" s="104"/>
      <c r="R61" s="104"/>
      <c r="S61" s="108"/>
      <c r="V61" s="284"/>
      <c r="AC61" s="109"/>
      <c r="AD61" s="109"/>
      <c r="AE61" s="285"/>
      <c r="AF61" s="285"/>
      <c r="AG61" s="285"/>
      <c r="AH61" s="109"/>
    </row>
    <row r="62" spans="1:34" ht="13.5" customHeight="1">
      <c r="A62" s="6">
        <f>MAX(A$13:A60)+1</f>
        <v>34</v>
      </c>
      <c r="B62" s="6"/>
      <c r="C62" s="109"/>
      <c r="D62" s="136" t="s">
        <v>541</v>
      </c>
      <c r="E62" s="109"/>
      <c r="F62" s="270" t="s">
        <v>525</v>
      </c>
      <c r="G62" s="102"/>
      <c r="H62" s="102">
        <v>1.0325728182266571</v>
      </c>
      <c r="I62" s="102"/>
      <c r="J62" s="102">
        <f t="shared" ref="J62:J69" si="3">ROUND(L62,4)-ROUND(H62,4)</f>
        <v>1.9400000000000084E-2</v>
      </c>
      <c r="K62" s="109"/>
      <c r="L62" s="102">
        <v>1.0520129627127723</v>
      </c>
      <c r="M62" s="104"/>
      <c r="N62" s="104">
        <v>0.69425863764397289</v>
      </c>
      <c r="O62" s="104"/>
      <c r="P62" s="104">
        <v>0.35775432506879934</v>
      </c>
      <c r="R62" s="104"/>
      <c r="S62" s="108"/>
      <c r="V62" s="284"/>
      <c r="AC62" s="109"/>
      <c r="AD62" s="109"/>
      <c r="AE62" s="117"/>
      <c r="AF62" s="117"/>
      <c r="AG62" s="109"/>
      <c r="AH62" s="109"/>
    </row>
    <row r="63" spans="1:34" ht="13.5" customHeight="1">
      <c r="A63" s="6">
        <f>MAX(A$13:A62)+1</f>
        <v>35</v>
      </c>
      <c r="B63" s="6"/>
      <c r="C63" s="109"/>
      <c r="D63" s="110" t="s">
        <v>542</v>
      </c>
      <c r="E63" s="109"/>
      <c r="F63" s="270" t="s">
        <v>525</v>
      </c>
      <c r="G63" s="102"/>
      <c r="H63" s="102">
        <v>0.8645988740145667</v>
      </c>
      <c r="I63" s="102"/>
      <c r="J63" s="102">
        <f t="shared" si="3"/>
        <v>1.4799999999999924E-2</v>
      </c>
      <c r="K63" s="109"/>
      <c r="L63" s="102">
        <v>0.87944904743701757</v>
      </c>
      <c r="M63" s="104"/>
      <c r="N63" s="104">
        <v>0.5216934449106011</v>
      </c>
      <c r="O63" s="104"/>
      <c r="P63" s="104">
        <v>0.35775560252641625</v>
      </c>
      <c r="R63" s="104"/>
      <c r="S63" s="108"/>
      <c r="V63" s="284"/>
      <c r="AC63" s="109"/>
      <c r="AD63" s="109"/>
      <c r="AE63" s="109"/>
      <c r="AF63" s="109"/>
      <c r="AG63" s="109"/>
      <c r="AH63" s="109"/>
    </row>
    <row r="64" spans="1:34" ht="12.75" customHeight="1">
      <c r="A64" s="6"/>
      <c r="B64" s="6"/>
      <c r="C64" s="109"/>
      <c r="D64" s="109"/>
      <c r="E64" s="109"/>
      <c r="F64" s="113"/>
      <c r="G64" s="102"/>
      <c r="H64" s="102"/>
      <c r="I64" s="102"/>
      <c r="J64" s="102"/>
      <c r="K64" s="109"/>
      <c r="L64" s="102"/>
      <c r="M64" s="104"/>
      <c r="N64" s="104"/>
      <c r="O64" s="104"/>
      <c r="P64" s="104"/>
      <c r="R64" s="104"/>
      <c r="S64" s="108"/>
      <c r="V64" s="284"/>
      <c r="AC64" s="109"/>
      <c r="AD64" s="109"/>
      <c r="AE64" s="109"/>
      <c r="AF64" s="109"/>
      <c r="AG64" s="109"/>
      <c r="AH64" s="109"/>
    </row>
    <row r="65" spans="1:34" ht="12.75" customHeight="1">
      <c r="A65" s="6">
        <f>MAX(A$13:A63)+1</f>
        <v>36</v>
      </c>
      <c r="B65" s="6"/>
      <c r="C65" s="109"/>
      <c r="D65" s="52" t="s">
        <v>529</v>
      </c>
      <c r="E65" s="109"/>
      <c r="F65" s="270" t="s">
        <v>525</v>
      </c>
      <c r="G65" s="102"/>
      <c r="H65" s="102">
        <v>0.25233468088460609</v>
      </c>
      <c r="I65" s="102"/>
      <c r="J65" s="102">
        <f t="shared" si="3"/>
        <v>1.7999999999999683E-3</v>
      </c>
      <c r="K65" s="109"/>
      <c r="L65" s="102">
        <v>0.25413285329776653</v>
      </c>
      <c r="M65" s="104"/>
      <c r="N65" s="104">
        <v>0.14466008656328772</v>
      </c>
      <c r="O65" s="104"/>
      <c r="P65" s="104">
        <v>0.10947276673447881</v>
      </c>
      <c r="R65" s="104"/>
      <c r="S65" s="108"/>
      <c r="V65" s="284"/>
      <c r="AC65" s="109"/>
      <c r="AD65" s="109"/>
      <c r="AE65" s="109"/>
      <c r="AF65" s="109"/>
      <c r="AG65" s="109"/>
      <c r="AH65" s="109"/>
    </row>
    <row r="66" spans="1:34" ht="12.75" customHeight="1">
      <c r="A66" s="6">
        <f>MAX(A$13:A65)+1</f>
        <v>37</v>
      </c>
      <c r="B66" s="6"/>
      <c r="C66" s="109"/>
      <c r="D66" s="52" t="s">
        <v>268</v>
      </c>
      <c r="E66" s="109"/>
      <c r="F66" s="270" t="s">
        <v>525</v>
      </c>
      <c r="G66" s="102"/>
      <c r="H66" s="102">
        <v>3.9267443867607112</v>
      </c>
      <c r="I66" s="102"/>
      <c r="J66" s="102">
        <f>ROUND(L66,4)-ROUND(H66,4)</f>
        <v>2.0999999999999908E-3</v>
      </c>
      <c r="K66" s="109"/>
      <c r="L66" s="102">
        <v>3.9288005571729858</v>
      </c>
      <c r="M66" s="104"/>
      <c r="N66" s="104">
        <v>7.7304069800300079E-2</v>
      </c>
      <c r="O66" s="104"/>
      <c r="P66" s="104">
        <v>3.8514964873726862</v>
      </c>
      <c r="R66" s="104"/>
      <c r="S66" s="108"/>
      <c r="V66" s="284"/>
      <c r="AC66" s="109"/>
      <c r="AD66" s="109"/>
      <c r="AE66" s="109"/>
      <c r="AF66" s="109"/>
      <c r="AG66" s="109"/>
      <c r="AH66" s="109"/>
    </row>
    <row r="67" spans="1:34" ht="12.75" customHeight="1">
      <c r="A67" s="6">
        <f>MAX(A$13:A66)+1</f>
        <v>38</v>
      </c>
      <c r="B67" s="6"/>
      <c r="C67" s="109"/>
      <c r="D67" s="52" t="s">
        <v>269</v>
      </c>
      <c r="E67" s="109"/>
      <c r="F67" s="270" t="s">
        <v>525</v>
      </c>
      <c r="G67" s="102"/>
      <c r="H67" s="102">
        <v>0.96972039724946102</v>
      </c>
      <c r="I67" s="102"/>
      <c r="J67" s="102">
        <f t="shared" si="3"/>
        <v>1.639999999999997E-2</v>
      </c>
      <c r="K67" s="109"/>
      <c r="L67" s="102">
        <v>0.98605535726806803</v>
      </c>
      <c r="M67" s="104"/>
      <c r="N67" s="104">
        <v>0.61413143673555204</v>
      </c>
      <c r="O67" s="104"/>
      <c r="P67" s="104">
        <v>0.37192392053251588</v>
      </c>
      <c r="R67" s="104"/>
      <c r="S67" s="108"/>
      <c r="V67" s="284"/>
      <c r="AC67" s="109"/>
      <c r="AD67" s="109"/>
      <c r="AE67" s="109"/>
      <c r="AF67" s="109"/>
      <c r="AG67" s="109"/>
      <c r="AH67" s="109"/>
    </row>
    <row r="68" spans="1:34" ht="12.75" customHeight="1">
      <c r="A68" s="6"/>
      <c r="B68" s="6"/>
      <c r="C68" s="109"/>
      <c r="D68" s="52"/>
      <c r="E68" s="109"/>
      <c r="F68" s="270"/>
      <c r="G68" s="102"/>
      <c r="H68" s="102"/>
      <c r="I68" s="102"/>
      <c r="J68" s="102"/>
      <c r="K68" s="109"/>
      <c r="L68" s="102"/>
      <c r="M68" s="104"/>
      <c r="N68" s="104"/>
      <c r="O68" s="104"/>
      <c r="P68" s="104"/>
      <c r="R68" s="104"/>
      <c r="S68" s="108"/>
      <c r="V68" s="284"/>
      <c r="AC68" s="109"/>
      <c r="AD68" s="109"/>
      <c r="AE68" s="109"/>
      <c r="AF68" s="109"/>
      <c r="AG68" s="109"/>
      <c r="AH68" s="109"/>
    </row>
    <row r="69" spans="1:34" ht="12.75" customHeight="1">
      <c r="A69" s="6">
        <f>MAX(A$13:A67)+1</f>
        <v>39</v>
      </c>
      <c r="B69" s="6"/>
      <c r="C69" s="109"/>
      <c r="D69" s="52" t="s">
        <v>270</v>
      </c>
      <c r="E69" s="109"/>
      <c r="F69" s="270" t="s">
        <v>525</v>
      </c>
      <c r="G69" s="102"/>
      <c r="H69" s="102">
        <v>18.339431448884856</v>
      </c>
      <c r="I69" s="102"/>
      <c r="J69" s="102">
        <f t="shared" si="3"/>
        <v>1.2999999999969702E-3</v>
      </c>
      <c r="K69" s="109"/>
      <c r="L69" s="102">
        <v>18.340713668541621</v>
      </c>
      <c r="M69" s="104"/>
      <c r="N69" s="104">
        <v>4.8206509175625301E-2</v>
      </c>
      <c r="O69" s="104"/>
      <c r="P69" s="104">
        <v>18.292507159365996</v>
      </c>
      <c r="R69" s="104"/>
      <c r="S69" s="108"/>
      <c r="V69" s="284"/>
      <c r="AC69" s="109"/>
      <c r="AD69" s="109"/>
      <c r="AE69" s="109"/>
      <c r="AF69" s="109"/>
      <c r="AG69" s="109"/>
      <c r="AH69" s="109"/>
    </row>
    <row r="70" spans="1:34" ht="12.75" customHeight="1">
      <c r="A70" s="6"/>
      <c r="B70" s="6"/>
      <c r="C70" s="109"/>
      <c r="D70" s="116"/>
      <c r="E70" s="109"/>
      <c r="F70" s="109"/>
      <c r="G70" s="117"/>
      <c r="H70" s="117"/>
      <c r="I70" s="117"/>
      <c r="J70" s="115"/>
      <c r="K70" s="109"/>
      <c r="L70" s="117"/>
      <c r="N70" s="124"/>
      <c r="O70" s="124"/>
      <c r="P70" s="124"/>
      <c r="S70" s="108"/>
      <c r="AC70" s="109"/>
      <c r="AD70" s="109"/>
      <c r="AE70" s="109"/>
      <c r="AF70" s="109"/>
      <c r="AG70" s="109"/>
      <c r="AH70" s="109"/>
    </row>
    <row r="71" spans="1:34" ht="12.75" customHeight="1">
      <c r="C71" s="118"/>
      <c r="N71" s="124"/>
      <c r="O71" s="124"/>
      <c r="P71" s="124"/>
      <c r="S71" s="108"/>
      <c r="AC71" s="109"/>
      <c r="AD71" s="109"/>
      <c r="AE71" s="109"/>
      <c r="AF71" s="109"/>
      <c r="AG71" s="109"/>
      <c r="AH71" s="109"/>
    </row>
    <row r="72" spans="1:34" ht="12.75" customHeight="1">
      <c r="C72" s="118"/>
      <c r="N72" s="124"/>
      <c r="O72" s="124"/>
      <c r="P72" s="124"/>
      <c r="S72" s="108"/>
      <c r="AC72" s="109"/>
      <c r="AD72" s="109"/>
      <c r="AE72" s="109"/>
      <c r="AF72" s="109"/>
      <c r="AG72" s="109"/>
      <c r="AH72" s="109"/>
    </row>
    <row r="73" spans="1:34" ht="12.75" customHeight="1">
      <c r="C73" s="118"/>
      <c r="N73" s="124"/>
      <c r="O73" s="124"/>
      <c r="P73" s="124"/>
      <c r="S73" s="108"/>
      <c r="AC73" s="109"/>
      <c r="AD73" s="109"/>
      <c r="AE73" s="109"/>
      <c r="AF73" s="109"/>
      <c r="AG73" s="109"/>
      <c r="AH73" s="109"/>
    </row>
    <row r="74" spans="1:34" ht="13.5" customHeight="1">
      <c r="C74" s="118"/>
      <c r="N74" s="124"/>
      <c r="O74" s="124"/>
      <c r="P74" s="124"/>
      <c r="S74" s="108"/>
      <c r="AC74" s="109"/>
      <c r="AD74" s="109"/>
      <c r="AE74" s="109"/>
      <c r="AF74" s="109"/>
      <c r="AG74" s="109"/>
      <c r="AH74" s="109"/>
    </row>
    <row r="75" spans="1:34" ht="12.75" customHeight="1">
      <c r="C75" s="119"/>
      <c r="N75" s="124"/>
      <c r="O75" s="124"/>
      <c r="P75" s="124"/>
      <c r="S75" s="108"/>
      <c r="AC75" s="109"/>
      <c r="AD75" s="109"/>
      <c r="AE75" s="109"/>
      <c r="AF75" s="109"/>
      <c r="AG75" s="109"/>
      <c r="AH75" s="109"/>
    </row>
    <row r="76" spans="1:34" ht="12.75" customHeight="1">
      <c r="A76" s="1163"/>
      <c r="B76" s="1163"/>
      <c r="C76" s="1163"/>
      <c r="D76" s="1206"/>
      <c r="E76" s="1206"/>
      <c r="F76" s="1206"/>
      <c r="G76" s="1206"/>
      <c r="H76" s="1206"/>
      <c r="I76" s="1206"/>
      <c r="J76" s="1206"/>
      <c r="K76" s="1206"/>
      <c r="L76" s="1206"/>
      <c r="M76" s="1206"/>
      <c r="N76" s="1206"/>
      <c r="O76" s="1206"/>
      <c r="P76" s="1206"/>
      <c r="S76" s="108"/>
      <c r="AC76" s="109"/>
      <c r="AD76" s="109"/>
      <c r="AE76" s="109"/>
      <c r="AF76" s="109"/>
      <c r="AG76" s="109"/>
      <c r="AH76" s="109"/>
    </row>
    <row r="77" spans="1:34" ht="12.75" customHeight="1">
      <c r="A77" s="1163" t="s">
        <v>543</v>
      </c>
      <c r="B77" s="1163"/>
      <c r="C77" s="1163"/>
      <c r="D77" s="1206"/>
      <c r="E77" s="1206"/>
      <c r="F77" s="1206"/>
      <c r="G77" s="1206"/>
      <c r="H77" s="1206"/>
      <c r="I77" s="1206"/>
      <c r="J77" s="1206"/>
      <c r="K77" s="1206"/>
      <c r="L77" s="1206"/>
      <c r="M77" s="1206"/>
      <c r="N77" s="1206"/>
      <c r="O77" s="1206"/>
      <c r="P77" s="1206"/>
      <c r="S77" s="108"/>
      <c r="AC77" s="109"/>
      <c r="AD77" s="109"/>
      <c r="AE77" s="109"/>
      <c r="AF77" s="109"/>
      <c r="AG77" s="109"/>
      <c r="AH77" s="109"/>
    </row>
    <row r="78" spans="1:34" ht="12.75" customHeight="1">
      <c r="A78" s="1162" t="s">
        <v>125</v>
      </c>
      <c r="B78" s="1206"/>
      <c r="C78" s="1206"/>
      <c r="D78" s="1206"/>
      <c r="E78" s="1206"/>
      <c r="F78" s="1206"/>
      <c r="G78" s="1206"/>
      <c r="H78" s="1206"/>
      <c r="I78" s="1206"/>
      <c r="J78" s="1206"/>
      <c r="K78" s="1206"/>
      <c r="L78" s="1206"/>
      <c r="M78" s="1206"/>
      <c r="N78" s="1206"/>
      <c r="O78" s="1206"/>
      <c r="P78" s="1206"/>
      <c r="S78" s="108"/>
      <c r="AC78" s="109"/>
      <c r="AD78" s="109"/>
      <c r="AE78" s="109"/>
      <c r="AF78" s="109"/>
      <c r="AG78" s="109"/>
      <c r="AH78" s="109"/>
    </row>
    <row r="79" spans="1:34" ht="12.75" customHeight="1">
      <c r="N79" s="124"/>
      <c r="O79" s="124"/>
      <c r="P79" s="124"/>
      <c r="AC79" s="109"/>
      <c r="AD79" s="109"/>
      <c r="AE79" s="109"/>
      <c r="AF79" s="109"/>
      <c r="AG79" s="109"/>
      <c r="AH79" s="109"/>
    </row>
    <row r="80" spans="1:34" ht="12.75" customHeight="1">
      <c r="G80" s="55"/>
      <c r="H80" s="2"/>
      <c r="I80" s="2"/>
      <c r="J80" s="2"/>
      <c r="K80" s="2"/>
      <c r="L80" s="2"/>
      <c r="M80" s="2"/>
      <c r="N80" s="1160" t="s">
        <v>514</v>
      </c>
      <c r="O80" s="1160"/>
      <c r="P80" s="1160"/>
      <c r="Q80" s="17"/>
      <c r="AC80" s="109"/>
      <c r="AD80" s="109"/>
      <c r="AE80" s="109"/>
      <c r="AF80" s="109"/>
      <c r="AG80" s="109"/>
      <c r="AH80" s="109"/>
    </row>
    <row r="81" spans="1:34" ht="12.75" customHeight="1">
      <c r="G81" s="282"/>
      <c r="H81" s="6"/>
      <c r="I81" s="57"/>
      <c r="J81" s="1164" t="s">
        <v>515</v>
      </c>
      <c r="K81" s="1164"/>
      <c r="L81" s="1164"/>
      <c r="N81" s="1161"/>
      <c r="O81" s="1161"/>
      <c r="P81" s="1161"/>
      <c r="Q81" s="17"/>
      <c r="AC81" s="109"/>
      <c r="AD81" s="109"/>
      <c r="AE81" s="109"/>
      <c r="AF81" s="109"/>
      <c r="AG81" s="109"/>
      <c r="AH81" s="109"/>
    </row>
    <row r="82" spans="1:34" ht="12.75" customHeight="1">
      <c r="A82" s="51" t="s">
        <v>56</v>
      </c>
      <c r="C82" s="52"/>
      <c r="F82" s="55"/>
      <c r="G82" s="51"/>
      <c r="H82" s="6" t="s">
        <v>93</v>
      </c>
      <c r="I82" s="57"/>
      <c r="J82" s="1" t="s">
        <v>516</v>
      </c>
      <c r="K82" s="4"/>
      <c r="L82" s="6" t="s">
        <v>102</v>
      </c>
      <c r="N82" s="17"/>
      <c r="O82" s="17"/>
      <c r="P82" s="17"/>
      <c r="Q82" s="17"/>
      <c r="AC82" s="109"/>
      <c r="AD82" s="109"/>
      <c r="AE82" s="109"/>
      <c r="AF82" s="109"/>
      <c r="AG82" s="109"/>
      <c r="AH82" s="109"/>
    </row>
    <row r="83" spans="1:34" ht="12.75" customHeight="1">
      <c r="A83" s="53" t="s">
        <v>57</v>
      </c>
      <c r="B83" s="55"/>
      <c r="C83" s="56"/>
      <c r="D83" s="54" t="s">
        <v>194</v>
      </c>
      <c r="F83" s="271" t="s">
        <v>245</v>
      </c>
      <c r="G83" s="55"/>
      <c r="H83" s="356" t="s">
        <v>235</v>
      </c>
      <c r="I83" s="17"/>
      <c r="J83" s="237" t="s">
        <v>517</v>
      </c>
      <c r="L83" s="356" t="s">
        <v>518</v>
      </c>
      <c r="N83" s="7" t="s">
        <v>6</v>
      </c>
      <c r="O83" s="1"/>
      <c r="P83" s="7" t="s">
        <v>519</v>
      </c>
      <c r="Q83" s="1"/>
      <c r="AC83" s="109"/>
      <c r="AD83" s="109"/>
      <c r="AE83" s="109"/>
      <c r="AF83" s="109"/>
      <c r="AG83" s="109"/>
      <c r="AH83" s="109"/>
    </row>
    <row r="84" spans="1:34" ht="12.75" customHeight="1">
      <c r="F84" s="283"/>
      <c r="G84" s="55"/>
      <c r="H84" s="6" t="s">
        <v>520</v>
      </c>
      <c r="I84" s="6"/>
      <c r="J84" s="123" t="s">
        <v>521</v>
      </c>
      <c r="L84" s="6" t="s">
        <v>522</v>
      </c>
      <c r="N84" s="126" t="s">
        <v>12</v>
      </c>
      <c r="O84" s="125"/>
      <c r="P84" s="126" t="s">
        <v>13</v>
      </c>
      <c r="Q84" s="8"/>
      <c r="AC84" s="109"/>
      <c r="AD84" s="109"/>
      <c r="AE84" s="109"/>
      <c r="AF84" s="109"/>
      <c r="AG84" s="109"/>
      <c r="AH84" s="109"/>
    </row>
    <row r="85" spans="1:34" ht="12.75" customHeight="1">
      <c r="D85" s="243" t="s">
        <v>131</v>
      </c>
      <c r="N85" s="124"/>
      <c r="O85" s="124"/>
      <c r="P85" s="124"/>
      <c r="AC85" s="109"/>
      <c r="AD85" s="109"/>
      <c r="AE85" s="109"/>
      <c r="AF85" s="109"/>
      <c r="AG85" s="109"/>
      <c r="AH85" s="109"/>
    </row>
    <row r="86" spans="1:34" ht="12.75" customHeight="1">
      <c r="A86" s="6">
        <f>MAX(A$13:A85)+1</f>
        <v>40</v>
      </c>
      <c r="B86" s="6"/>
      <c r="D86" s="116" t="s">
        <v>258</v>
      </c>
      <c r="F86" s="269" t="s">
        <v>523</v>
      </c>
      <c r="H86" s="330">
        <v>681.10851778541416</v>
      </c>
      <c r="I86" s="330"/>
      <c r="J86" s="330">
        <f t="shared" ref="J86:J96" si="4">ROUND(L86,4)-ROUND(H86,4)</f>
        <v>18.611499999999978</v>
      </c>
      <c r="K86" s="330"/>
      <c r="L86" s="330">
        <v>699.72000319840947</v>
      </c>
      <c r="M86" s="331"/>
      <c r="N86" s="330">
        <v>699.72000319840947</v>
      </c>
      <c r="O86" s="104"/>
      <c r="P86" s="275">
        <v>0</v>
      </c>
      <c r="Q86" s="104"/>
      <c r="R86" s="104"/>
      <c r="S86" s="104"/>
      <c r="V86" s="284"/>
      <c r="AC86" s="109"/>
      <c r="AD86" s="109"/>
      <c r="AE86" s="109"/>
      <c r="AF86" s="109"/>
      <c r="AG86" s="109"/>
      <c r="AH86" s="109"/>
    </row>
    <row r="87" spans="1:34" ht="12.75" customHeight="1">
      <c r="A87" s="6">
        <f>MAX(A$13:A86)+1</f>
        <v>41</v>
      </c>
      <c r="B87" s="6"/>
      <c r="D87" s="136" t="s">
        <v>280</v>
      </c>
      <c r="F87" s="273" t="s">
        <v>540</v>
      </c>
      <c r="H87" s="104">
        <v>27.124262553809189</v>
      </c>
      <c r="J87" s="102">
        <f t="shared" si="4"/>
        <v>0.74109999999999943</v>
      </c>
      <c r="L87" s="104">
        <v>27.865440800265233</v>
      </c>
      <c r="N87" s="104">
        <v>27.865440800265233</v>
      </c>
      <c r="O87" s="104"/>
      <c r="P87" s="275">
        <v>0</v>
      </c>
      <c r="Q87" s="104"/>
      <c r="R87" s="104"/>
      <c r="S87" s="104"/>
      <c r="V87" s="284"/>
      <c r="AC87" s="109"/>
      <c r="AD87" s="109"/>
      <c r="AE87" s="109"/>
      <c r="AF87" s="109"/>
      <c r="AG87" s="109"/>
      <c r="AH87" s="109"/>
    </row>
    <row r="88" spans="1:34" ht="12.75" customHeight="1">
      <c r="A88" s="6"/>
      <c r="B88" s="6"/>
      <c r="D88" s="136" t="s">
        <v>260</v>
      </c>
      <c r="H88" s="104"/>
      <c r="J88" s="102"/>
      <c r="L88" s="104"/>
      <c r="N88" s="104"/>
      <c r="O88" s="104"/>
      <c r="P88" s="104"/>
      <c r="Q88" s="104"/>
      <c r="R88" s="104"/>
      <c r="S88" s="104"/>
      <c r="V88" s="284"/>
      <c r="AC88" s="109"/>
      <c r="AD88" s="109"/>
      <c r="AE88" s="109"/>
      <c r="AF88" s="109"/>
      <c r="AG88" s="109"/>
      <c r="AH88" s="109"/>
    </row>
    <row r="89" spans="1:34" ht="13.5" customHeight="1">
      <c r="A89" s="6">
        <f>MAX(A$13:A88)+1</f>
        <v>42</v>
      </c>
      <c r="B89" s="6"/>
      <c r="D89" s="136" t="s">
        <v>541</v>
      </c>
      <c r="F89" s="270" t="s">
        <v>525</v>
      </c>
      <c r="H89" s="104">
        <v>0.67077638089742209</v>
      </c>
      <c r="J89" s="102">
        <f t="shared" si="4"/>
        <v>-8.3099999999999952E-2</v>
      </c>
      <c r="L89" s="104">
        <v>0.58765268035199791</v>
      </c>
      <c r="N89" s="104">
        <v>0.28147615914923413</v>
      </c>
      <c r="O89" s="104"/>
      <c r="P89" s="104">
        <v>0.30617652120276373</v>
      </c>
      <c r="Q89" s="104"/>
      <c r="R89" s="104"/>
      <c r="S89" s="104"/>
      <c r="V89" s="284"/>
      <c r="AC89" s="109"/>
      <c r="AD89" s="109"/>
      <c r="AE89" s="109"/>
      <c r="AF89" s="109"/>
      <c r="AG89" s="109"/>
      <c r="AH89" s="109"/>
    </row>
    <row r="90" spans="1:34" ht="13.5" customHeight="1">
      <c r="A90" s="6">
        <f>MAX(A$13:A89)+1</f>
        <v>43</v>
      </c>
      <c r="B90" s="6"/>
      <c r="D90" s="110" t="s">
        <v>544</v>
      </c>
      <c r="F90" s="270" t="s">
        <v>525</v>
      </c>
      <c r="H90" s="104">
        <v>0.5682897741756695</v>
      </c>
      <c r="J90" s="102">
        <f t="shared" si="4"/>
        <v>-8.5900000000000032E-2</v>
      </c>
      <c r="L90" s="104">
        <v>0.48236567029360028</v>
      </c>
      <c r="N90" s="104">
        <v>0.17619180445146965</v>
      </c>
      <c r="O90" s="104"/>
      <c r="P90" s="104">
        <v>0.30617386584213074</v>
      </c>
      <c r="Q90" s="104"/>
      <c r="R90" s="104"/>
      <c r="S90" s="104"/>
      <c r="V90" s="284"/>
      <c r="AC90" s="109"/>
      <c r="AD90" s="109"/>
      <c r="AE90" s="109"/>
      <c r="AF90" s="109"/>
      <c r="AG90" s="109"/>
      <c r="AH90" s="109"/>
    </row>
    <row r="91" spans="1:34" ht="12.75" customHeight="1">
      <c r="A91" s="6"/>
      <c r="B91" s="6"/>
      <c r="H91" s="104"/>
      <c r="J91" s="102"/>
      <c r="L91" s="104"/>
      <c r="N91" s="104"/>
      <c r="O91" s="104"/>
      <c r="P91" s="104"/>
      <c r="Q91" s="104"/>
      <c r="R91" s="104"/>
      <c r="S91" s="104"/>
      <c r="V91" s="284"/>
      <c r="AC91" s="109"/>
      <c r="AD91" s="109"/>
      <c r="AE91" s="109"/>
      <c r="AF91" s="109"/>
      <c r="AG91" s="109"/>
      <c r="AH91" s="109"/>
    </row>
    <row r="92" spans="1:34" ht="12.75" customHeight="1">
      <c r="A92" s="6">
        <f>MAX(A$13:A90)+1</f>
        <v>44</v>
      </c>
      <c r="B92" s="6"/>
      <c r="D92" s="52" t="s">
        <v>529</v>
      </c>
      <c r="F92" s="270" t="s">
        <v>525</v>
      </c>
      <c r="H92" s="104">
        <v>9.4794584882729044E-2</v>
      </c>
      <c r="J92" s="102">
        <f t="shared" si="4"/>
        <v>6.0000000000000331E-4</v>
      </c>
      <c r="L92" s="104">
        <v>9.5366474611454824E-2</v>
      </c>
      <c r="N92" s="104">
        <v>4.7481697011721315E-2</v>
      </c>
      <c r="O92" s="104"/>
      <c r="P92" s="104">
        <v>4.7884777599733495E-2</v>
      </c>
      <c r="Q92" s="104"/>
      <c r="R92" s="104"/>
      <c r="S92" s="104"/>
      <c r="V92" s="284"/>
      <c r="AC92" s="109"/>
      <c r="AD92" s="109"/>
      <c r="AE92" s="109"/>
      <c r="AF92" s="109"/>
      <c r="AG92" s="109"/>
      <c r="AH92" s="109"/>
    </row>
    <row r="93" spans="1:34" ht="12.75" customHeight="1">
      <c r="A93" s="6">
        <f>MAX(A$13:A92)+1</f>
        <v>45</v>
      </c>
      <c r="B93" s="6"/>
      <c r="D93" s="52" t="s">
        <v>268</v>
      </c>
      <c r="F93" s="270" t="s">
        <v>525</v>
      </c>
      <c r="H93" s="104">
        <v>3.9267453785808999</v>
      </c>
      <c r="J93" s="102">
        <f t="shared" si="4"/>
        <v>2.0999999999999908E-3</v>
      </c>
      <c r="L93" s="104">
        <v>3.9288023288017504</v>
      </c>
      <c r="N93" s="104">
        <v>7.7333387592344371E-2</v>
      </c>
      <c r="O93" s="104"/>
      <c r="P93" s="104">
        <v>3.8514689412094056</v>
      </c>
      <c r="Q93" s="104"/>
      <c r="R93" s="104"/>
      <c r="S93" s="104"/>
      <c r="V93" s="284"/>
      <c r="AC93" s="109"/>
      <c r="AD93" s="109"/>
      <c r="AE93" s="109"/>
      <c r="AF93" s="109"/>
      <c r="AG93" s="109"/>
      <c r="AH93" s="109"/>
    </row>
    <row r="94" spans="1:34" ht="12.75" customHeight="1">
      <c r="A94" s="6">
        <f>MAX(A$13:A93)+1</f>
        <v>46</v>
      </c>
      <c r="B94" s="6"/>
      <c r="D94" s="52" t="s">
        <v>269</v>
      </c>
      <c r="F94" s="270" t="s">
        <v>525</v>
      </c>
      <c r="H94" s="104">
        <v>0.96972045424185205</v>
      </c>
      <c r="J94" s="102">
        <f t="shared" si="4"/>
        <v>1.639999999999997E-2</v>
      </c>
      <c r="L94" s="104">
        <v>0.98605543239586568</v>
      </c>
      <c r="N94" s="104">
        <v>0.61413211855683003</v>
      </c>
      <c r="O94" s="104"/>
      <c r="P94" s="104">
        <v>0.37192331383903554</v>
      </c>
      <c r="Q94" s="104"/>
      <c r="R94" s="104"/>
      <c r="S94" s="104"/>
      <c r="V94" s="284"/>
      <c r="AC94" s="109"/>
      <c r="AD94" s="109"/>
      <c r="AE94" s="109"/>
      <c r="AF94" s="109"/>
      <c r="AG94" s="109"/>
      <c r="AH94" s="109"/>
    </row>
    <row r="95" spans="1:34" ht="12.75" customHeight="1">
      <c r="A95" s="6"/>
      <c r="B95" s="6"/>
      <c r="D95" s="52"/>
      <c r="F95" s="270"/>
      <c r="H95" s="104"/>
      <c r="J95" s="102"/>
      <c r="L95" s="104"/>
      <c r="N95" s="104"/>
      <c r="O95" s="104"/>
      <c r="P95" s="104"/>
      <c r="Q95" s="104"/>
      <c r="R95" s="104"/>
      <c r="S95" s="104"/>
      <c r="V95" s="284"/>
      <c r="AC95" s="109"/>
      <c r="AD95" s="109"/>
      <c r="AE95" s="109"/>
      <c r="AF95" s="109"/>
      <c r="AG95" s="109"/>
      <c r="AH95" s="109"/>
    </row>
    <row r="96" spans="1:34" ht="12.75" customHeight="1">
      <c r="A96" s="6">
        <f>MAX(A$13:A94)+1</f>
        <v>47</v>
      </c>
      <c r="B96" s="6"/>
      <c r="D96" s="52" t="s">
        <v>270</v>
      </c>
      <c r="F96" s="270" t="s">
        <v>525</v>
      </c>
      <c r="H96" s="104">
        <v>18.339431448884856</v>
      </c>
      <c r="J96" s="102">
        <f t="shared" si="4"/>
        <v>1.2999999999969702E-3</v>
      </c>
      <c r="L96" s="104">
        <v>18.340713668541625</v>
      </c>
      <c r="N96" s="104">
        <v>4.8206509175625301E-2</v>
      </c>
      <c r="O96" s="104"/>
      <c r="P96" s="104">
        <v>18.292507159365996</v>
      </c>
      <c r="Q96" s="104"/>
      <c r="R96" s="104"/>
      <c r="S96" s="104"/>
      <c r="V96" s="284"/>
      <c r="AC96" s="109"/>
      <c r="AD96" s="109"/>
      <c r="AE96" s="109"/>
      <c r="AF96" s="109"/>
      <c r="AG96" s="109"/>
      <c r="AH96" s="109"/>
    </row>
    <row r="97" spans="1:34" ht="12.75" customHeight="1">
      <c r="N97" s="104"/>
      <c r="O97" s="104"/>
      <c r="P97" s="104"/>
      <c r="Q97" s="104"/>
      <c r="R97" s="104"/>
      <c r="S97" s="104"/>
      <c r="AC97" s="109"/>
      <c r="AD97" s="109"/>
      <c r="AE97" s="109"/>
      <c r="AF97" s="109"/>
      <c r="AG97" s="109"/>
      <c r="AH97" s="109"/>
    </row>
    <row r="98" spans="1:34" ht="12.75" customHeight="1">
      <c r="N98" s="104"/>
      <c r="O98" s="104"/>
      <c r="P98" s="104"/>
      <c r="Q98" s="104"/>
      <c r="R98" s="104"/>
      <c r="S98" s="104"/>
      <c r="AC98" s="109"/>
      <c r="AD98" s="109"/>
      <c r="AE98" s="109"/>
      <c r="AF98" s="109"/>
      <c r="AG98" s="109"/>
      <c r="AH98" s="109"/>
    </row>
    <row r="99" spans="1:34" ht="12.75" customHeight="1">
      <c r="D99" s="243" t="s">
        <v>132</v>
      </c>
      <c r="N99" s="104"/>
      <c r="O99" s="104"/>
      <c r="P99" s="104"/>
      <c r="Q99" s="104"/>
      <c r="R99" s="104"/>
      <c r="S99" s="104"/>
      <c r="AC99" s="109"/>
      <c r="AD99" s="109"/>
      <c r="AE99" s="109"/>
      <c r="AF99" s="109"/>
      <c r="AG99" s="109"/>
      <c r="AH99" s="109"/>
    </row>
    <row r="100" spans="1:34" ht="12.75" customHeight="1">
      <c r="A100" s="6">
        <f>MAX(A$13:A99)+1</f>
        <v>48</v>
      </c>
      <c r="B100" s="6"/>
      <c r="D100" s="13" t="s">
        <v>258</v>
      </c>
      <c r="F100" s="51" t="s">
        <v>523</v>
      </c>
      <c r="H100" s="330">
        <v>546.96967474977816</v>
      </c>
      <c r="I100" s="330"/>
      <c r="J100" s="330">
        <f t="shared" ref="J100:J101" si="5">ROUND(L100,4)-ROUND(H100,4)</f>
        <v>14.946100000000001</v>
      </c>
      <c r="K100" s="330"/>
      <c r="L100" s="330">
        <v>561.91577784074468</v>
      </c>
      <c r="M100" s="331"/>
      <c r="N100" s="330">
        <v>561.91577784074468</v>
      </c>
      <c r="O100" s="104"/>
      <c r="P100" s="275">
        <v>0</v>
      </c>
      <c r="Q100" s="104"/>
      <c r="R100" s="104"/>
      <c r="S100" s="104"/>
      <c r="V100" s="284"/>
      <c r="AC100" s="109"/>
      <c r="AD100" s="109"/>
      <c r="AE100" s="109"/>
      <c r="AF100" s="109"/>
      <c r="AG100" s="109"/>
      <c r="AH100" s="109"/>
    </row>
    <row r="101" spans="1:34" ht="12.75" customHeight="1">
      <c r="A101" s="6">
        <f>MAX(A$13:A100)+1</f>
        <v>49</v>
      </c>
      <c r="B101" s="6"/>
      <c r="D101" s="136" t="s">
        <v>280</v>
      </c>
      <c r="F101" s="51" t="s">
        <v>525</v>
      </c>
      <c r="H101" s="104">
        <v>11.212672899678186</v>
      </c>
      <c r="I101" s="104"/>
      <c r="J101" s="104">
        <f t="shared" si="5"/>
        <v>0.30969999999999942</v>
      </c>
      <c r="K101" s="104"/>
      <c r="L101" s="104">
        <v>11.522380394031693</v>
      </c>
      <c r="N101" s="104">
        <v>11.522380394031693</v>
      </c>
      <c r="O101" s="104"/>
      <c r="P101" s="275">
        <v>0</v>
      </c>
      <c r="Q101" s="104"/>
      <c r="R101" s="104"/>
      <c r="S101" s="104"/>
      <c r="V101" s="284"/>
      <c r="AC101" s="109"/>
      <c r="AD101" s="109"/>
      <c r="AE101" s="109"/>
      <c r="AF101" s="109"/>
      <c r="AG101" s="109"/>
      <c r="AH101" s="109"/>
    </row>
    <row r="102" spans="1:34" ht="12.75" customHeight="1">
      <c r="H102" s="104"/>
      <c r="I102" s="104"/>
      <c r="J102" s="104"/>
      <c r="K102" s="104"/>
      <c r="L102" s="104"/>
      <c r="N102" s="104"/>
      <c r="O102" s="104"/>
      <c r="P102" s="104"/>
      <c r="Q102" s="104"/>
      <c r="R102" s="104"/>
      <c r="S102" s="104"/>
      <c r="AC102" s="109"/>
      <c r="AD102" s="109"/>
      <c r="AE102" s="109"/>
      <c r="AF102" s="109"/>
      <c r="AG102" s="109"/>
      <c r="AH102" s="109"/>
    </row>
    <row r="103" spans="1:34" ht="12.75" customHeight="1">
      <c r="D103" s="243" t="s">
        <v>133</v>
      </c>
      <c r="H103" s="104"/>
      <c r="I103" s="104"/>
      <c r="J103" s="104"/>
      <c r="K103" s="104"/>
      <c r="L103" s="104"/>
      <c r="N103" s="104"/>
      <c r="O103" s="104"/>
      <c r="P103" s="104"/>
      <c r="Q103" s="104"/>
      <c r="R103" s="104"/>
      <c r="S103" s="104"/>
      <c r="AC103" s="109"/>
      <c r="AD103" s="109"/>
      <c r="AE103" s="109"/>
      <c r="AF103" s="109"/>
      <c r="AG103" s="109"/>
      <c r="AH103" s="109"/>
    </row>
    <row r="104" spans="1:34" ht="12.75" customHeight="1">
      <c r="A104" s="6">
        <f>MAX(A$13:A103)+1</f>
        <v>50</v>
      </c>
      <c r="B104" s="6"/>
      <c r="D104" s="13" t="s">
        <v>258</v>
      </c>
      <c r="F104" s="269" t="s">
        <v>523</v>
      </c>
      <c r="H104" s="330">
        <v>125.890540340409</v>
      </c>
      <c r="I104" s="330"/>
      <c r="J104" s="330">
        <f t="shared" ref="J104:J121" si="6">ROUND(L104,4)-ROUND(H104,4)</f>
        <v>3.4399999999999977</v>
      </c>
      <c r="K104" s="330"/>
      <c r="L104" s="330">
        <v>129.33053542782588</v>
      </c>
      <c r="M104" s="331"/>
      <c r="N104" s="330">
        <v>129.33053542782588</v>
      </c>
      <c r="O104" s="104"/>
      <c r="P104" s="275">
        <v>0</v>
      </c>
      <c r="Q104" s="104"/>
      <c r="R104" s="104"/>
      <c r="S104" s="104"/>
      <c r="V104" s="284"/>
      <c r="AC104" s="109"/>
      <c r="AD104" s="109"/>
      <c r="AE104" s="109"/>
      <c r="AF104" s="109"/>
      <c r="AG104" s="109"/>
      <c r="AH104" s="109"/>
    </row>
    <row r="105" spans="1:34" ht="12.75" customHeight="1">
      <c r="A105" s="6"/>
      <c r="B105" s="6"/>
      <c r="D105" s="13" t="s">
        <v>289</v>
      </c>
      <c r="F105" s="269"/>
      <c r="H105" s="330"/>
      <c r="I105" s="330"/>
      <c r="J105" s="330"/>
      <c r="K105" s="330"/>
      <c r="L105" s="330"/>
      <c r="M105" s="331"/>
      <c r="N105" s="330"/>
      <c r="O105" s="104"/>
      <c r="P105" s="275"/>
      <c r="Q105" s="104"/>
      <c r="R105" s="104"/>
      <c r="S105" s="104"/>
      <c r="V105" s="284"/>
      <c r="AC105" s="109"/>
      <c r="AD105" s="109"/>
      <c r="AE105" s="109"/>
      <c r="AF105" s="109"/>
      <c r="AG105" s="109"/>
      <c r="AH105" s="109"/>
    </row>
    <row r="106" spans="1:34" ht="12.75" customHeight="1">
      <c r="A106" s="6"/>
      <c r="B106" s="6"/>
      <c r="D106" s="136" t="s">
        <v>260</v>
      </c>
      <c r="H106" s="99"/>
      <c r="I106" s="104"/>
      <c r="J106" s="99"/>
      <c r="K106" s="104"/>
      <c r="L106" s="99"/>
      <c r="N106" s="99"/>
      <c r="O106" s="104"/>
      <c r="P106" s="99"/>
      <c r="Q106" s="104"/>
      <c r="R106" s="104"/>
      <c r="S106" s="104"/>
      <c r="V106" s="284"/>
      <c r="AC106" s="109"/>
      <c r="AD106" s="109"/>
      <c r="AE106" s="109"/>
      <c r="AF106" s="109"/>
      <c r="AG106" s="109"/>
      <c r="AH106" s="109"/>
    </row>
    <row r="107" spans="1:34" ht="12.75" customHeight="1">
      <c r="A107" s="6">
        <f>MAX(A$13:A106)+1</f>
        <v>51</v>
      </c>
      <c r="B107" s="6"/>
      <c r="D107" s="136" t="s">
        <v>545</v>
      </c>
      <c r="F107" s="270" t="s">
        <v>525</v>
      </c>
      <c r="H107" s="104">
        <v>8.7071583280414799</v>
      </c>
      <c r="I107" s="104"/>
      <c r="J107" s="104">
        <f t="shared" si="6"/>
        <v>1.5789999999999988</v>
      </c>
      <c r="K107" s="104"/>
      <c r="L107" s="104">
        <v>10.286209456190095</v>
      </c>
      <c r="N107" s="104">
        <v>9.9979004743718995</v>
      </c>
      <c r="O107" s="104"/>
      <c r="P107" s="104">
        <v>0.28830898181819797</v>
      </c>
      <c r="Q107" s="104"/>
      <c r="R107" s="104"/>
      <c r="S107" s="104"/>
      <c r="V107" s="284"/>
      <c r="AC107" s="109"/>
      <c r="AD107" s="109"/>
      <c r="AE107" s="109"/>
      <c r="AF107" s="109"/>
      <c r="AG107" s="109"/>
      <c r="AH107" s="109"/>
    </row>
    <row r="108" spans="1:34" ht="12.75" customHeight="1">
      <c r="A108" s="6">
        <f>MAX(A$13:A107)+1</f>
        <v>52</v>
      </c>
      <c r="B108" s="6"/>
      <c r="D108" s="52" t="s">
        <v>538</v>
      </c>
      <c r="F108" s="270" t="s">
        <v>525</v>
      </c>
      <c r="H108" s="104">
        <v>7.2307643883583737</v>
      </c>
      <c r="I108" s="104"/>
      <c r="J108" s="104">
        <f t="shared" si="6"/>
        <v>1.5387000000000004</v>
      </c>
      <c r="K108" s="104"/>
      <c r="L108" s="104">
        <v>8.7694662297208943</v>
      </c>
      <c r="N108" s="104">
        <v>8.4809230567981295</v>
      </c>
      <c r="O108" s="104"/>
      <c r="P108" s="104">
        <v>0.2885431729227691</v>
      </c>
      <c r="Q108" s="104"/>
      <c r="R108" s="104"/>
      <c r="S108" s="104"/>
      <c r="V108" s="284"/>
      <c r="AC108" s="109"/>
      <c r="AD108" s="109"/>
      <c r="AE108" s="109"/>
      <c r="AF108" s="109"/>
      <c r="AG108" s="109"/>
      <c r="AH108" s="109"/>
    </row>
    <row r="109" spans="1:34" ht="12.75" customHeight="1">
      <c r="A109" s="6">
        <f>MAX(A$13:A108)+1</f>
        <v>53</v>
      </c>
      <c r="B109" s="6"/>
      <c r="D109" s="52" t="s">
        <v>539</v>
      </c>
      <c r="F109" s="270" t="s">
        <v>525</v>
      </c>
      <c r="H109" s="104">
        <v>6.6456319318883716</v>
      </c>
      <c r="I109" s="104"/>
      <c r="J109" s="104">
        <f t="shared" si="6"/>
        <v>1.5227000000000004</v>
      </c>
      <c r="K109" s="104"/>
      <c r="L109" s="104">
        <v>8.168347022650936</v>
      </c>
      <c r="N109" s="104">
        <v>7.8798829499657694</v>
      </c>
      <c r="O109" s="104"/>
      <c r="P109" s="104">
        <v>0.28846407268516572</v>
      </c>
      <c r="Q109" s="104"/>
      <c r="R109" s="104"/>
      <c r="S109" s="104"/>
      <c r="V109" s="284"/>
      <c r="AC109" s="109"/>
      <c r="AD109" s="109"/>
      <c r="AE109" s="109"/>
      <c r="AF109" s="109"/>
      <c r="AG109" s="109"/>
      <c r="AH109" s="109"/>
    </row>
    <row r="110" spans="1:34" ht="12.75" customHeight="1">
      <c r="A110" s="6"/>
      <c r="B110" s="6"/>
      <c r="D110" s="52"/>
      <c r="F110" s="270"/>
      <c r="H110" s="104"/>
      <c r="I110" s="104"/>
      <c r="J110" s="104"/>
      <c r="K110" s="104"/>
      <c r="L110" s="104"/>
      <c r="N110" s="104"/>
      <c r="O110" s="104"/>
      <c r="P110" s="104"/>
      <c r="Q110" s="104"/>
      <c r="R110" s="104"/>
      <c r="S110" s="104"/>
      <c r="V110" s="284"/>
      <c r="AC110" s="109"/>
      <c r="AD110" s="109"/>
      <c r="AE110" s="109"/>
      <c r="AF110" s="109"/>
      <c r="AG110" s="109"/>
      <c r="AH110" s="109"/>
    </row>
    <row r="111" spans="1:34" ht="12.75" customHeight="1">
      <c r="A111" s="6"/>
      <c r="B111" s="6"/>
      <c r="D111" s="13" t="s">
        <v>293</v>
      </c>
      <c r="H111" s="104"/>
      <c r="I111" s="104"/>
      <c r="J111" s="104"/>
      <c r="K111" s="104"/>
      <c r="L111" s="104"/>
      <c r="N111" s="104"/>
      <c r="O111" s="104"/>
      <c r="P111" s="104"/>
      <c r="Q111" s="104"/>
      <c r="R111" s="104"/>
      <c r="S111" s="104"/>
      <c r="V111" s="284"/>
      <c r="AC111" s="109"/>
      <c r="AD111" s="109"/>
      <c r="AE111" s="109"/>
      <c r="AF111" s="109"/>
      <c r="AG111" s="109"/>
      <c r="AH111" s="109"/>
    </row>
    <row r="112" spans="1:34" ht="12.75" customHeight="1">
      <c r="A112" s="6"/>
      <c r="B112" s="6"/>
      <c r="D112" s="136" t="s">
        <v>260</v>
      </c>
      <c r="H112" s="99"/>
      <c r="I112" s="104"/>
      <c r="J112" s="99"/>
      <c r="K112" s="104"/>
      <c r="L112" s="99"/>
      <c r="N112" s="99"/>
      <c r="O112" s="104"/>
      <c r="P112" s="99"/>
      <c r="Q112" s="104"/>
      <c r="R112" s="104"/>
      <c r="S112" s="104"/>
      <c r="V112" s="284"/>
      <c r="AC112" s="109"/>
      <c r="AD112" s="109"/>
      <c r="AE112" s="109"/>
      <c r="AF112" s="109"/>
      <c r="AG112" s="109"/>
      <c r="AH112" s="109"/>
    </row>
    <row r="113" spans="1:34" ht="12.75" customHeight="1">
      <c r="A113" s="6">
        <f>MAX(A$13:A112)+1</f>
        <v>54</v>
      </c>
      <c r="B113" s="6"/>
      <c r="D113" s="136" t="s">
        <v>537</v>
      </c>
      <c r="F113" s="270" t="s">
        <v>525</v>
      </c>
      <c r="H113" s="104">
        <v>3.0187054350434206</v>
      </c>
      <c r="I113" s="104"/>
      <c r="J113" s="104">
        <f>ROUND(L113,4)-ROUND(H113,4)</f>
        <v>1.4236000000000004</v>
      </c>
      <c r="K113" s="104"/>
      <c r="L113" s="104">
        <v>4.4423172609961137</v>
      </c>
      <c r="N113" s="104">
        <v>4.1539827742969635</v>
      </c>
      <c r="O113" s="104"/>
      <c r="P113" s="104">
        <v>0.28833448669915013</v>
      </c>
      <c r="Q113" s="104"/>
      <c r="R113" s="104"/>
      <c r="S113" s="104"/>
      <c r="V113" s="284"/>
      <c r="AC113" s="109"/>
      <c r="AD113" s="109"/>
      <c r="AE113" s="109"/>
      <c r="AF113" s="109"/>
      <c r="AG113" s="109"/>
      <c r="AH113" s="109"/>
    </row>
    <row r="114" spans="1:34" ht="12.75" customHeight="1">
      <c r="A114" s="6">
        <f>MAX(A$13:A113)+1</f>
        <v>55</v>
      </c>
      <c r="B114" s="6"/>
      <c r="D114" s="52" t="s">
        <v>538</v>
      </c>
      <c r="F114" s="270" t="s">
        <v>525</v>
      </c>
      <c r="H114" s="104">
        <v>2.1834219027636586</v>
      </c>
      <c r="I114" s="104"/>
      <c r="J114" s="104">
        <f>ROUND(L114,4)-ROUND(H114,4)</f>
        <v>1.4008000000000003</v>
      </c>
      <c r="K114" s="104"/>
      <c r="L114" s="104">
        <v>3.5842098893342134</v>
      </c>
      <c r="N114" s="104">
        <v>3.2958945233549439</v>
      </c>
      <c r="O114" s="104"/>
      <c r="P114" s="104">
        <v>0.28831536597926943</v>
      </c>
      <c r="Q114" s="104"/>
      <c r="R114" s="104"/>
      <c r="S114" s="104"/>
      <c r="V114" s="284"/>
      <c r="AC114" s="109"/>
      <c r="AD114" s="109"/>
      <c r="AE114" s="109"/>
      <c r="AF114" s="109"/>
      <c r="AG114" s="109"/>
      <c r="AH114" s="109"/>
    </row>
    <row r="115" spans="1:34" ht="12.75" customHeight="1">
      <c r="A115" s="6">
        <f>MAX(A$13:A114)+1</f>
        <v>56</v>
      </c>
      <c r="B115" s="6"/>
      <c r="D115" s="52" t="s">
        <v>539</v>
      </c>
      <c r="F115" s="270" t="s">
        <v>525</v>
      </c>
      <c r="H115" s="104">
        <v>1.9276317065247057</v>
      </c>
      <c r="I115" s="104"/>
      <c r="J115" s="104">
        <f>ROUND(L115,4)-ROUND(H115,4)</f>
        <v>1.3938000000000001</v>
      </c>
      <c r="K115" s="104"/>
      <c r="L115" s="104">
        <v>3.321430163044031</v>
      </c>
      <c r="N115" s="104">
        <v>3.0331151760177999</v>
      </c>
      <c r="O115" s="104"/>
      <c r="P115" s="104">
        <v>0.28831498702623126</v>
      </c>
      <c r="Q115" s="104"/>
      <c r="R115" s="104"/>
      <c r="S115" s="104"/>
      <c r="V115" s="284"/>
      <c r="AC115" s="109"/>
      <c r="AD115" s="109"/>
      <c r="AE115" s="109"/>
      <c r="AF115" s="109"/>
      <c r="AG115" s="109"/>
      <c r="AH115" s="109"/>
    </row>
    <row r="116" spans="1:34" ht="12.75" customHeight="1">
      <c r="A116" s="6"/>
      <c r="B116" s="6"/>
      <c r="D116" s="52"/>
      <c r="F116" s="270"/>
      <c r="H116" s="104"/>
      <c r="I116" s="104"/>
      <c r="J116" s="104"/>
      <c r="K116" s="104"/>
      <c r="L116" s="104"/>
      <c r="N116" s="104"/>
      <c r="O116" s="104"/>
      <c r="P116" s="104"/>
      <c r="Q116" s="104"/>
      <c r="R116" s="104"/>
      <c r="S116" s="104"/>
      <c r="V116" s="284"/>
      <c r="AC116" s="109"/>
      <c r="AD116" s="109"/>
      <c r="AE116" s="109"/>
      <c r="AF116" s="109"/>
      <c r="AG116" s="109"/>
      <c r="AH116" s="109"/>
    </row>
    <row r="117" spans="1:34" ht="12.75" customHeight="1">
      <c r="A117" s="6">
        <f>MAX(A$13:A116)+1</f>
        <v>57</v>
      </c>
      <c r="B117" s="6"/>
      <c r="D117" s="52" t="s">
        <v>529</v>
      </c>
      <c r="F117" s="270" t="s">
        <v>525</v>
      </c>
      <c r="H117" s="275">
        <v>0</v>
      </c>
      <c r="I117" s="275"/>
      <c r="J117" s="275">
        <f t="shared" si="6"/>
        <v>0</v>
      </c>
      <c r="K117" s="275"/>
      <c r="L117" s="275">
        <v>0</v>
      </c>
      <c r="M117" s="275"/>
      <c r="N117" s="275">
        <v>0</v>
      </c>
      <c r="O117" s="275"/>
      <c r="P117" s="275">
        <v>0</v>
      </c>
      <c r="Q117" s="104"/>
      <c r="R117" s="104"/>
      <c r="S117" s="104"/>
      <c r="V117" s="284"/>
      <c r="AC117" s="109"/>
      <c r="AD117" s="109"/>
      <c r="AE117" s="109"/>
      <c r="AF117" s="109"/>
      <c r="AG117" s="109"/>
      <c r="AH117" s="109"/>
    </row>
    <row r="118" spans="1:34" ht="12.75" customHeight="1">
      <c r="A118" s="6">
        <f>MAX(A$13:A117)+1</f>
        <v>58</v>
      </c>
      <c r="B118" s="6"/>
      <c r="D118" s="52" t="s">
        <v>268</v>
      </c>
      <c r="F118" s="270" t="s">
        <v>525</v>
      </c>
      <c r="H118" s="104">
        <v>3.9267447076426962</v>
      </c>
      <c r="I118" s="104"/>
      <c r="J118" s="104">
        <f t="shared" si="6"/>
        <v>2.0999999999999908E-3</v>
      </c>
      <c r="K118" s="104"/>
      <c r="L118" s="104">
        <v>3.9288011302638934</v>
      </c>
      <c r="N118" s="104">
        <v>7.7313551882171136E-2</v>
      </c>
      <c r="O118" s="104"/>
      <c r="P118" s="104">
        <v>3.8514875783817222</v>
      </c>
      <c r="Q118" s="104"/>
      <c r="R118" s="104"/>
      <c r="S118" s="104"/>
      <c r="V118" s="284"/>
      <c r="AC118" s="109"/>
      <c r="AD118" s="109"/>
      <c r="AE118" s="109"/>
      <c r="AF118" s="109"/>
      <c r="AG118" s="109"/>
      <c r="AH118" s="109"/>
    </row>
    <row r="119" spans="1:34" ht="12.75" customHeight="1">
      <c r="A119" s="6">
        <f>MAX(A$13:A118)+1</f>
        <v>59</v>
      </c>
      <c r="B119" s="6"/>
      <c r="D119" s="52" t="s">
        <v>269</v>
      </c>
      <c r="F119" s="270" t="s">
        <v>525</v>
      </c>
      <c r="H119" s="104">
        <v>0.96972153366292246</v>
      </c>
      <c r="I119" s="104"/>
      <c r="J119" s="104">
        <f t="shared" si="6"/>
        <v>1.639999999999997E-2</v>
      </c>
      <c r="K119" s="104"/>
      <c r="L119" s="104">
        <v>0.98605685529682352</v>
      </c>
      <c r="N119" s="104">
        <v>0.61414503207461923</v>
      </c>
      <c r="O119" s="104"/>
      <c r="P119" s="104">
        <v>0.37191182322220417</v>
      </c>
      <c r="Q119" s="104"/>
      <c r="R119" s="104"/>
      <c r="S119" s="104"/>
      <c r="V119" s="284"/>
      <c r="AC119" s="109"/>
      <c r="AD119" s="109"/>
      <c r="AE119" s="109"/>
      <c r="AF119" s="109"/>
      <c r="AG119" s="109"/>
      <c r="AH119" s="109"/>
    </row>
    <row r="120" spans="1:34" ht="12.75" customHeight="1">
      <c r="A120" s="6"/>
      <c r="B120" s="6"/>
      <c r="D120" s="52"/>
      <c r="F120" s="270"/>
      <c r="H120" s="104"/>
      <c r="I120" s="104"/>
      <c r="J120" s="104"/>
      <c r="K120" s="104"/>
      <c r="L120" s="104"/>
      <c r="N120" s="104"/>
      <c r="O120" s="104"/>
      <c r="P120" s="104"/>
      <c r="Q120" s="104"/>
      <c r="R120" s="104"/>
      <c r="S120" s="104"/>
      <c r="V120" s="284"/>
      <c r="AC120" s="109"/>
      <c r="AD120" s="109"/>
      <c r="AE120" s="109"/>
      <c r="AF120" s="109"/>
      <c r="AG120" s="109"/>
      <c r="AH120" s="109"/>
    </row>
    <row r="121" spans="1:34" ht="12.75" customHeight="1">
      <c r="A121" s="6">
        <f>MAX(A$13:A119)+1</f>
        <v>60</v>
      </c>
      <c r="B121" s="6"/>
      <c r="D121" s="52" t="s">
        <v>270</v>
      </c>
      <c r="F121" s="270" t="s">
        <v>525</v>
      </c>
      <c r="H121" s="104">
        <v>18.34709332635693</v>
      </c>
      <c r="I121" s="104"/>
      <c r="J121" s="104">
        <f t="shared" si="6"/>
        <v>1.5000000000000568E-3</v>
      </c>
      <c r="K121" s="104"/>
      <c r="L121" s="104">
        <v>18.348586160393797</v>
      </c>
      <c r="N121" s="104">
        <v>5.6124796805528572E-2</v>
      </c>
      <c r="O121" s="104"/>
      <c r="P121" s="104">
        <v>18.29246136358827</v>
      </c>
      <c r="Q121" s="104"/>
      <c r="R121" s="104"/>
      <c r="S121" s="104"/>
      <c r="V121" s="284"/>
      <c r="AC121" s="109"/>
      <c r="AD121" s="109"/>
      <c r="AE121" s="109"/>
      <c r="AF121" s="109"/>
      <c r="AG121" s="109"/>
      <c r="AH121" s="109"/>
    </row>
    <row r="122" spans="1:34" ht="12.75" customHeight="1">
      <c r="H122" s="104"/>
      <c r="I122" s="104"/>
      <c r="J122" s="104"/>
      <c r="K122" s="104"/>
      <c r="L122" s="104"/>
      <c r="N122" s="104"/>
      <c r="O122" s="104"/>
      <c r="P122" s="104"/>
      <c r="Q122" s="104"/>
      <c r="R122" s="104"/>
      <c r="S122" s="104"/>
      <c r="AC122" s="109"/>
      <c r="AD122" s="109"/>
      <c r="AE122" s="109"/>
      <c r="AF122" s="109"/>
      <c r="AG122" s="109"/>
      <c r="AH122" s="109"/>
    </row>
    <row r="123" spans="1:34" ht="12.75" customHeight="1">
      <c r="D123" s="243"/>
      <c r="N123" s="104"/>
      <c r="O123" s="104"/>
      <c r="P123" s="104"/>
      <c r="Q123" s="104"/>
      <c r="R123" s="104"/>
      <c r="S123" s="104"/>
      <c r="AC123" s="109"/>
      <c r="AD123" s="109"/>
      <c r="AE123" s="109"/>
      <c r="AF123" s="109"/>
      <c r="AG123" s="109"/>
      <c r="AH123" s="109"/>
    </row>
    <row r="124" spans="1:34">
      <c r="H124" s="104"/>
      <c r="I124" s="104"/>
      <c r="J124" s="104"/>
      <c r="K124" s="104"/>
      <c r="L124" s="104"/>
      <c r="N124" s="104"/>
      <c r="O124" s="104"/>
      <c r="P124" s="104"/>
      <c r="Q124" s="104"/>
      <c r="R124" s="104"/>
      <c r="S124" s="104"/>
      <c r="AC124" s="109"/>
      <c r="AD124" s="109"/>
      <c r="AE124" s="109"/>
      <c r="AF124" s="109"/>
      <c r="AG124" s="109"/>
      <c r="AH124" s="109"/>
    </row>
    <row r="125" spans="1:34">
      <c r="H125" s="104"/>
      <c r="I125" s="104"/>
      <c r="J125" s="104"/>
      <c r="K125" s="104"/>
      <c r="L125" s="104"/>
      <c r="N125" s="104"/>
      <c r="O125" s="104"/>
      <c r="P125" s="104"/>
      <c r="Q125" s="104"/>
      <c r="R125" s="104"/>
      <c r="S125" s="104"/>
      <c r="AC125" s="109"/>
      <c r="AD125" s="109"/>
      <c r="AE125" s="109"/>
      <c r="AF125" s="109"/>
      <c r="AG125" s="109"/>
      <c r="AH125" s="109"/>
    </row>
    <row r="126" spans="1:34" ht="12.75" customHeight="1">
      <c r="H126" s="104"/>
      <c r="I126" s="104"/>
      <c r="J126" s="104"/>
      <c r="K126" s="104"/>
      <c r="L126" s="104"/>
      <c r="N126" s="104"/>
      <c r="O126" s="104"/>
      <c r="P126" s="104"/>
      <c r="Q126" s="104"/>
      <c r="R126" s="104"/>
      <c r="S126" s="104"/>
      <c r="AC126" s="109"/>
      <c r="AD126" s="109"/>
      <c r="AE126" s="109"/>
      <c r="AF126" s="109"/>
      <c r="AG126" s="109"/>
      <c r="AH126" s="109"/>
    </row>
    <row r="127" spans="1:34" ht="12.75" customHeight="1">
      <c r="H127" s="104"/>
      <c r="I127" s="104"/>
      <c r="J127" s="104"/>
      <c r="K127" s="104"/>
      <c r="L127" s="104"/>
      <c r="N127" s="104"/>
      <c r="O127" s="104"/>
      <c r="P127" s="104"/>
      <c r="Q127" s="104"/>
      <c r="R127" s="104"/>
      <c r="S127" s="104"/>
      <c r="AC127" s="109"/>
      <c r="AD127" s="109"/>
      <c r="AE127" s="109"/>
      <c r="AF127" s="109"/>
      <c r="AG127" s="109"/>
      <c r="AH127" s="109"/>
    </row>
    <row r="128" spans="1:34" ht="12.75" customHeight="1">
      <c r="H128" s="104"/>
      <c r="I128" s="104"/>
      <c r="J128" s="104"/>
      <c r="K128" s="104"/>
      <c r="L128" s="104"/>
      <c r="N128" s="104"/>
      <c r="O128" s="104"/>
      <c r="P128" s="104"/>
      <c r="Q128" s="104"/>
      <c r="R128" s="104"/>
      <c r="S128" s="104"/>
      <c r="AC128" s="109"/>
      <c r="AD128" s="109"/>
      <c r="AE128" s="109"/>
      <c r="AF128" s="109"/>
      <c r="AG128" s="109"/>
      <c r="AH128" s="109"/>
    </row>
    <row r="129" spans="1:34" ht="12.75" customHeight="1">
      <c r="H129" s="104"/>
      <c r="I129" s="104"/>
      <c r="J129" s="104"/>
      <c r="K129" s="104"/>
      <c r="L129" s="104"/>
      <c r="N129" s="104"/>
      <c r="O129" s="104"/>
      <c r="P129" s="104"/>
      <c r="Q129" s="104"/>
      <c r="R129" s="104"/>
      <c r="S129" s="104"/>
      <c r="AC129" s="109"/>
      <c r="AD129" s="109"/>
      <c r="AE129" s="109"/>
      <c r="AF129" s="109"/>
      <c r="AG129" s="109"/>
      <c r="AH129" s="109"/>
    </row>
    <row r="130" spans="1:34" ht="12.75" customHeight="1">
      <c r="A130" s="1163"/>
      <c r="B130" s="1163"/>
      <c r="C130" s="1163"/>
      <c r="D130" s="1206"/>
      <c r="E130" s="1206"/>
      <c r="F130" s="1206"/>
      <c r="G130" s="1206"/>
      <c r="H130" s="1206"/>
      <c r="I130" s="1206"/>
      <c r="J130" s="1206"/>
      <c r="K130" s="1206"/>
      <c r="L130" s="1206"/>
      <c r="M130" s="1206"/>
      <c r="N130" s="1206"/>
      <c r="O130" s="1206"/>
      <c r="P130" s="1206"/>
      <c r="Q130" s="104"/>
      <c r="R130" s="104"/>
      <c r="S130" s="104"/>
      <c r="AC130" s="109"/>
      <c r="AD130" s="109"/>
      <c r="AE130" s="109"/>
      <c r="AF130" s="109"/>
      <c r="AG130" s="109"/>
      <c r="AH130" s="109"/>
    </row>
    <row r="131" spans="1:34" ht="12.75" customHeight="1">
      <c r="A131" s="1163" t="s">
        <v>543</v>
      </c>
      <c r="B131" s="1163"/>
      <c r="C131" s="1163"/>
      <c r="D131" s="1206"/>
      <c r="E131" s="1206"/>
      <c r="F131" s="1206"/>
      <c r="G131" s="1206"/>
      <c r="H131" s="1206"/>
      <c r="I131" s="1206"/>
      <c r="J131" s="1206"/>
      <c r="K131" s="1206"/>
      <c r="L131" s="1206"/>
      <c r="M131" s="1206"/>
      <c r="N131" s="1206"/>
      <c r="O131" s="1206"/>
      <c r="P131" s="1206"/>
      <c r="Q131" s="104"/>
      <c r="R131" s="104"/>
      <c r="S131" s="104"/>
      <c r="AC131" s="109"/>
      <c r="AD131" s="109"/>
      <c r="AE131" s="109"/>
      <c r="AF131" s="109"/>
      <c r="AG131" s="109"/>
      <c r="AH131" s="109"/>
    </row>
    <row r="132" spans="1:34" ht="12.75" customHeight="1">
      <c r="A132" s="1162" t="s">
        <v>125</v>
      </c>
      <c r="B132" s="1206"/>
      <c r="C132" s="1206"/>
      <c r="D132" s="1206"/>
      <c r="E132" s="1206"/>
      <c r="F132" s="1206"/>
      <c r="G132" s="1206"/>
      <c r="H132" s="1206"/>
      <c r="I132" s="1206"/>
      <c r="J132" s="1206"/>
      <c r="K132" s="1206"/>
      <c r="L132" s="1206"/>
      <c r="M132" s="1206"/>
      <c r="N132" s="1206"/>
      <c r="O132" s="1206"/>
      <c r="P132" s="1206"/>
      <c r="Q132" s="104"/>
      <c r="R132" s="104"/>
      <c r="S132" s="104"/>
      <c r="AC132" s="109"/>
      <c r="AD132" s="109"/>
      <c r="AE132" s="109"/>
      <c r="AF132" s="109"/>
      <c r="AG132" s="109"/>
      <c r="AH132" s="109"/>
    </row>
    <row r="133" spans="1:34" ht="12.75" customHeight="1">
      <c r="N133" s="124"/>
      <c r="O133" s="124"/>
      <c r="P133" s="124"/>
      <c r="Q133" s="104"/>
      <c r="R133" s="104"/>
      <c r="S133" s="104"/>
      <c r="AC133" s="109"/>
      <c r="AD133" s="109"/>
      <c r="AE133" s="109"/>
      <c r="AF133" s="109"/>
      <c r="AG133" s="109"/>
      <c r="AH133" s="109"/>
    </row>
    <row r="134" spans="1:34" ht="12.75" customHeight="1">
      <c r="G134" s="55"/>
      <c r="H134" s="2"/>
      <c r="I134" s="2"/>
      <c r="J134" s="2"/>
      <c r="K134" s="2"/>
      <c r="L134" s="2"/>
      <c r="M134" s="2"/>
      <c r="N134" s="1160" t="s">
        <v>514</v>
      </c>
      <c r="O134" s="1160"/>
      <c r="P134" s="1160"/>
      <c r="Q134" s="104"/>
      <c r="R134" s="104"/>
      <c r="S134" s="104"/>
      <c r="AC134" s="109"/>
      <c r="AD134" s="109"/>
      <c r="AE134" s="109"/>
      <c r="AF134" s="109"/>
      <c r="AG134" s="109"/>
      <c r="AH134" s="109"/>
    </row>
    <row r="135" spans="1:34" ht="12.75" customHeight="1">
      <c r="G135" s="282"/>
      <c r="H135" s="6"/>
      <c r="I135" s="57"/>
      <c r="J135" s="1164" t="s">
        <v>515</v>
      </c>
      <c r="K135" s="1164"/>
      <c r="L135" s="1164"/>
      <c r="N135" s="1161"/>
      <c r="O135" s="1161"/>
      <c r="P135" s="1161"/>
      <c r="Q135" s="104"/>
      <c r="R135" s="104"/>
      <c r="S135" s="104"/>
      <c r="AC135" s="109"/>
      <c r="AD135" s="109"/>
      <c r="AE135" s="109"/>
      <c r="AF135" s="109"/>
      <c r="AG135" s="109"/>
      <c r="AH135" s="109"/>
    </row>
    <row r="136" spans="1:34" ht="12.75" customHeight="1">
      <c r="A136" s="51" t="s">
        <v>56</v>
      </c>
      <c r="C136" s="52"/>
      <c r="F136" s="55"/>
      <c r="G136" s="51"/>
      <c r="H136" s="6" t="s">
        <v>93</v>
      </c>
      <c r="I136" s="57"/>
      <c r="J136" s="1" t="s">
        <v>516</v>
      </c>
      <c r="K136" s="4"/>
      <c r="L136" s="6" t="s">
        <v>102</v>
      </c>
      <c r="N136" s="17"/>
      <c r="O136" s="17"/>
      <c r="P136" s="17"/>
      <c r="Q136" s="104"/>
      <c r="R136" s="104"/>
      <c r="S136" s="104"/>
      <c r="AC136" s="109"/>
      <c r="AD136" s="109"/>
      <c r="AE136" s="109"/>
      <c r="AF136" s="109"/>
      <c r="AG136" s="109"/>
      <c r="AH136" s="109"/>
    </row>
    <row r="137" spans="1:34" ht="12.75" customHeight="1">
      <c r="A137" s="53" t="s">
        <v>57</v>
      </c>
      <c r="B137" s="55"/>
      <c r="C137" s="56"/>
      <c r="D137" s="54" t="s">
        <v>194</v>
      </c>
      <c r="F137" s="271" t="s">
        <v>245</v>
      </c>
      <c r="G137" s="55"/>
      <c r="H137" s="356" t="s">
        <v>235</v>
      </c>
      <c r="I137" s="17"/>
      <c r="J137" s="237" t="s">
        <v>517</v>
      </c>
      <c r="L137" s="356" t="s">
        <v>518</v>
      </c>
      <c r="N137" s="7" t="s">
        <v>6</v>
      </c>
      <c r="O137" s="1"/>
      <c r="P137" s="7" t="s">
        <v>519</v>
      </c>
      <c r="Q137" s="104"/>
      <c r="R137" s="104"/>
      <c r="S137" s="104"/>
      <c r="AC137" s="109"/>
      <c r="AD137" s="109"/>
      <c r="AE137" s="109"/>
      <c r="AF137" s="109"/>
      <c r="AG137" s="109"/>
      <c r="AH137" s="109"/>
    </row>
    <row r="138" spans="1:34" ht="12.75" customHeight="1">
      <c r="F138" s="283"/>
      <c r="G138" s="55"/>
      <c r="H138" s="6" t="s">
        <v>520</v>
      </c>
      <c r="I138" s="6"/>
      <c r="J138" s="123" t="s">
        <v>521</v>
      </c>
      <c r="L138" s="6" t="s">
        <v>522</v>
      </c>
      <c r="N138" s="126" t="s">
        <v>12</v>
      </c>
      <c r="O138" s="125"/>
      <c r="P138" s="126" t="s">
        <v>13</v>
      </c>
      <c r="Q138" s="104"/>
      <c r="R138" s="104"/>
      <c r="S138" s="104"/>
      <c r="AC138" s="109"/>
      <c r="AD138" s="109"/>
      <c r="AE138" s="109"/>
      <c r="AF138" s="109"/>
      <c r="AG138" s="109"/>
      <c r="AH138" s="109"/>
    </row>
    <row r="139" spans="1:34" ht="12.75" customHeight="1">
      <c r="D139" s="243" t="s">
        <v>134</v>
      </c>
      <c r="H139" s="104"/>
      <c r="I139" s="104"/>
      <c r="J139" s="104"/>
      <c r="K139" s="104"/>
      <c r="L139" s="104"/>
      <c r="N139" s="104"/>
      <c r="O139" s="104"/>
      <c r="P139" s="104"/>
      <c r="Q139" s="104"/>
      <c r="R139" s="117"/>
      <c r="S139" s="117"/>
      <c r="T139" s="117"/>
      <c r="U139" s="109"/>
      <c r="V139" s="109"/>
      <c r="W139" s="109"/>
      <c r="X139" s="109"/>
      <c r="Y139" s="109"/>
      <c r="Z139" s="109"/>
      <c r="AA139" s="109"/>
      <c r="AB139" s="109"/>
      <c r="AC139" s="109"/>
      <c r="AD139" s="109"/>
      <c r="AE139" s="109"/>
      <c r="AF139" s="109"/>
      <c r="AG139" s="109"/>
      <c r="AH139" s="109"/>
    </row>
    <row r="140" spans="1:34" ht="12.75" customHeight="1">
      <c r="A140" s="6">
        <f>MAX(A$13:A139)+1</f>
        <v>61</v>
      </c>
      <c r="B140" s="6"/>
      <c r="D140" s="116" t="s">
        <v>258</v>
      </c>
      <c r="F140" s="269" t="s">
        <v>523</v>
      </c>
      <c r="H140" s="330">
        <v>134.92647936727528</v>
      </c>
      <c r="I140" s="330"/>
      <c r="J140" s="330">
        <f t="shared" ref="J140:J151" si="7">ROUND(L140,4)-ROUND(H140,4)</f>
        <v>3.6869000000000085</v>
      </c>
      <c r="K140" s="330"/>
      <c r="L140" s="330">
        <v>138.61338407775489</v>
      </c>
      <c r="M140" s="331"/>
      <c r="N140" s="330">
        <v>138.61338407775489</v>
      </c>
      <c r="O140" s="104"/>
      <c r="P140" s="275">
        <v>0</v>
      </c>
      <c r="Q140" s="104"/>
      <c r="R140" s="104"/>
      <c r="S140" s="104"/>
      <c r="V140" s="284"/>
      <c r="AC140" s="109"/>
      <c r="AD140" s="109"/>
      <c r="AE140" s="109"/>
      <c r="AF140" s="109"/>
      <c r="AG140" s="109"/>
      <c r="AH140" s="109"/>
    </row>
    <row r="141" spans="1:34" ht="12.75" customHeight="1">
      <c r="A141" s="6">
        <f>MAX(A$13:A140)+1</f>
        <v>62</v>
      </c>
      <c r="B141" s="6"/>
      <c r="D141" s="136" t="s">
        <v>280</v>
      </c>
      <c r="F141" s="273" t="s">
        <v>540</v>
      </c>
      <c r="H141" s="104">
        <v>9.0517208463813486</v>
      </c>
      <c r="I141" s="104"/>
      <c r="J141" s="104">
        <f t="shared" si="7"/>
        <v>0.24739999999999895</v>
      </c>
      <c r="K141" s="104"/>
      <c r="L141" s="104">
        <v>9.2990617121844785</v>
      </c>
      <c r="N141" s="104">
        <v>9.2990617121844785</v>
      </c>
      <c r="O141" s="104"/>
      <c r="P141" s="275">
        <v>0</v>
      </c>
      <c r="Q141" s="104"/>
      <c r="R141" s="104"/>
      <c r="S141" s="104"/>
      <c r="V141" s="284"/>
      <c r="AC141" s="109"/>
      <c r="AD141" s="109"/>
      <c r="AE141" s="109"/>
      <c r="AF141" s="109"/>
      <c r="AG141" s="109"/>
      <c r="AH141" s="109"/>
    </row>
    <row r="142" spans="1:34" ht="12.75" customHeight="1">
      <c r="A142" s="6"/>
      <c r="B142" s="6"/>
      <c r="D142" s="136" t="s">
        <v>260</v>
      </c>
      <c r="H142" s="104"/>
      <c r="I142" s="104"/>
      <c r="J142" s="104"/>
      <c r="K142" s="104"/>
      <c r="L142" s="104"/>
      <c r="N142" s="104"/>
      <c r="O142" s="104"/>
      <c r="P142" s="104"/>
      <c r="Q142" s="104"/>
      <c r="R142" s="104"/>
      <c r="S142" s="104"/>
      <c r="V142" s="284"/>
      <c r="AC142" s="109"/>
      <c r="AD142" s="109"/>
      <c r="AE142" s="109"/>
      <c r="AF142" s="109"/>
      <c r="AG142" s="109"/>
      <c r="AH142" s="109"/>
    </row>
    <row r="143" spans="1:34" ht="12.75" customHeight="1">
      <c r="A143" s="6">
        <f>MAX(A$13:A142)+1</f>
        <v>63</v>
      </c>
      <c r="B143" s="6"/>
      <c r="D143" s="136" t="s">
        <v>537</v>
      </c>
      <c r="F143" s="270" t="s">
        <v>525</v>
      </c>
      <c r="H143" s="104">
        <v>7.4823219899090896</v>
      </c>
      <c r="I143" s="104"/>
      <c r="J143" s="102">
        <f t="shared" si="7"/>
        <v>-5.0675000000000008</v>
      </c>
      <c r="K143" s="104"/>
      <c r="L143" s="104">
        <v>2.4147580038194714</v>
      </c>
      <c r="N143" s="104">
        <v>2.0324031524503914</v>
      </c>
      <c r="O143" s="104"/>
      <c r="P143" s="104">
        <v>0.38235485136908021</v>
      </c>
      <c r="Q143" s="104"/>
      <c r="R143" s="104"/>
      <c r="S143" s="104"/>
      <c r="V143" s="284"/>
      <c r="AC143" s="109"/>
      <c r="AD143" s="109"/>
      <c r="AE143" s="109"/>
      <c r="AF143" s="109"/>
      <c r="AG143" s="109"/>
      <c r="AH143" s="109"/>
    </row>
    <row r="144" spans="1:34" ht="12.75" customHeight="1">
      <c r="A144" s="6">
        <f>MAX(A$13:A143)+1</f>
        <v>64</v>
      </c>
      <c r="B144" s="6"/>
      <c r="D144" s="52" t="s">
        <v>538</v>
      </c>
      <c r="F144" s="270" t="s">
        <v>525</v>
      </c>
      <c r="H144" s="104">
        <v>6.1080928904752776</v>
      </c>
      <c r="I144" s="104"/>
      <c r="J144" s="102">
        <f t="shared" si="7"/>
        <v>-3.6934000000000005</v>
      </c>
      <c r="K144" s="104"/>
      <c r="L144" s="104">
        <v>2.4147041779374661</v>
      </c>
      <c r="N144" s="104">
        <v>2.0324031524503914</v>
      </c>
      <c r="O144" s="104"/>
      <c r="P144" s="104">
        <v>0.38230102548707501</v>
      </c>
      <c r="Q144" s="104"/>
      <c r="R144" s="104"/>
      <c r="S144" s="104"/>
      <c r="V144" s="284"/>
      <c r="AC144" s="109"/>
      <c r="AD144" s="109"/>
      <c r="AE144" s="109"/>
      <c r="AF144" s="109"/>
      <c r="AG144" s="109"/>
      <c r="AH144" s="109"/>
    </row>
    <row r="145" spans="1:34" ht="12.75" customHeight="1">
      <c r="A145" s="6">
        <f>MAX(A$13:A144)+1</f>
        <v>65</v>
      </c>
      <c r="B145" s="6"/>
      <c r="D145" s="52" t="s">
        <v>539</v>
      </c>
      <c r="F145" s="270" t="s">
        <v>525</v>
      </c>
      <c r="H145" s="104">
        <v>5.542619907675042</v>
      </c>
      <c r="I145" s="104"/>
      <c r="J145" s="102">
        <f t="shared" si="7"/>
        <v>-3.1279000000000003</v>
      </c>
      <c r="K145" s="104"/>
      <c r="L145" s="104">
        <v>2.4147376761395267</v>
      </c>
      <c r="N145" s="104">
        <v>2.0324031524503914</v>
      </c>
      <c r="O145" s="104"/>
      <c r="P145" s="104">
        <v>0.38233452368913534</v>
      </c>
      <c r="Q145" s="104"/>
      <c r="R145" s="104"/>
      <c r="S145" s="104"/>
      <c r="V145" s="284"/>
      <c r="AC145" s="109"/>
      <c r="AD145" s="109"/>
      <c r="AE145" s="109"/>
      <c r="AF145" s="109"/>
      <c r="AG145" s="109"/>
      <c r="AH145" s="109"/>
    </row>
    <row r="146" spans="1:34" ht="12.75" customHeight="1">
      <c r="A146" s="6"/>
      <c r="B146" s="6"/>
      <c r="H146" s="104"/>
      <c r="I146" s="104"/>
      <c r="J146" s="104"/>
      <c r="K146" s="104"/>
      <c r="L146" s="104"/>
      <c r="N146" s="104"/>
      <c r="O146" s="104"/>
      <c r="P146" s="104"/>
      <c r="Q146" s="104"/>
      <c r="R146" s="104"/>
      <c r="S146" s="104"/>
      <c r="V146" s="284"/>
      <c r="AC146" s="109"/>
      <c r="AD146" s="109"/>
      <c r="AE146" s="109"/>
      <c r="AF146" s="109"/>
      <c r="AG146" s="109"/>
      <c r="AH146" s="109"/>
    </row>
    <row r="147" spans="1:34" ht="12.75" customHeight="1">
      <c r="A147" s="6">
        <f>MAX(A$13:A145)+1</f>
        <v>66</v>
      </c>
      <c r="B147" s="6"/>
      <c r="D147" s="52" t="s">
        <v>529</v>
      </c>
      <c r="F147" s="270" t="s">
        <v>525</v>
      </c>
      <c r="H147" s="104">
        <v>0.56728392094566971</v>
      </c>
      <c r="I147" s="104"/>
      <c r="J147" s="102">
        <f t="shared" si="7"/>
        <v>3.9000000000000146E-3</v>
      </c>
      <c r="K147" s="104"/>
      <c r="L147" s="104">
        <v>0.57115828503117105</v>
      </c>
      <c r="N147" s="104">
        <v>0.3171003284404223</v>
      </c>
      <c r="O147" s="104"/>
      <c r="P147" s="104">
        <v>0.2540579565907487</v>
      </c>
      <c r="Q147" s="104"/>
      <c r="R147" s="104"/>
      <c r="S147" s="104"/>
      <c r="V147" s="284"/>
      <c r="AC147" s="109"/>
      <c r="AD147" s="109"/>
      <c r="AE147" s="109"/>
      <c r="AF147" s="109"/>
      <c r="AG147" s="109"/>
      <c r="AH147" s="109"/>
    </row>
    <row r="148" spans="1:34" ht="12.75" customHeight="1">
      <c r="A148" s="6">
        <f>MAX(A$13:A147)+1</f>
        <v>67</v>
      </c>
      <c r="B148" s="6"/>
      <c r="D148" s="52" t="s">
        <v>268</v>
      </c>
      <c r="F148" s="270" t="s">
        <v>525</v>
      </c>
      <c r="H148" s="104">
        <v>3.9267458432309148</v>
      </c>
      <c r="I148" s="104"/>
      <c r="J148" s="104">
        <f t="shared" si="7"/>
        <v>2.0999999999999908E-3</v>
      </c>
      <c r="K148" s="104"/>
      <c r="L148" s="104">
        <v>3.9288031588344272</v>
      </c>
      <c r="N148" s="104">
        <v>7.7347124569876038E-2</v>
      </c>
      <c r="O148" s="104"/>
      <c r="P148" s="104">
        <v>3.8514560342645501</v>
      </c>
      <c r="Q148" s="104"/>
      <c r="R148" s="104"/>
      <c r="S148" s="104"/>
      <c r="V148" s="284"/>
      <c r="AC148" s="109"/>
      <c r="AD148" s="109"/>
      <c r="AE148" s="109"/>
      <c r="AF148" s="109"/>
      <c r="AG148" s="109"/>
      <c r="AH148" s="109"/>
    </row>
    <row r="149" spans="1:34" ht="12.75" customHeight="1">
      <c r="A149" s="6">
        <f>MAX(A$13:A148)+1</f>
        <v>68</v>
      </c>
      <c r="B149" s="6"/>
      <c r="D149" s="52" t="s">
        <v>269</v>
      </c>
      <c r="F149" s="270" t="s">
        <v>525</v>
      </c>
      <c r="H149" s="104">
        <v>0.96971985302412911</v>
      </c>
      <c r="I149" s="104"/>
      <c r="J149" s="104">
        <f t="shared" si="7"/>
        <v>1.639999999999997E-2</v>
      </c>
      <c r="K149" s="104"/>
      <c r="L149" s="104">
        <v>0.98605463986615005</v>
      </c>
      <c r="N149" s="104">
        <v>0.614124925964458</v>
      </c>
      <c r="O149" s="104"/>
      <c r="P149" s="104">
        <v>0.37192971390169216</v>
      </c>
      <c r="Q149" s="104"/>
      <c r="R149" s="104"/>
      <c r="S149" s="104"/>
      <c r="V149" s="284"/>
      <c r="AC149" s="109"/>
      <c r="AD149" s="109"/>
      <c r="AE149" s="109"/>
      <c r="AF149" s="109"/>
      <c r="AG149" s="109"/>
      <c r="AH149" s="109"/>
    </row>
    <row r="150" spans="1:34" ht="12.75" customHeight="1">
      <c r="A150" s="6"/>
      <c r="B150" s="6"/>
      <c r="D150" s="52"/>
      <c r="F150" s="270"/>
      <c r="H150" s="104"/>
      <c r="I150" s="104"/>
      <c r="J150" s="104"/>
      <c r="K150" s="104"/>
      <c r="L150" s="104"/>
      <c r="N150" s="104"/>
      <c r="O150" s="104"/>
      <c r="P150" s="104"/>
      <c r="Q150" s="104"/>
      <c r="R150" s="104"/>
      <c r="S150" s="104"/>
      <c r="V150" s="284"/>
      <c r="AC150" s="109"/>
      <c r="AD150" s="109"/>
      <c r="AE150" s="109"/>
      <c r="AF150" s="109"/>
      <c r="AG150" s="109"/>
      <c r="AH150" s="109"/>
    </row>
    <row r="151" spans="1:34" ht="12.75" customHeight="1">
      <c r="A151" s="6">
        <f>MAX(A$13:A149)+1</f>
        <v>69</v>
      </c>
      <c r="B151" s="6"/>
      <c r="D151" s="52" t="s">
        <v>270</v>
      </c>
      <c r="F151" s="270" t="s">
        <v>525</v>
      </c>
      <c r="H151" s="104">
        <v>18.343372330048751</v>
      </c>
      <c r="I151" s="104"/>
      <c r="J151" s="104">
        <f t="shared" si="7"/>
        <v>1.4000000000002899E-3</v>
      </c>
      <c r="K151" s="104"/>
      <c r="L151" s="104">
        <v>18.344763020650749</v>
      </c>
      <c r="N151" s="104">
        <v>5.2284597971879704E-2</v>
      </c>
      <c r="O151" s="104"/>
      <c r="P151" s="104">
        <v>18.292478422678869</v>
      </c>
      <c r="Q151" s="104"/>
      <c r="R151" s="104"/>
      <c r="S151" s="104"/>
      <c r="V151" s="284"/>
      <c r="AC151" s="109"/>
      <c r="AD151" s="109"/>
      <c r="AE151" s="109"/>
      <c r="AF151" s="109"/>
      <c r="AG151" s="109"/>
      <c r="AH151" s="109"/>
    </row>
    <row r="152" spans="1:34" ht="12.75" customHeight="1">
      <c r="N152" s="104"/>
      <c r="O152" s="104"/>
      <c r="P152" s="104"/>
      <c r="Q152" s="104"/>
      <c r="R152" s="104"/>
      <c r="S152" s="104"/>
      <c r="AC152" s="109"/>
      <c r="AD152" s="109"/>
      <c r="AE152" s="109"/>
      <c r="AF152" s="109"/>
      <c r="AG152" s="109"/>
      <c r="AH152" s="109"/>
    </row>
    <row r="153" spans="1:34" ht="12.75" customHeight="1">
      <c r="D153" s="243" t="s">
        <v>135</v>
      </c>
      <c r="N153" s="104"/>
      <c r="O153" s="104"/>
      <c r="P153" s="104"/>
      <c r="Q153" s="104"/>
      <c r="R153" s="104"/>
      <c r="S153" s="104"/>
      <c r="AC153" s="109"/>
      <c r="AD153" s="109"/>
      <c r="AE153" s="109"/>
      <c r="AF153" s="109"/>
      <c r="AG153" s="109"/>
      <c r="AH153" s="109"/>
    </row>
    <row r="154" spans="1:34" ht="12.75" customHeight="1">
      <c r="A154" s="6">
        <f>MAX(A$13:A153)+1</f>
        <v>70</v>
      </c>
      <c r="B154" s="6"/>
      <c r="D154" s="13" t="s">
        <v>258</v>
      </c>
      <c r="F154" s="51" t="s">
        <v>523</v>
      </c>
      <c r="H154" s="330">
        <v>305.5481997087212</v>
      </c>
      <c r="I154" s="330"/>
      <c r="J154" s="330">
        <f t="shared" ref="J154:J164" si="8">ROUND(L154,4)-ROUND(H154,4)</f>
        <v>8.3491999999999962</v>
      </c>
      <c r="K154" s="330"/>
      <c r="L154" s="330">
        <v>313.89739181739697</v>
      </c>
      <c r="M154" s="331"/>
      <c r="N154" s="330">
        <v>313.89739181739697</v>
      </c>
      <c r="O154" s="104"/>
      <c r="P154" s="275">
        <v>0</v>
      </c>
      <c r="Q154" s="104"/>
      <c r="R154" s="104"/>
      <c r="S154" s="104"/>
      <c r="V154" s="284"/>
      <c r="AC154" s="109"/>
      <c r="AD154" s="109"/>
      <c r="AE154" s="109"/>
      <c r="AF154" s="109"/>
      <c r="AG154" s="109"/>
      <c r="AH154" s="109"/>
    </row>
    <row r="155" spans="1:34" ht="12.75" customHeight="1">
      <c r="A155" s="6">
        <f>MAX(A$13:A154)+1</f>
        <v>71</v>
      </c>
      <c r="B155" s="6"/>
      <c r="D155" s="136" t="s">
        <v>280</v>
      </c>
      <c r="F155" s="51" t="s">
        <v>540</v>
      </c>
      <c r="H155" s="102">
        <v>4.4945119394531865</v>
      </c>
      <c r="I155" s="102"/>
      <c r="J155" s="102">
        <f t="shared" si="8"/>
        <v>0.1227999999999998</v>
      </c>
      <c r="K155" s="102"/>
      <c r="L155" s="102">
        <v>4.6173257660540461</v>
      </c>
      <c r="M155" s="102"/>
      <c r="N155" s="102">
        <v>4.6173257660540461</v>
      </c>
      <c r="O155" s="102"/>
      <c r="P155" s="275">
        <v>0</v>
      </c>
      <c r="Q155" s="104"/>
      <c r="R155" s="104"/>
      <c r="S155" s="104"/>
      <c r="V155" s="284"/>
      <c r="AC155" s="109"/>
      <c r="AD155" s="109"/>
      <c r="AE155" s="109"/>
      <c r="AF155" s="109"/>
      <c r="AG155" s="109"/>
      <c r="AH155" s="109"/>
    </row>
    <row r="156" spans="1:34" ht="12.75" customHeight="1">
      <c r="A156" s="6"/>
      <c r="B156" s="6"/>
      <c r="D156" s="136" t="s">
        <v>260</v>
      </c>
      <c r="H156" s="102"/>
      <c r="I156" s="102"/>
      <c r="J156" s="102"/>
      <c r="K156" s="102"/>
      <c r="L156" s="102"/>
      <c r="M156" s="102"/>
      <c r="N156" s="102"/>
      <c r="O156" s="102"/>
      <c r="P156" s="102"/>
      <c r="Q156" s="104"/>
      <c r="R156" s="104"/>
      <c r="S156" s="104"/>
      <c r="V156" s="284"/>
      <c r="AC156" s="109"/>
      <c r="AD156" s="109"/>
      <c r="AE156" s="109"/>
      <c r="AF156" s="109"/>
      <c r="AG156" s="109"/>
      <c r="AH156" s="109"/>
    </row>
    <row r="157" spans="1:34" ht="12.75" customHeight="1">
      <c r="A157" s="6">
        <f>MAX(A$13:A155)+1</f>
        <v>72</v>
      </c>
      <c r="B157" s="6"/>
      <c r="D157" s="136" t="s">
        <v>546</v>
      </c>
      <c r="F157" s="51" t="s">
        <v>525</v>
      </c>
      <c r="H157" s="102">
        <v>0.59804635914981807</v>
      </c>
      <c r="I157" s="102"/>
      <c r="J157" s="102">
        <f t="shared" si="8"/>
        <v>-0.15619999999999995</v>
      </c>
      <c r="K157" s="102"/>
      <c r="L157" s="102">
        <v>0.44179835308972665</v>
      </c>
      <c r="M157" s="102"/>
      <c r="N157" s="102">
        <v>0.11361737963193511</v>
      </c>
      <c r="O157" s="102"/>
      <c r="P157" s="102">
        <v>0.32818097345779162</v>
      </c>
      <c r="Q157" s="104"/>
      <c r="R157" s="104"/>
      <c r="S157" s="104"/>
      <c r="V157" s="284"/>
      <c r="AC157" s="109"/>
      <c r="AD157" s="109"/>
      <c r="AE157" s="109"/>
      <c r="AF157" s="109"/>
      <c r="AG157" s="109"/>
      <c r="AH157" s="109"/>
    </row>
    <row r="158" spans="1:34" ht="12.75" customHeight="1">
      <c r="A158" s="6">
        <f>MAX(A$13:A157)+1</f>
        <v>73</v>
      </c>
      <c r="B158" s="6"/>
      <c r="D158" s="52" t="s">
        <v>547</v>
      </c>
      <c r="F158" s="51" t="s">
        <v>525</v>
      </c>
      <c r="H158" s="102">
        <v>0.39401422289777976</v>
      </c>
      <c r="I158" s="102"/>
      <c r="J158" s="102">
        <f t="shared" si="8"/>
        <v>4.7800000000000009E-2</v>
      </c>
      <c r="K158" s="102"/>
      <c r="L158" s="102">
        <v>0.44179873264251834</v>
      </c>
      <c r="M158" s="102"/>
      <c r="N158" s="102">
        <v>0.11361737963193508</v>
      </c>
      <c r="O158" s="102"/>
      <c r="P158" s="102">
        <v>0.32818135301058327</v>
      </c>
      <c r="Q158" s="104"/>
      <c r="R158" s="104"/>
      <c r="S158" s="104"/>
      <c r="V158" s="284"/>
      <c r="AC158" s="109"/>
      <c r="AD158" s="109"/>
      <c r="AE158" s="109"/>
      <c r="AF158" s="109"/>
      <c r="AG158" s="109"/>
      <c r="AH158" s="109"/>
    </row>
    <row r="159" spans="1:34" ht="12.75" customHeight="1">
      <c r="A159" s="6"/>
      <c r="B159" s="6"/>
      <c r="H159" s="104"/>
      <c r="I159" s="104"/>
      <c r="J159" s="104"/>
      <c r="K159" s="104"/>
      <c r="L159" s="104"/>
      <c r="N159" s="104"/>
      <c r="O159" s="104"/>
      <c r="P159" s="104"/>
      <c r="Q159" s="104"/>
      <c r="R159" s="104"/>
      <c r="S159" s="104"/>
      <c r="V159" s="284"/>
      <c r="AC159" s="109"/>
      <c r="AD159" s="109"/>
      <c r="AE159" s="109"/>
      <c r="AF159" s="109"/>
      <c r="AG159" s="109"/>
      <c r="AH159" s="109"/>
    </row>
    <row r="160" spans="1:34" ht="12.75" customHeight="1">
      <c r="A160" s="6">
        <f>MAX(A$13:A158)+1</f>
        <v>74</v>
      </c>
      <c r="B160" s="6"/>
      <c r="D160" s="52" t="s">
        <v>529</v>
      </c>
      <c r="F160" s="51" t="s">
        <v>525</v>
      </c>
      <c r="H160" s="102">
        <v>0.24646816740977195</v>
      </c>
      <c r="I160" s="102"/>
      <c r="J160" s="102">
        <f t="shared" si="8"/>
        <v>1.7000000000000071E-3</v>
      </c>
      <c r="K160" s="102"/>
      <c r="L160" s="102">
        <v>0.24819526190354599</v>
      </c>
      <c r="M160" s="102"/>
      <c r="N160" s="102">
        <v>0.1401646491465087</v>
      </c>
      <c r="O160" s="102"/>
      <c r="P160" s="102">
        <v>0.10803061275703732</v>
      </c>
      <c r="Q160" s="104"/>
      <c r="R160" s="104"/>
      <c r="S160" s="104"/>
      <c r="V160" s="284"/>
      <c r="AC160" s="109"/>
      <c r="AD160" s="109"/>
      <c r="AE160" s="117"/>
      <c r="AF160" s="109"/>
      <c r="AG160" s="109"/>
      <c r="AH160" s="109"/>
    </row>
    <row r="161" spans="1:34" ht="12.75" customHeight="1">
      <c r="A161" s="6">
        <f>MAX(A$13:A160)+1</f>
        <v>75</v>
      </c>
      <c r="B161" s="6"/>
      <c r="D161" s="52" t="s">
        <v>268</v>
      </c>
      <c r="F161" s="51" t="s">
        <v>525</v>
      </c>
      <c r="H161" s="102">
        <v>3.9267445962601735</v>
      </c>
      <c r="I161" s="102"/>
      <c r="J161" s="102">
        <f t="shared" si="8"/>
        <v>2.0999999999999908E-3</v>
      </c>
      <c r="K161" s="102"/>
      <c r="L161" s="102">
        <v>3.9288009312944969</v>
      </c>
      <c r="M161" s="102"/>
      <c r="N161" s="102">
        <v>7.7310258953801461E-2</v>
      </c>
      <c r="O161" s="102"/>
      <c r="P161" s="102">
        <v>3.8514906723406952</v>
      </c>
      <c r="Q161" s="104"/>
      <c r="R161" s="104"/>
      <c r="S161" s="104"/>
      <c r="V161" s="284"/>
      <c r="AC161" s="109"/>
      <c r="AD161" s="109"/>
      <c r="AE161" s="117"/>
      <c r="AF161" s="109"/>
      <c r="AG161" s="109"/>
      <c r="AH161" s="109"/>
    </row>
    <row r="162" spans="1:34" ht="12.75" customHeight="1">
      <c r="A162" s="6">
        <f>MAX(A$13:A161)+1</f>
        <v>76</v>
      </c>
      <c r="B162" s="6"/>
      <c r="D162" s="52" t="s">
        <v>269</v>
      </c>
      <c r="F162" s="51" t="s">
        <v>525</v>
      </c>
      <c r="H162" s="102">
        <v>0.96972043047287659</v>
      </c>
      <c r="I162" s="102"/>
      <c r="J162" s="102">
        <f t="shared" si="8"/>
        <v>1.639999999999997E-2</v>
      </c>
      <c r="K162" s="102"/>
      <c r="L162" s="102">
        <v>0.98605540106342371</v>
      </c>
      <c r="M162" s="102"/>
      <c r="N162" s="102">
        <v>0.6141318341996902</v>
      </c>
      <c r="O162" s="102"/>
      <c r="P162" s="102">
        <v>0.3719235668637334</v>
      </c>
      <c r="Q162" s="104"/>
      <c r="R162" s="104"/>
      <c r="S162" s="104"/>
      <c r="V162" s="284"/>
      <c r="AC162" s="109"/>
      <c r="AD162" s="109"/>
      <c r="AE162" s="109"/>
      <c r="AF162" s="109"/>
      <c r="AG162" s="109"/>
      <c r="AH162" s="109"/>
    </row>
    <row r="163" spans="1:34" ht="12.75" customHeight="1">
      <c r="A163" s="6"/>
      <c r="B163" s="6"/>
      <c r="D163" s="52"/>
      <c r="F163" s="51"/>
      <c r="H163" s="102"/>
      <c r="I163" s="102"/>
      <c r="J163" s="102"/>
      <c r="K163" s="102"/>
      <c r="L163" s="102"/>
      <c r="M163" s="102"/>
      <c r="N163" s="102"/>
      <c r="O163" s="102"/>
      <c r="P163" s="102"/>
      <c r="Q163" s="104"/>
      <c r="R163" s="104"/>
      <c r="S163" s="104"/>
      <c r="V163" s="284"/>
      <c r="AC163" s="109"/>
      <c r="AD163" s="109"/>
      <c r="AE163" s="109"/>
      <c r="AF163" s="109"/>
      <c r="AG163" s="109"/>
      <c r="AH163" s="109"/>
    </row>
    <row r="164" spans="1:34" ht="12.75" customHeight="1">
      <c r="A164" s="6">
        <f>MAX(A$13:A162)+1</f>
        <v>77</v>
      </c>
      <c r="B164" s="6"/>
      <c r="D164" s="52" t="s">
        <v>270</v>
      </c>
      <c r="F164" s="51" t="s">
        <v>525</v>
      </c>
      <c r="H164" s="102">
        <v>18.339431198808857</v>
      </c>
      <c r="I164" s="102"/>
      <c r="J164" s="102">
        <f t="shared" si="8"/>
        <v>1.2999999999969702E-3</v>
      </c>
      <c r="K164" s="102"/>
      <c r="L164" s="102">
        <v>18.340713338889561</v>
      </c>
      <c r="M164" s="102"/>
      <c r="N164" s="102">
        <v>4.8203517422818885E-2</v>
      </c>
      <c r="O164" s="102"/>
      <c r="P164" s="102">
        <v>18.292509821466741</v>
      </c>
      <c r="Q164" s="104"/>
      <c r="R164" s="104"/>
      <c r="S164" s="104"/>
      <c r="V164" s="284"/>
      <c r="AC164" s="109"/>
      <c r="AD164" s="109"/>
      <c r="AE164" s="109"/>
      <c r="AF164" s="109"/>
      <c r="AG164" s="109"/>
      <c r="AH164" s="109"/>
    </row>
    <row r="165" spans="1:34" ht="12.75" customHeight="1">
      <c r="N165" s="124"/>
      <c r="O165" s="124"/>
      <c r="P165" s="124"/>
      <c r="AC165" s="109"/>
      <c r="AD165" s="109"/>
      <c r="AE165" s="109"/>
      <c r="AF165" s="109"/>
      <c r="AG165" s="109"/>
      <c r="AH165" s="109"/>
    </row>
    <row r="166" spans="1:34" ht="12.75" customHeight="1">
      <c r="D166" s="243" t="s">
        <v>136</v>
      </c>
      <c r="N166" s="124"/>
      <c r="O166" s="124"/>
      <c r="P166" s="124"/>
      <c r="AC166" s="109"/>
      <c r="AD166" s="109"/>
      <c r="AE166" s="109"/>
      <c r="AF166" s="109"/>
      <c r="AG166" s="109"/>
      <c r="AH166" s="109"/>
    </row>
    <row r="167" spans="1:34" ht="12.75" customHeight="1">
      <c r="A167" s="6">
        <f>MAX(A$13:A166)+1</f>
        <v>78</v>
      </c>
      <c r="B167" s="6"/>
      <c r="D167" s="13" t="s">
        <v>258</v>
      </c>
      <c r="F167" s="51" t="s">
        <v>523</v>
      </c>
      <c r="H167" s="330">
        <v>2000</v>
      </c>
      <c r="I167" s="330"/>
      <c r="J167" s="330">
        <f t="shared" ref="J167:J175" si="9">ROUND(L167,4)-ROUND(H167,4)</f>
        <v>0</v>
      </c>
      <c r="K167" s="330"/>
      <c r="L167" s="330">
        <v>2000</v>
      </c>
      <c r="M167" s="331"/>
      <c r="N167" s="330">
        <v>2000</v>
      </c>
      <c r="O167" s="124"/>
      <c r="P167" s="275">
        <v>0</v>
      </c>
      <c r="Q167" s="104"/>
      <c r="R167" s="104"/>
      <c r="S167" s="104"/>
      <c r="V167" s="284"/>
      <c r="AC167" s="109"/>
      <c r="AD167" s="109"/>
      <c r="AE167" s="109"/>
      <c r="AF167" s="109"/>
      <c r="AG167" s="109"/>
      <c r="AH167" s="109"/>
    </row>
    <row r="168" spans="1:34" ht="12.75" customHeight="1">
      <c r="A168" s="6">
        <f>MAX(A$13:A167)+1</f>
        <v>79</v>
      </c>
      <c r="B168" s="6"/>
      <c r="D168" s="136" t="s">
        <v>280</v>
      </c>
      <c r="F168" s="51" t="s">
        <v>540</v>
      </c>
      <c r="H168" s="102">
        <v>16.259208437643476</v>
      </c>
      <c r="I168" s="102"/>
      <c r="J168" s="102">
        <f t="shared" si="9"/>
        <v>0.44429999999999836</v>
      </c>
      <c r="K168" s="102"/>
      <c r="L168" s="102">
        <v>16.703495967107891</v>
      </c>
      <c r="M168" s="102"/>
      <c r="N168" s="102">
        <v>16.703495967107891</v>
      </c>
      <c r="O168" s="124"/>
      <c r="P168" s="275">
        <v>0</v>
      </c>
      <c r="Q168" s="104"/>
      <c r="R168" s="104"/>
      <c r="S168" s="104"/>
      <c r="V168" s="284"/>
      <c r="AC168" s="109"/>
      <c r="AD168" s="109"/>
      <c r="AE168" s="109"/>
      <c r="AF168" s="109"/>
      <c r="AG168" s="109"/>
      <c r="AH168" s="109"/>
    </row>
    <row r="169" spans="1:34" ht="12.75" customHeight="1">
      <c r="A169" s="6">
        <f>MAX(A$13:A168)+1</f>
        <v>80</v>
      </c>
      <c r="B169" s="6"/>
      <c r="D169" s="136" t="s">
        <v>260</v>
      </c>
      <c r="F169" s="51" t="s">
        <v>525</v>
      </c>
      <c r="H169" s="102">
        <v>1.3602427937070853</v>
      </c>
      <c r="I169" s="102"/>
      <c r="J169" s="102">
        <f t="shared" si="9"/>
        <v>3.0599999999999961E-2</v>
      </c>
      <c r="K169" s="102"/>
      <c r="L169" s="102">
        <v>1.3908498618995724</v>
      </c>
      <c r="M169" s="102"/>
      <c r="N169" s="102">
        <v>0.60465354386837489</v>
      </c>
      <c r="O169" s="102"/>
      <c r="P169" s="102">
        <v>0.78619631803119749</v>
      </c>
      <c r="Q169" s="104"/>
      <c r="R169" s="104"/>
      <c r="S169" s="104"/>
      <c r="V169" s="284"/>
      <c r="AC169" s="109"/>
      <c r="AD169" s="109"/>
      <c r="AE169" s="109"/>
      <c r="AF169" s="109"/>
      <c r="AG169" s="109"/>
      <c r="AH169" s="109"/>
    </row>
    <row r="170" spans="1:34" ht="12.75" customHeight="1">
      <c r="A170" s="6"/>
      <c r="B170" s="6"/>
      <c r="H170" s="104"/>
      <c r="I170" s="104"/>
      <c r="J170" s="104"/>
      <c r="K170" s="104"/>
      <c r="L170" s="104"/>
      <c r="M170" s="104"/>
      <c r="N170" s="104"/>
      <c r="O170" s="104"/>
      <c r="P170" s="104"/>
      <c r="Q170" s="104"/>
      <c r="R170" s="104"/>
      <c r="S170" s="104"/>
      <c r="V170" s="284"/>
      <c r="AC170" s="109"/>
      <c r="AD170" s="109"/>
      <c r="AE170" s="109"/>
      <c r="AF170" s="109"/>
      <c r="AG170" s="109"/>
      <c r="AH170" s="109"/>
    </row>
    <row r="171" spans="1:34" ht="12.75" customHeight="1">
      <c r="A171" s="6">
        <f>MAX(A$13:A169)+1</f>
        <v>81</v>
      </c>
      <c r="B171" s="6"/>
      <c r="D171" s="52" t="s">
        <v>529</v>
      </c>
      <c r="F171" s="51" t="s">
        <v>525</v>
      </c>
      <c r="H171" s="102">
        <v>1.1360059253757275</v>
      </c>
      <c r="I171" s="102"/>
      <c r="J171" s="102">
        <f t="shared" si="9"/>
        <v>8.0000000000000071E-3</v>
      </c>
      <c r="K171" s="102"/>
      <c r="L171" s="102">
        <v>1.1439814494885994</v>
      </c>
      <c r="M171" s="102"/>
      <c r="N171" s="102">
        <v>0.62817101000566555</v>
      </c>
      <c r="O171" s="102"/>
      <c r="P171" s="102">
        <v>0.51581043948293381</v>
      </c>
      <c r="Q171" s="104"/>
      <c r="R171" s="104"/>
      <c r="S171" s="104"/>
      <c r="V171" s="284"/>
      <c r="AC171" s="109"/>
      <c r="AD171" s="109"/>
      <c r="AE171" s="109"/>
      <c r="AF171" s="109"/>
      <c r="AG171" s="109"/>
      <c r="AH171" s="109"/>
    </row>
    <row r="172" spans="1:34" ht="12.75" customHeight="1">
      <c r="A172" s="6">
        <f>MAX(A$13:A171)+1</f>
        <v>82</v>
      </c>
      <c r="B172" s="6"/>
      <c r="D172" s="52" t="s">
        <v>268</v>
      </c>
      <c r="F172" s="51" t="s">
        <v>525</v>
      </c>
      <c r="H172" s="102">
        <v>3.9267443834816063</v>
      </c>
      <c r="I172" s="102"/>
      <c r="J172" s="102">
        <f t="shared" si="9"/>
        <v>2.0999999999999908E-3</v>
      </c>
      <c r="K172" s="102"/>
      <c r="L172" s="102">
        <v>3.9288005528504462</v>
      </c>
      <c r="M172" s="102"/>
      <c r="N172" s="102">
        <v>7.7304030571152343E-2</v>
      </c>
      <c r="O172" s="102"/>
      <c r="P172" s="102">
        <v>3.8514965222792936</v>
      </c>
      <c r="Q172" s="104"/>
      <c r="R172" s="104"/>
      <c r="S172" s="104"/>
      <c r="V172" s="284"/>
      <c r="AC172" s="109"/>
      <c r="AD172" s="109"/>
      <c r="AE172" s="109"/>
      <c r="AF172" s="109"/>
      <c r="AG172" s="109"/>
      <c r="AH172" s="109"/>
    </row>
    <row r="173" spans="1:34" ht="12.75" customHeight="1">
      <c r="A173" s="6">
        <f>MAX(A$13:A172)+1</f>
        <v>83</v>
      </c>
      <c r="B173" s="6"/>
      <c r="D173" s="52" t="s">
        <v>269</v>
      </c>
      <c r="F173" s="51" t="s">
        <v>525</v>
      </c>
      <c r="H173" s="102">
        <v>0.96972041146112009</v>
      </c>
      <c r="I173" s="102"/>
      <c r="J173" s="102">
        <f t="shared" si="9"/>
        <v>1.639999999999997E-2</v>
      </c>
      <c r="K173" s="102"/>
      <c r="L173" s="102">
        <v>0.98605537600198345</v>
      </c>
      <c r="M173" s="102"/>
      <c r="N173" s="102">
        <v>0.61413160675493972</v>
      </c>
      <c r="O173" s="102"/>
      <c r="P173" s="102">
        <v>0.37192376924704373</v>
      </c>
      <c r="Q173" s="104"/>
      <c r="R173" s="104"/>
      <c r="S173" s="104"/>
      <c r="V173" s="284"/>
      <c r="AC173" s="109"/>
      <c r="AD173" s="109"/>
      <c r="AE173" s="109"/>
      <c r="AF173" s="109"/>
      <c r="AG173" s="109"/>
      <c r="AH173" s="109"/>
    </row>
    <row r="174" spans="1:34" ht="12.75" customHeight="1">
      <c r="A174" s="6"/>
      <c r="B174" s="6"/>
      <c r="D174" s="52"/>
      <c r="F174" s="51"/>
      <c r="H174" s="102"/>
      <c r="I174" s="102"/>
      <c r="J174" s="102"/>
      <c r="K174" s="102"/>
      <c r="L174" s="102"/>
      <c r="M174" s="102"/>
      <c r="N174" s="102"/>
      <c r="O174" s="102"/>
      <c r="P174" s="102"/>
      <c r="Q174" s="104"/>
      <c r="R174" s="104"/>
      <c r="S174" s="104"/>
      <c r="V174" s="284"/>
      <c r="AC174" s="109"/>
      <c r="AD174" s="109"/>
      <c r="AE174" s="109"/>
      <c r="AF174" s="109"/>
      <c r="AG174" s="109"/>
      <c r="AH174" s="109"/>
    </row>
    <row r="175" spans="1:34" ht="12.75" customHeight="1">
      <c r="A175" s="6">
        <f>MAX(A$13:A173)+1</f>
        <v>84</v>
      </c>
      <c r="B175" s="6"/>
      <c r="D175" s="52" t="s">
        <v>270</v>
      </c>
      <c r="F175" s="51" t="s">
        <v>525</v>
      </c>
      <c r="H175" s="102">
        <v>18.339330746597561</v>
      </c>
      <c r="I175" s="102"/>
      <c r="J175" s="102">
        <f t="shared" si="9"/>
        <v>1.2999999999969702E-3</v>
      </c>
      <c r="K175" s="102"/>
      <c r="L175" s="102">
        <v>18.340612742781236</v>
      </c>
      <c r="M175" s="102"/>
      <c r="N175" s="102">
        <v>4.8198107450143773E-2</v>
      </c>
      <c r="O175" s="102"/>
      <c r="P175" s="102">
        <v>18.292414635331099</v>
      </c>
      <c r="Q175" s="104"/>
      <c r="R175" s="104"/>
      <c r="S175" s="104"/>
      <c r="V175" s="284"/>
      <c r="AC175" s="109"/>
      <c r="AD175" s="109"/>
      <c r="AE175" s="109"/>
      <c r="AF175" s="109"/>
      <c r="AG175" s="109"/>
      <c r="AH175" s="109"/>
    </row>
    <row r="176" spans="1:34" ht="12.75" customHeight="1">
      <c r="A176" s="6"/>
      <c r="B176" s="6"/>
      <c r="H176" s="102"/>
      <c r="I176" s="102"/>
      <c r="J176" s="102"/>
      <c r="K176" s="102"/>
      <c r="L176" s="102"/>
      <c r="M176" s="102"/>
      <c r="N176" s="102"/>
      <c r="O176" s="102"/>
      <c r="P176" s="102"/>
      <c r="Q176" s="104"/>
      <c r="R176" s="104"/>
      <c r="S176" s="104"/>
      <c r="V176" s="284"/>
      <c r="AC176" s="109"/>
      <c r="AD176" s="109"/>
      <c r="AE176" s="109"/>
      <c r="AF176" s="109"/>
      <c r="AG176" s="109"/>
      <c r="AH176" s="109"/>
    </row>
    <row r="177" spans="1:34" ht="12.75" customHeight="1">
      <c r="A177" s="6"/>
      <c r="B177" s="6"/>
      <c r="H177" s="102"/>
      <c r="I177" s="102"/>
      <c r="J177" s="102"/>
      <c r="K177" s="102"/>
      <c r="L177" s="102"/>
      <c r="M177" s="102"/>
      <c r="N177" s="102"/>
      <c r="O177" s="102"/>
      <c r="P177" s="102"/>
      <c r="Q177" s="104"/>
      <c r="R177" s="104"/>
      <c r="S177" s="104"/>
      <c r="V177" s="284"/>
      <c r="AC177" s="109"/>
      <c r="AD177" s="109"/>
      <c r="AE177" s="109"/>
      <c r="AF177" s="109"/>
      <c r="AG177" s="109"/>
      <c r="AH177" s="109"/>
    </row>
    <row r="178" spans="1:34" ht="12.75" customHeight="1">
      <c r="A178" s="6"/>
      <c r="B178" s="6"/>
      <c r="H178" s="102"/>
      <c r="I178" s="102"/>
      <c r="J178" s="102"/>
      <c r="K178" s="102"/>
      <c r="L178" s="102"/>
      <c r="M178" s="102"/>
      <c r="N178" s="102"/>
      <c r="O178" s="102"/>
      <c r="P178" s="102"/>
      <c r="Q178" s="104"/>
      <c r="R178" s="104"/>
      <c r="S178" s="104"/>
      <c r="V178" s="284"/>
      <c r="AC178" s="109"/>
      <c r="AD178" s="109"/>
      <c r="AE178" s="109"/>
      <c r="AF178" s="109"/>
      <c r="AG178" s="109"/>
      <c r="AH178" s="109"/>
    </row>
    <row r="179" spans="1:34" ht="12.75" customHeight="1">
      <c r="A179" s="6"/>
      <c r="B179" s="6"/>
      <c r="H179" s="102"/>
      <c r="I179" s="102"/>
      <c r="J179" s="102"/>
      <c r="K179" s="102"/>
      <c r="L179" s="102"/>
      <c r="M179" s="102"/>
      <c r="N179" s="102"/>
      <c r="O179" s="102"/>
      <c r="P179" s="102"/>
      <c r="Q179" s="104"/>
      <c r="R179" s="104"/>
      <c r="S179" s="104"/>
      <c r="V179" s="284"/>
      <c r="AC179" s="109"/>
      <c r="AD179" s="109"/>
      <c r="AE179" s="109"/>
      <c r="AF179" s="109"/>
      <c r="AG179" s="109"/>
      <c r="AH179" s="109"/>
    </row>
    <row r="180" spans="1:34" ht="12.75" customHeight="1">
      <c r="A180" s="6"/>
      <c r="B180" s="6"/>
      <c r="H180" s="102"/>
      <c r="I180" s="102"/>
      <c r="J180" s="102"/>
      <c r="K180" s="102"/>
      <c r="L180" s="102"/>
      <c r="M180" s="102"/>
      <c r="N180" s="102"/>
      <c r="O180" s="102"/>
      <c r="P180" s="102"/>
      <c r="Q180" s="104"/>
      <c r="R180" s="104"/>
      <c r="S180" s="104"/>
      <c r="V180" s="284"/>
      <c r="AC180" s="109"/>
      <c r="AD180" s="109"/>
      <c r="AE180" s="109"/>
      <c r="AF180" s="109"/>
      <c r="AG180" s="109"/>
      <c r="AH180" s="109"/>
    </row>
    <row r="181" spans="1:34" ht="12.75" customHeight="1">
      <c r="A181" s="6"/>
      <c r="B181" s="6"/>
      <c r="H181" s="102"/>
      <c r="I181" s="102"/>
      <c r="J181" s="102"/>
      <c r="K181" s="102"/>
      <c r="L181" s="102"/>
      <c r="M181" s="102"/>
      <c r="N181" s="102"/>
      <c r="O181" s="102"/>
      <c r="P181" s="102"/>
      <c r="Q181" s="104"/>
      <c r="R181" s="104"/>
      <c r="S181" s="104"/>
      <c r="V181" s="284"/>
      <c r="AC181" s="109"/>
      <c r="AD181" s="109"/>
      <c r="AE181" s="109"/>
      <c r="AF181" s="109"/>
      <c r="AG181" s="109"/>
      <c r="AH181" s="109"/>
    </row>
    <row r="182" spans="1:34" ht="12.75" customHeight="1">
      <c r="A182" s="1163"/>
      <c r="B182" s="1163"/>
      <c r="C182" s="1163"/>
      <c r="D182" s="1206"/>
      <c r="E182" s="1206"/>
      <c r="F182" s="1206"/>
      <c r="G182" s="1206"/>
      <c r="H182" s="1206"/>
      <c r="I182" s="1206"/>
      <c r="J182" s="1206"/>
      <c r="K182" s="1206"/>
      <c r="L182" s="1206"/>
      <c r="M182" s="1206"/>
      <c r="N182" s="1206"/>
      <c r="O182" s="1206"/>
      <c r="P182" s="1206"/>
      <c r="Q182" s="104"/>
      <c r="R182" s="104"/>
      <c r="S182" s="104"/>
      <c r="V182" s="284"/>
      <c r="AC182" s="109"/>
      <c r="AD182" s="109"/>
      <c r="AE182" s="109"/>
      <c r="AF182" s="109"/>
      <c r="AG182" s="109"/>
      <c r="AH182" s="109"/>
    </row>
    <row r="183" spans="1:34" ht="12.75" customHeight="1">
      <c r="A183" s="1163" t="s">
        <v>543</v>
      </c>
      <c r="B183" s="1163"/>
      <c r="C183" s="1163"/>
      <c r="D183" s="1206"/>
      <c r="E183" s="1206"/>
      <c r="F183" s="1206"/>
      <c r="G183" s="1206"/>
      <c r="H183" s="1206"/>
      <c r="I183" s="1206"/>
      <c r="J183" s="1206"/>
      <c r="K183" s="1206"/>
      <c r="L183" s="1206"/>
      <c r="M183" s="1206"/>
      <c r="N183" s="1206"/>
      <c r="O183" s="1206"/>
      <c r="P183" s="1206"/>
      <c r="Q183" s="104"/>
      <c r="R183" s="104"/>
      <c r="S183" s="104"/>
      <c r="V183" s="284"/>
      <c r="AC183" s="109"/>
      <c r="AD183" s="109"/>
      <c r="AE183" s="109"/>
      <c r="AF183" s="109"/>
      <c r="AG183" s="109"/>
      <c r="AH183" s="109"/>
    </row>
    <row r="184" spans="1:34" ht="12.75" customHeight="1">
      <c r="A184" s="1162" t="s">
        <v>125</v>
      </c>
      <c r="B184" s="1206"/>
      <c r="C184" s="1206"/>
      <c r="D184" s="1206"/>
      <c r="E184" s="1206"/>
      <c r="F184" s="1206"/>
      <c r="G184" s="1206"/>
      <c r="H184" s="1206"/>
      <c r="I184" s="1206"/>
      <c r="J184" s="1206"/>
      <c r="K184" s="1206"/>
      <c r="L184" s="1206"/>
      <c r="M184" s="1206"/>
      <c r="N184" s="1206"/>
      <c r="O184" s="1206"/>
      <c r="P184" s="1206"/>
      <c r="Q184" s="104"/>
      <c r="R184" s="104"/>
      <c r="S184" s="104"/>
      <c r="V184" s="284"/>
      <c r="AC184" s="109"/>
      <c r="AD184" s="109"/>
      <c r="AE184" s="109"/>
      <c r="AF184" s="109"/>
      <c r="AG184" s="109"/>
      <c r="AH184" s="109"/>
    </row>
    <row r="185" spans="1:34" ht="12.75" customHeight="1">
      <c r="N185" s="124"/>
      <c r="O185" s="124"/>
      <c r="P185" s="124"/>
      <c r="Q185" s="104"/>
      <c r="R185" s="104"/>
      <c r="S185" s="104"/>
      <c r="V185" s="284"/>
      <c r="AC185" s="109"/>
      <c r="AD185" s="109"/>
      <c r="AE185" s="109"/>
      <c r="AF185" s="109"/>
      <c r="AG185" s="109"/>
      <c r="AH185" s="109"/>
    </row>
    <row r="186" spans="1:34" ht="12.75" customHeight="1">
      <c r="G186" s="55"/>
      <c r="H186" s="2"/>
      <c r="I186" s="2"/>
      <c r="J186" s="2"/>
      <c r="K186" s="2"/>
      <c r="L186" s="2"/>
      <c r="M186" s="2"/>
      <c r="N186" s="1160" t="s">
        <v>514</v>
      </c>
      <c r="O186" s="1160"/>
      <c r="P186" s="1160"/>
      <c r="Q186" s="104"/>
      <c r="R186" s="104"/>
      <c r="S186" s="104"/>
      <c r="V186" s="284"/>
      <c r="AC186" s="109"/>
      <c r="AD186" s="109"/>
      <c r="AE186" s="109"/>
      <c r="AF186" s="109"/>
      <c r="AG186" s="109"/>
      <c r="AH186" s="109"/>
    </row>
    <row r="187" spans="1:34" ht="12.75" customHeight="1">
      <c r="G187" s="282"/>
      <c r="H187" s="6"/>
      <c r="I187" s="57"/>
      <c r="J187" s="1164" t="s">
        <v>515</v>
      </c>
      <c r="K187" s="1164"/>
      <c r="L187" s="1164"/>
      <c r="N187" s="1161"/>
      <c r="O187" s="1161"/>
      <c r="P187" s="1161"/>
      <c r="Q187" s="104"/>
      <c r="R187" s="104"/>
      <c r="S187" s="104"/>
      <c r="V187" s="284"/>
      <c r="AC187" s="109"/>
      <c r="AD187" s="109"/>
      <c r="AE187" s="109"/>
      <c r="AF187" s="109"/>
      <c r="AG187" s="109"/>
      <c r="AH187" s="109"/>
    </row>
    <row r="188" spans="1:34" ht="12.75" customHeight="1">
      <c r="A188" s="51" t="s">
        <v>56</v>
      </c>
      <c r="C188" s="52"/>
      <c r="F188" s="55"/>
      <c r="G188" s="51"/>
      <c r="H188" s="6" t="s">
        <v>93</v>
      </c>
      <c r="I188" s="57"/>
      <c r="J188" s="1" t="s">
        <v>516</v>
      </c>
      <c r="K188" s="4"/>
      <c r="L188" s="6" t="s">
        <v>102</v>
      </c>
      <c r="N188" s="17"/>
      <c r="O188" s="17"/>
      <c r="P188" s="17"/>
      <c r="Q188" s="104"/>
      <c r="R188" s="104"/>
      <c r="S188" s="104"/>
      <c r="V188" s="284"/>
      <c r="AC188" s="109"/>
      <c r="AD188" s="109"/>
      <c r="AE188" s="109"/>
      <c r="AF188" s="109"/>
      <c r="AG188" s="109"/>
      <c r="AH188" s="109"/>
    </row>
    <row r="189" spans="1:34" ht="12.75" customHeight="1">
      <c r="A189" s="53" t="s">
        <v>57</v>
      </c>
      <c r="B189" s="55"/>
      <c r="C189" s="56"/>
      <c r="D189" s="54" t="s">
        <v>194</v>
      </c>
      <c r="F189" s="271" t="s">
        <v>245</v>
      </c>
      <c r="G189" s="55"/>
      <c r="H189" s="356" t="s">
        <v>235</v>
      </c>
      <c r="I189" s="17"/>
      <c r="J189" s="237" t="s">
        <v>517</v>
      </c>
      <c r="L189" s="356" t="s">
        <v>518</v>
      </c>
      <c r="N189" s="7" t="s">
        <v>6</v>
      </c>
      <c r="O189" s="1"/>
      <c r="P189" s="7" t="s">
        <v>519</v>
      </c>
      <c r="Q189" s="104"/>
      <c r="R189" s="104"/>
      <c r="S189" s="104"/>
      <c r="V189" s="284"/>
      <c r="AC189" s="109"/>
      <c r="AD189" s="109"/>
      <c r="AE189" s="109"/>
      <c r="AF189" s="109"/>
      <c r="AG189" s="109"/>
      <c r="AH189" s="109"/>
    </row>
    <row r="190" spans="1:34" ht="12.75" customHeight="1">
      <c r="F190" s="283"/>
      <c r="G190" s="55"/>
      <c r="H190" s="6" t="s">
        <v>520</v>
      </c>
      <c r="I190" s="6"/>
      <c r="J190" s="123" t="s">
        <v>521</v>
      </c>
      <c r="L190" s="6" t="s">
        <v>522</v>
      </c>
      <c r="N190" s="126" t="s">
        <v>12</v>
      </c>
      <c r="O190" s="125"/>
      <c r="P190" s="126" t="s">
        <v>13</v>
      </c>
      <c r="Q190" s="104"/>
      <c r="R190" s="104"/>
      <c r="S190" s="104"/>
      <c r="V190" s="284"/>
      <c r="AC190" s="109"/>
      <c r="AD190" s="109"/>
      <c r="AE190" s="109"/>
      <c r="AF190" s="109"/>
      <c r="AG190" s="109"/>
      <c r="AH190" s="109"/>
    </row>
    <row r="191" spans="1:34" ht="12.75" customHeight="1">
      <c r="A191" s="6"/>
      <c r="B191" s="6"/>
      <c r="D191" s="243" t="s">
        <v>137</v>
      </c>
      <c r="H191" s="102"/>
      <c r="I191" s="102"/>
      <c r="J191" s="102"/>
      <c r="K191" s="102"/>
      <c r="L191" s="102"/>
      <c r="M191" s="102"/>
      <c r="N191" s="102"/>
      <c r="O191" s="102"/>
      <c r="P191" s="102"/>
      <c r="Q191" s="104"/>
      <c r="R191" s="104"/>
      <c r="S191" s="104"/>
      <c r="V191" s="284"/>
      <c r="AC191" s="109"/>
      <c r="AD191" s="109"/>
      <c r="AE191" s="109"/>
      <c r="AF191" s="109"/>
      <c r="AG191" s="109"/>
      <c r="AH191" s="109"/>
    </row>
    <row r="192" spans="1:34" ht="12.75" customHeight="1">
      <c r="A192" s="6">
        <f>MAX(A$13:A191)+1</f>
        <v>85</v>
      </c>
      <c r="B192" s="6"/>
      <c r="D192" s="13" t="s">
        <v>258</v>
      </c>
      <c r="F192" s="51" t="s">
        <v>523</v>
      </c>
      <c r="H192" s="330">
        <v>546.96967474977816</v>
      </c>
      <c r="I192" s="330"/>
      <c r="J192" s="330">
        <f>L192-H192</f>
        <v>14.975136397135316</v>
      </c>
      <c r="K192" s="330"/>
      <c r="L192" s="330">
        <f>H192*('Sch. 17'!$E$40+1)</f>
        <v>561.94481114691348</v>
      </c>
      <c r="M192" s="331"/>
      <c r="N192" s="330">
        <f>L192</f>
        <v>561.94481114691348</v>
      </c>
      <c r="O192" s="102"/>
      <c r="P192" s="275">
        <f>N192-L192</f>
        <v>0</v>
      </c>
      <c r="Q192" s="104"/>
      <c r="R192" s="104"/>
      <c r="S192" s="104"/>
      <c r="V192" s="284"/>
      <c r="AC192" s="109"/>
      <c r="AD192" s="109"/>
      <c r="AE192" s="109"/>
      <c r="AF192" s="109"/>
      <c r="AG192" s="109"/>
      <c r="AH192" s="109"/>
    </row>
    <row r="193" spans="1:34" ht="12.75" customHeight="1">
      <c r="A193" s="6">
        <f>MAX(A$13:A192)+1</f>
        <v>86</v>
      </c>
      <c r="B193" s="6"/>
      <c r="D193" s="136" t="s">
        <v>280</v>
      </c>
      <c r="F193" s="51" t="s">
        <v>540</v>
      </c>
      <c r="H193" s="102">
        <v>26.375232474581111</v>
      </c>
      <c r="I193" s="102"/>
      <c r="J193" s="102">
        <f>L193-H193</f>
        <v>0.72211078976854282</v>
      </c>
      <c r="K193" s="102"/>
      <c r="L193" s="102">
        <f>H193*('Sch. 17'!$E$40+1)</f>
        <v>27.097343264349654</v>
      </c>
      <c r="M193" s="102"/>
      <c r="N193" s="102">
        <f>L193</f>
        <v>27.097343264349654</v>
      </c>
      <c r="O193" s="102"/>
      <c r="P193" s="275">
        <f>N193-L193</f>
        <v>0</v>
      </c>
      <c r="Q193" s="104"/>
      <c r="R193" s="104"/>
      <c r="S193" s="104"/>
      <c r="V193" s="284"/>
      <c r="AC193" s="109"/>
      <c r="AD193" s="109"/>
      <c r="AE193" s="109"/>
      <c r="AF193" s="109"/>
      <c r="AG193" s="109"/>
      <c r="AH193" s="109"/>
    </row>
    <row r="194" spans="1:34" ht="12.75" customHeight="1">
      <c r="A194" s="6"/>
      <c r="B194" s="6"/>
      <c r="D194" s="13" t="s">
        <v>548</v>
      </c>
      <c r="H194" s="102"/>
      <c r="I194" s="102"/>
      <c r="J194" s="102"/>
      <c r="K194" s="102"/>
      <c r="L194" s="102"/>
      <c r="M194" s="102"/>
      <c r="N194" s="102"/>
      <c r="O194" s="102"/>
      <c r="P194" s="275"/>
      <c r="Q194" s="104"/>
      <c r="R194" s="104"/>
      <c r="S194" s="104"/>
      <c r="V194" s="284"/>
      <c r="AC194" s="109"/>
      <c r="AD194" s="109"/>
      <c r="AE194" s="109"/>
      <c r="AF194" s="109"/>
      <c r="AG194" s="109"/>
      <c r="AH194" s="109"/>
    </row>
    <row r="195" spans="1:34" ht="12.75" customHeight="1">
      <c r="A195" s="6">
        <f>MAX(A$13:A194)+1</f>
        <v>87</v>
      </c>
      <c r="B195" s="6"/>
      <c r="D195" s="13" t="s">
        <v>549</v>
      </c>
      <c r="F195" s="51" t="s">
        <v>550</v>
      </c>
      <c r="H195" s="102">
        <v>0.4423629856311394</v>
      </c>
      <c r="I195" s="102"/>
      <c r="J195" s="102">
        <f>L195-H195</f>
        <v>1.2218597037508216E-2</v>
      </c>
      <c r="K195" s="102"/>
      <c r="L195" s="102">
        <f>((L101*12)/365)*1.2</f>
        <v>0.45458158266864762</v>
      </c>
      <c r="M195" s="102"/>
      <c r="N195" s="102">
        <f>L195</f>
        <v>0.45458158266864762</v>
      </c>
      <c r="O195" s="102"/>
      <c r="P195" s="275">
        <f>N195-L195</f>
        <v>0</v>
      </c>
      <c r="Q195" s="104"/>
      <c r="R195" s="104"/>
      <c r="S195" s="104"/>
      <c r="V195" s="284"/>
      <c r="AC195" s="109"/>
      <c r="AD195" s="109"/>
      <c r="AE195" s="109"/>
      <c r="AF195" s="109"/>
      <c r="AG195" s="109"/>
      <c r="AH195" s="109"/>
    </row>
    <row r="196" spans="1:34" ht="12.75" customHeight="1">
      <c r="A196" s="6">
        <f>MAX(A$13:A195)+1</f>
        <v>88</v>
      </c>
      <c r="B196" s="6"/>
      <c r="D196" s="13" t="s">
        <v>551</v>
      </c>
      <c r="F196" s="51" t="s">
        <v>550</v>
      </c>
      <c r="H196" s="102">
        <v>1.0405571168053918</v>
      </c>
      <c r="I196" s="102"/>
      <c r="J196" s="102">
        <f>L196-H196</f>
        <v>2.84887544456629E-2</v>
      </c>
      <c r="K196" s="102"/>
      <c r="L196" s="102">
        <f>((L193*12)/365)*1.2</f>
        <v>1.0690458712510547</v>
      </c>
      <c r="M196" s="102"/>
      <c r="N196" s="102">
        <f>L196</f>
        <v>1.0690458712510547</v>
      </c>
      <c r="O196" s="102"/>
      <c r="P196" s="275">
        <f>N196-L196</f>
        <v>0</v>
      </c>
      <c r="Q196" s="104"/>
      <c r="R196" s="104"/>
      <c r="S196" s="104"/>
      <c r="V196" s="284"/>
      <c r="AC196" s="109"/>
      <c r="AD196" s="109"/>
      <c r="AE196" s="109"/>
      <c r="AF196" s="109"/>
      <c r="AG196" s="109"/>
      <c r="AH196" s="109"/>
    </row>
    <row r="197" spans="1:34" ht="12.75" customHeight="1">
      <c r="A197" s="6"/>
      <c r="B197" s="6"/>
      <c r="H197" s="102"/>
      <c r="I197" s="102"/>
      <c r="J197" s="102"/>
      <c r="K197" s="102"/>
      <c r="L197" s="102"/>
      <c r="M197" s="102"/>
      <c r="N197" s="102"/>
      <c r="O197" s="102"/>
      <c r="P197" s="102"/>
      <c r="Q197" s="104"/>
      <c r="R197" s="104"/>
      <c r="S197" s="104"/>
      <c r="V197" s="284"/>
      <c r="AC197" s="109"/>
      <c r="AD197" s="109"/>
      <c r="AE197" s="109"/>
      <c r="AF197" s="109"/>
      <c r="AG197" s="109"/>
      <c r="AH197" s="109"/>
    </row>
    <row r="198" spans="1:34" ht="12.75" customHeight="1">
      <c r="A198" s="6"/>
      <c r="B198" s="6"/>
      <c r="D198" s="243" t="s">
        <v>552</v>
      </c>
      <c r="H198" s="102"/>
      <c r="I198" s="102"/>
      <c r="J198" s="102"/>
      <c r="K198" s="102"/>
      <c r="L198" s="102"/>
      <c r="M198" s="102"/>
      <c r="N198" s="102"/>
      <c r="O198" s="102"/>
      <c r="P198" s="102"/>
      <c r="Q198" s="104"/>
      <c r="R198" s="104"/>
      <c r="S198" s="104"/>
      <c r="V198" s="284"/>
      <c r="AC198" s="109"/>
      <c r="AD198" s="109"/>
      <c r="AE198" s="109"/>
      <c r="AF198" s="109"/>
      <c r="AG198" s="109"/>
      <c r="AH198" s="109"/>
    </row>
    <row r="199" spans="1:34" ht="12.75" customHeight="1">
      <c r="A199" s="6">
        <f>MAX(A$13:A198)+1</f>
        <v>89</v>
      </c>
      <c r="B199" s="6"/>
      <c r="D199" s="13" t="s">
        <v>258</v>
      </c>
      <c r="F199" s="51" t="s">
        <v>523</v>
      </c>
      <c r="H199" s="330">
        <v>164.09204</v>
      </c>
      <c r="I199" s="330"/>
      <c r="J199" s="330">
        <f>L199-H199</f>
        <v>4.4925720640880797</v>
      </c>
      <c r="K199" s="330"/>
      <c r="L199" s="330">
        <f>H199*('Sch. 17'!$E$40+1)</f>
        <v>168.58461206408808</v>
      </c>
      <c r="M199" s="331"/>
      <c r="N199" s="330">
        <f>L199</f>
        <v>168.58461206408808</v>
      </c>
      <c r="O199" s="102"/>
      <c r="P199" s="275">
        <f>N199-L199</f>
        <v>0</v>
      </c>
      <c r="Q199" s="104"/>
      <c r="R199" s="104"/>
      <c r="S199" s="104"/>
      <c r="V199" s="284"/>
      <c r="AC199" s="109"/>
      <c r="AD199" s="109"/>
      <c r="AE199" s="109"/>
      <c r="AF199" s="109"/>
      <c r="AG199" s="109"/>
      <c r="AH199" s="109"/>
    </row>
    <row r="200" spans="1:34" ht="12.75" customHeight="1">
      <c r="A200" s="6">
        <f>MAX(A$13:A199)+1</f>
        <v>90</v>
      </c>
      <c r="B200" s="6"/>
      <c r="D200" s="13" t="s">
        <v>553</v>
      </c>
      <c r="F200" s="51" t="s">
        <v>550</v>
      </c>
      <c r="H200" s="102">
        <v>5.3699999999999998E-2</v>
      </c>
      <c r="I200" s="102"/>
      <c r="J200" s="275">
        <f t="shared" ref="J200:J202" si="10">L200-H200</f>
        <v>1.4711764350402862E-3</v>
      </c>
      <c r="K200" s="102"/>
      <c r="L200" s="102">
        <v>5.5171176435040284E-2</v>
      </c>
      <c r="M200" s="102"/>
      <c r="N200" s="102">
        <v>5.5171176435040284E-2</v>
      </c>
      <c r="O200" s="102"/>
      <c r="P200" s="275">
        <f>N200-L200</f>
        <v>0</v>
      </c>
      <c r="Q200" s="104"/>
      <c r="R200" s="104"/>
      <c r="S200" s="104"/>
      <c r="V200" s="284"/>
      <c r="AC200" s="109"/>
      <c r="AD200" s="109"/>
      <c r="AE200" s="109"/>
      <c r="AF200" s="109"/>
      <c r="AG200" s="109"/>
      <c r="AH200" s="109"/>
    </row>
    <row r="201" spans="1:34" ht="12.75" customHeight="1">
      <c r="A201" s="6">
        <f>MAX(A$13:A200)+1</f>
        <v>91</v>
      </c>
      <c r="B201" s="6"/>
      <c r="D201" s="13" t="s">
        <v>554</v>
      </c>
      <c r="F201" s="51" t="s">
        <v>550</v>
      </c>
      <c r="H201" s="102">
        <v>23.191428548603266</v>
      </c>
      <c r="I201" s="102"/>
      <c r="J201" s="275">
        <f t="shared" si="10"/>
        <v>0.48817353506976247</v>
      </c>
      <c r="K201" s="102"/>
      <c r="L201" s="102">
        <v>23.679602083673029</v>
      </c>
      <c r="M201" s="102"/>
      <c r="N201" s="102">
        <v>18.307191165357249</v>
      </c>
      <c r="O201" s="102"/>
      <c r="P201" s="102">
        <v>5.3724109183157802</v>
      </c>
      <c r="Q201" s="104"/>
      <c r="R201" s="104"/>
      <c r="S201" s="104"/>
      <c r="V201" s="284"/>
      <c r="AC201" s="109"/>
      <c r="AD201" s="109"/>
      <c r="AE201" s="109"/>
      <c r="AF201" s="109"/>
      <c r="AG201" s="109"/>
      <c r="AH201" s="109"/>
    </row>
    <row r="202" spans="1:34" ht="12.75" customHeight="1">
      <c r="A202" s="6">
        <f>MAX(A$13:A201)+1</f>
        <v>92</v>
      </c>
      <c r="B202" s="6"/>
      <c r="D202" s="13" t="s">
        <v>555</v>
      </c>
      <c r="F202" s="51" t="s">
        <v>550</v>
      </c>
      <c r="H202" s="102">
        <v>0.28970000000000001</v>
      </c>
      <c r="I202" s="102"/>
      <c r="J202" s="275">
        <f t="shared" si="10"/>
        <v>-4.4165410387716347E-2</v>
      </c>
      <c r="K202" s="102"/>
      <c r="L202" s="102">
        <v>0.24553458961228367</v>
      </c>
      <c r="M202" s="102"/>
      <c r="N202" s="102">
        <v>4.8510948183051246E-2</v>
      </c>
      <c r="O202" s="102"/>
      <c r="P202" s="102">
        <v>0.19702364142923243</v>
      </c>
      <c r="Q202" s="104"/>
      <c r="R202" s="104"/>
      <c r="S202" s="104"/>
      <c r="V202" s="284"/>
      <c r="AC202" s="109"/>
      <c r="AD202" s="109"/>
      <c r="AE202" s="109"/>
      <c r="AF202" s="109"/>
      <c r="AG202" s="109"/>
      <c r="AH202" s="109"/>
    </row>
    <row r="203" spans="1:34" ht="12.75" customHeight="1">
      <c r="A203" s="6"/>
      <c r="B203" s="6"/>
      <c r="H203" s="102"/>
      <c r="I203" s="102"/>
      <c r="J203" s="102"/>
      <c r="K203" s="102"/>
      <c r="L203" s="102"/>
      <c r="M203" s="102"/>
      <c r="N203" s="102"/>
      <c r="O203" s="102"/>
      <c r="P203" s="102"/>
      <c r="Q203" s="104"/>
      <c r="R203" s="104"/>
      <c r="S203" s="104"/>
      <c r="V203" s="284"/>
      <c r="AC203" s="109"/>
      <c r="AD203" s="109"/>
      <c r="AE203" s="109"/>
      <c r="AF203" s="109"/>
      <c r="AG203" s="109"/>
      <c r="AH203" s="109"/>
    </row>
    <row r="204" spans="1:34" ht="12.75" customHeight="1">
      <c r="A204" s="6"/>
      <c r="B204" s="6"/>
      <c r="D204" s="243" t="s">
        <v>556</v>
      </c>
      <c r="H204" s="102"/>
      <c r="I204" s="102"/>
      <c r="J204" s="102"/>
      <c r="K204" s="102"/>
      <c r="L204" s="102"/>
      <c r="M204" s="102"/>
      <c r="N204" s="102"/>
      <c r="O204" s="102"/>
      <c r="P204" s="102"/>
      <c r="Q204" s="104"/>
      <c r="R204" s="104"/>
      <c r="S204" s="104"/>
      <c r="V204" s="284"/>
      <c r="AC204" s="109"/>
      <c r="AD204" s="109"/>
      <c r="AE204" s="109"/>
      <c r="AF204" s="109"/>
      <c r="AG204" s="109"/>
      <c r="AH204" s="109"/>
    </row>
    <row r="205" spans="1:34" ht="12.75" customHeight="1">
      <c r="A205" s="6">
        <f>MAX(A$13:A204)+1</f>
        <v>93</v>
      </c>
      <c r="B205" s="6"/>
      <c r="D205" s="13" t="s">
        <v>258</v>
      </c>
      <c r="H205" s="99">
        <v>164.09204</v>
      </c>
      <c r="I205" s="278"/>
      <c r="J205" s="330">
        <f t="shared" ref="J205:J208" si="11">L205-H205</f>
        <v>4.4925720640880797</v>
      </c>
      <c r="K205" s="330"/>
      <c r="L205" s="330">
        <f>H205*('Sch. 17'!$E$40+1)</f>
        <v>168.58461206408808</v>
      </c>
      <c r="M205" s="331"/>
      <c r="N205" s="330">
        <f>L205</f>
        <v>168.58461206408808</v>
      </c>
      <c r="O205" s="102"/>
      <c r="P205" s="275">
        <f>N205-L205</f>
        <v>0</v>
      </c>
      <c r="Q205" s="104"/>
      <c r="R205" s="104"/>
      <c r="S205" s="104"/>
      <c r="V205" s="284"/>
      <c r="AC205" s="109"/>
      <c r="AD205" s="109"/>
      <c r="AE205" s="109"/>
      <c r="AF205" s="109"/>
      <c r="AG205" s="109"/>
      <c r="AH205" s="109"/>
    </row>
    <row r="206" spans="1:34" ht="12.75" customHeight="1">
      <c r="A206" s="6">
        <f>MAX(A$13:A205)+1</f>
        <v>94</v>
      </c>
      <c r="B206" s="6"/>
      <c r="D206" s="13" t="s">
        <v>553</v>
      </c>
      <c r="F206" s="51" t="s">
        <v>550</v>
      </c>
      <c r="H206" s="102">
        <v>5.3747823811848811E-2</v>
      </c>
      <c r="I206" s="102"/>
      <c r="J206" s="275">
        <f t="shared" si="11"/>
        <v>1.4724866261953268E-3</v>
      </c>
      <c r="K206" s="102"/>
      <c r="L206" s="102">
        <v>5.5220310438044137E-2</v>
      </c>
      <c r="M206" s="102"/>
      <c r="N206" s="102">
        <v>5.5220310438044137E-2</v>
      </c>
      <c r="O206" s="102"/>
      <c r="P206" s="275">
        <f>N206-L206</f>
        <v>0</v>
      </c>
      <c r="Q206" s="104"/>
      <c r="R206" s="104"/>
      <c r="S206" s="104"/>
      <c r="V206" s="284"/>
      <c r="AC206" s="109"/>
      <c r="AD206" s="109"/>
      <c r="AE206" s="109"/>
      <c r="AF206" s="109"/>
      <c r="AG206" s="109"/>
      <c r="AH206" s="109"/>
    </row>
    <row r="207" spans="1:34" ht="12.75" customHeight="1">
      <c r="A207" s="6">
        <f>MAX(A$13:A206)+1</f>
        <v>95</v>
      </c>
      <c r="B207" s="6"/>
      <c r="D207" s="13" t="s">
        <v>554</v>
      </c>
      <c r="F207" s="51" t="s">
        <v>550</v>
      </c>
      <c r="H207" s="102">
        <v>5.5775329156172342</v>
      </c>
      <c r="I207" s="102"/>
      <c r="J207" s="275">
        <f t="shared" si="11"/>
        <v>0.14703686235419333</v>
      </c>
      <c r="K207" s="102"/>
      <c r="L207" s="102">
        <v>5.7245697779714275</v>
      </c>
      <c r="M207" s="102"/>
      <c r="N207" s="102">
        <v>5.514088237265578</v>
      </c>
      <c r="O207" s="102"/>
      <c r="P207" s="102">
        <v>0.21048154070584968</v>
      </c>
      <c r="Q207" s="104"/>
      <c r="R207" s="104"/>
      <c r="S207" s="104"/>
      <c r="V207" s="284"/>
      <c r="AC207" s="109"/>
      <c r="AD207" s="109"/>
      <c r="AE207" s="109"/>
      <c r="AF207" s="109"/>
      <c r="AG207" s="109"/>
      <c r="AH207" s="109"/>
    </row>
    <row r="208" spans="1:34" ht="12.75" customHeight="1">
      <c r="A208" s="6">
        <f>MAX(A$13:A207)+1</f>
        <v>96</v>
      </c>
      <c r="B208" s="6"/>
      <c r="D208" s="13" t="s">
        <v>555</v>
      </c>
      <c r="F208" s="51" t="s">
        <v>550</v>
      </c>
      <c r="H208" s="102">
        <v>0.1205632692636639</v>
      </c>
      <c r="I208" s="102"/>
      <c r="J208" s="275">
        <f t="shared" si="11"/>
        <v>8.3446420507134744E-3</v>
      </c>
      <c r="K208" s="102"/>
      <c r="L208" s="102">
        <v>0.12890791131437737</v>
      </c>
      <c r="M208" s="102"/>
      <c r="N208" s="102">
        <v>4.8510948183051246E-2</v>
      </c>
      <c r="O208" s="102"/>
      <c r="P208" s="102">
        <v>8.0396963131326132E-2</v>
      </c>
      <c r="Q208" s="104"/>
      <c r="R208" s="104"/>
      <c r="S208" s="104"/>
      <c r="V208" s="284"/>
      <c r="AC208" s="109"/>
      <c r="AD208" s="109"/>
      <c r="AE208" s="109"/>
      <c r="AF208" s="109"/>
      <c r="AG208" s="109"/>
      <c r="AH208" s="109"/>
    </row>
    <row r="209" spans="1:34" ht="12.75" customHeight="1">
      <c r="A209" s="6"/>
      <c r="B209" s="6"/>
      <c r="H209" s="102"/>
      <c r="I209" s="102"/>
      <c r="J209" s="102"/>
      <c r="K209" s="102"/>
      <c r="L209" s="102"/>
      <c r="M209" s="102"/>
      <c r="N209" s="102"/>
      <c r="O209" s="102"/>
      <c r="P209" s="102"/>
      <c r="Q209" s="104"/>
      <c r="R209" s="104"/>
      <c r="S209" s="104"/>
      <c r="V209" s="284"/>
      <c r="AC209" s="109"/>
      <c r="AD209" s="109"/>
      <c r="AE209" s="109"/>
      <c r="AF209" s="109"/>
      <c r="AG209" s="109"/>
      <c r="AH209" s="109"/>
    </row>
    <row r="210" spans="1:34" ht="12.75" customHeight="1">
      <c r="A210" s="6"/>
      <c r="B210" s="6"/>
      <c r="D210" s="243" t="s">
        <v>557</v>
      </c>
      <c r="H210" s="102"/>
      <c r="I210" s="102"/>
      <c r="J210" s="102"/>
      <c r="K210" s="102"/>
      <c r="L210" s="102"/>
      <c r="M210" s="102"/>
      <c r="N210" s="102"/>
      <c r="O210" s="102"/>
      <c r="P210" s="102"/>
      <c r="Q210" s="104"/>
      <c r="R210" s="104"/>
      <c r="S210" s="104"/>
      <c r="V210" s="284"/>
      <c r="AC210" s="109"/>
      <c r="AD210" s="109"/>
      <c r="AE210" s="109"/>
      <c r="AF210" s="109"/>
      <c r="AG210" s="109"/>
      <c r="AH210" s="109"/>
    </row>
    <row r="211" spans="1:34" ht="12.75" customHeight="1">
      <c r="A211" s="6">
        <f>MAX(A$13:A210)+1</f>
        <v>97</v>
      </c>
      <c r="B211" s="6"/>
      <c r="D211" s="13" t="s">
        <v>558</v>
      </c>
      <c r="H211" s="102"/>
      <c r="I211" s="102"/>
      <c r="J211" s="102"/>
      <c r="K211" s="102"/>
      <c r="L211" s="102"/>
      <c r="M211" s="102"/>
      <c r="N211" s="102"/>
      <c r="O211" s="102"/>
      <c r="P211" s="102"/>
      <c r="Q211" s="104"/>
      <c r="R211" s="104"/>
      <c r="S211" s="104"/>
      <c r="V211" s="284"/>
      <c r="AC211" s="109"/>
      <c r="AD211" s="109"/>
      <c r="AE211" s="109"/>
      <c r="AF211" s="109"/>
      <c r="AG211" s="109"/>
      <c r="AH211" s="109"/>
    </row>
    <row r="212" spans="1:34" ht="12.75" customHeight="1">
      <c r="A212" s="6">
        <f>MAX(A$13:A211)+1</f>
        <v>98</v>
      </c>
      <c r="B212" s="6"/>
      <c r="D212" s="13" t="s">
        <v>559</v>
      </c>
      <c r="F212" s="51" t="s">
        <v>525</v>
      </c>
      <c r="H212" s="102">
        <v>22.906658185376582</v>
      </c>
      <c r="I212" s="102"/>
      <c r="J212" s="275">
        <f t="shared" ref="J212" si="12">L212-H212</f>
        <v>5.2850079353540025E-2</v>
      </c>
      <c r="K212" s="102"/>
      <c r="L212" s="102">
        <f>L158+L161+L160+L164</f>
        <v>22.959508264730122</v>
      </c>
      <c r="M212" s="102"/>
      <c r="N212" s="102">
        <f>N158+N161+N160+N164</f>
        <v>0.37929580515506406</v>
      </c>
      <c r="O212" s="102"/>
      <c r="P212" s="102">
        <f>P158+P161+P160+P164</f>
        <v>22.580212459575058</v>
      </c>
      <c r="Q212" s="104"/>
      <c r="R212" s="104"/>
      <c r="S212" s="104"/>
      <c r="V212" s="284"/>
      <c r="AC212" s="109"/>
      <c r="AD212" s="109"/>
      <c r="AE212" s="109"/>
      <c r="AF212" s="109"/>
      <c r="AG212" s="109"/>
      <c r="AH212" s="109"/>
    </row>
    <row r="213" spans="1:34" ht="12.75" customHeight="1">
      <c r="A213" s="6"/>
      <c r="B213" s="6"/>
      <c r="H213" s="102"/>
      <c r="I213" s="102"/>
      <c r="J213" s="102"/>
      <c r="K213" s="102"/>
      <c r="L213" s="102"/>
      <c r="M213" s="102"/>
      <c r="N213" s="102"/>
      <c r="O213" s="102"/>
      <c r="P213" s="102"/>
      <c r="Q213" s="104"/>
      <c r="R213" s="104"/>
      <c r="S213" s="104"/>
      <c r="V213" s="284"/>
      <c r="AC213" s="109"/>
      <c r="AD213" s="109"/>
      <c r="AE213" s="109"/>
      <c r="AF213" s="109"/>
      <c r="AG213" s="109"/>
      <c r="AH213" s="109"/>
    </row>
    <row r="214" spans="1:34" ht="12.75" customHeight="1">
      <c r="A214" s="6"/>
      <c r="B214" s="6"/>
      <c r="H214" s="102"/>
      <c r="I214" s="102"/>
      <c r="J214" s="102"/>
      <c r="K214" s="102"/>
      <c r="L214" s="102"/>
      <c r="M214" s="102"/>
      <c r="N214" s="102"/>
      <c r="O214" s="102"/>
      <c r="P214" s="102"/>
      <c r="Q214" s="104"/>
      <c r="R214" s="104"/>
      <c r="S214" s="104"/>
      <c r="V214" s="284"/>
      <c r="AC214" s="109"/>
      <c r="AD214" s="109"/>
      <c r="AE214" s="109"/>
      <c r="AF214" s="109"/>
      <c r="AG214" s="109"/>
      <c r="AH214" s="109"/>
    </row>
    <row r="215" spans="1:34" ht="12.75" customHeight="1">
      <c r="A215" s="6"/>
      <c r="B215" s="6"/>
      <c r="H215" s="102"/>
      <c r="I215" s="102"/>
      <c r="J215" s="102"/>
      <c r="K215" s="102"/>
      <c r="L215" s="102"/>
      <c r="M215" s="102"/>
      <c r="N215" s="102"/>
      <c r="O215" s="102"/>
      <c r="P215" s="102"/>
      <c r="Q215" s="104"/>
      <c r="R215" s="104"/>
      <c r="S215" s="104"/>
      <c r="V215" s="284"/>
      <c r="AC215" s="109"/>
      <c r="AD215" s="109"/>
      <c r="AE215" s="109"/>
      <c r="AF215" s="109"/>
      <c r="AG215" s="109"/>
      <c r="AH215" s="109"/>
    </row>
    <row r="216" spans="1:34" ht="12.75" customHeight="1">
      <c r="A216" s="6"/>
      <c r="B216" s="6"/>
      <c r="H216" s="102"/>
      <c r="I216" s="102"/>
      <c r="J216" s="102"/>
      <c r="K216" s="102"/>
      <c r="L216" s="102"/>
      <c r="M216" s="102"/>
      <c r="N216" s="102"/>
      <c r="O216" s="102"/>
      <c r="P216" s="102"/>
      <c r="Q216" s="104"/>
      <c r="R216" s="104"/>
      <c r="S216" s="104"/>
      <c r="V216" s="284"/>
      <c r="AC216" s="109"/>
      <c r="AD216" s="109"/>
      <c r="AE216" s="109"/>
      <c r="AF216" s="109"/>
      <c r="AG216" s="109"/>
      <c r="AH216" s="109"/>
    </row>
    <row r="217" spans="1:34" ht="12.75" customHeight="1">
      <c r="A217" s="6"/>
      <c r="B217" s="6"/>
      <c r="H217" s="102"/>
      <c r="I217" s="102"/>
      <c r="J217" s="102"/>
      <c r="K217" s="102"/>
      <c r="L217" s="102"/>
      <c r="M217" s="102"/>
      <c r="N217" s="102"/>
      <c r="O217" s="102"/>
      <c r="P217" s="102"/>
      <c r="Q217" s="104"/>
      <c r="R217" s="104"/>
      <c r="S217" s="104"/>
      <c r="V217" s="284"/>
      <c r="AC217" s="109"/>
      <c r="AD217" s="109"/>
      <c r="AE217" s="109"/>
      <c r="AF217" s="109"/>
      <c r="AG217" s="109"/>
      <c r="AH217" s="109"/>
    </row>
    <row r="218" spans="1:34" ht="12.75" customHeight="1">
      <c r="A218" s="6"/>
      <c r="B218" s="6"/>
      <c r="H218" s="102"/>
      <c r="I218" s="102"/>
      <c r="J218" s="102"/>
      <c r="K218" s="102"/>
      <c r="L218" s="102"/>
      <c r="M218" s="102"/>
      <c r="N218" s="102"/>
      <c r="O218" s="102"/>
      <c r="P218" s="102"/>
      <c r="Q218" s="104"/>
      <c r="R218" s="104"/>
      <c r="S218" s="104"/>
      <c r="V218" s="284"/>
      <c r="AC218" s="109"/>
      <c r="AD218" s="109"/>
      <c r="AE218" s="109"/>
      <c r="AF218" s="109"/>
      <c r="AG218" s="109"/>
      <c r="AH218" s="109"/>
    </row>
    <row r="219" spans="1:34" ht="12.75" customHeight="1">
      <c r="A219" s="6"/>
      <c r="B219" s="6"/>
      <c r="H219" s="102"/>
      <c r="I219" s="102"/>
      <c r="J219" s="102"/>
      <c r="K219" s="102"/>
      <c r="L219" s="102"/>
      <c r="M219" s="102"/>
      <c r="N219" s="102"/>
      <c r="O219" s="102"/>
      <c r="P219" s="102"/>
      <c r="Q219" s="104"/>
      <c r="R219" s="104"/>
      <c r="S219" s="104"/>
      <c r="V219" s="284"/>
      <c r="AC219" s="109"/>
      <c r="AD219" s="109"/>
      <c r="AE219" s="109"/>
      <c r="AF219" s="109"/>
      <c r="AG219" s="109"/>
      <c r="AH219" s="109"/>
    </row>
    <row r="220" spans="1:34" ht="12.75" customHeight="1">
      <c r="A220" s="6"/>
      <c r="B220" s="6"/>
      <c r="H220" s="102"/>
      <c r="I220" s="102"/>
      <c r="J220" s="102"/>
      <c r="K220" s="102"/>
      <c r="L220" s="102"/>
      <c r="M220" s="102"/>
      <c r="N220" s="102"/>
      <c r="O220" s="102"/>
      <c r="P220" s="102"/>
      <c r="Q220" s="104"/>
      <c r="R220" s="104"/>
      <c r="S220" s="104"/>
      <c r="V220" s="284"/>
      <c r="AC220" s="109"/>
      <c r="AD220" s="109"/>
      <c r="AE220" s="109"/>
      <c r="AF220" s="109"/>
      <c r="AG220" s="109"/>
      <c r="AH220" s="109"/>
    </row>
    <row r="221" spans="1:34" ht="12.75" customHeight="1">
      <c r="A221" s="6"/>
      <c r="B221" s="6"/>
      <c r="H221" s="102"/>
      <c r="I221" s="102"/>
      <c r="J221" s="102"/>
      <c r="K221" s="102"/>
      <c r="L221" s="102"/>
      <c r="M221" s="102"/>
      <c r="N221" s="102"/>
      <c r="O221" s="102"/>
      <c r="P221" s="102"/>
      <c r="Q221" s="104"/>
      <c r="R221" s="104"/>
      <c r="S221" s="104"/>
      <c r="V221" s="284"/>
      <c r="AC221" s="109"/>
      <c r="AD221" s="109"/>
      <c r="AE221" s="109"/>
      <c r="AF221" s="109"/>
      <c r="AG221" s="109"/>
      <c r="AH221" s="109"/>
    </row>
    <row r="222" spans="1:34" ht="12.75" customHeight="1">
      <c r="A222" s="6"/>
      <c r="B222" s="6"/>
      <c r="H222" s="102"/>
      <c r="I222" s="102"/>
      <c r="J222" s="102"/>
      <c r="K222" s="102"/>
      <c r="L222" s="102"/>
      <c r="M222" s="102"/>
      <c r="N222" s="102"/>
      <c r="O222" s="102"/>
      <c r="P222" s="102"/>
      <c r="Q222" s="104"/>
      <c r="R222" s="104"/>
      <c r="S222" s="104"/>
      <c r="V222" s="284"/>
      <c r="AC222" s="109"/>
      <c r="AD222" s="109"/>
      <c r="AE222" s="109"/>
      <c r="AF222" s="109"/>
      <c r="AG222" s="109"/>
      <c r="AH222" s="109"/>
    </row>
    <row r="223" spans="1:34" ht="12.75" customHeight="1">
      <c r="A223" s="6"/>
      <c r="B223" s="6"/>
      <c r="H223" s="102"/>
      <c r="I223" s="102"/>
      <c r="J223" s="102"/>
      <c r="K223" s="102"/>
      <c r="L223" s="102"/>
      <c r="M223" s="102"/>
      <c r="N223" s="102"/>
      <c r="O223" s="102"/>
      <c r="P223" s="102"/>
      <c r="Q223" s="104"/>
      <c r="R223" s="104"/>
      <c r="S223" s="104"/>
      <c r="V223" s="284"/>
      <c r="AC223" s="109"/>
      <c r="AD223" s="109"/>
      <c r="AE223" s="109"/>
      <c r="AF223" s="109"/>
      <c r="AG223" s="109"/>
      <c r="AH223" s="109"/>
    </row>
    <row r="224" spans="1:34" ht="12.75" customHeight="1">
      <c r="A224" s="6"/>
      <c r="B224" s="6"/>
      <c r="H224" s="102"/>
      <c r="I224" s="102"/>
      <c r="J224" s="102"/>
      <c r="K224" s="102"/>
      <c r="L224" s="102"/>
      <c r="M224" s="102"/>
      <c r="N224" s="102"/>
      <c r="O224" s="102"/>
      <c r="P224" s="102"/>
      <c r="Q224" s="104"/>
      <c r="R224" s="104"/>
      <c r="S224" s="104"/>
      <c r="V224" s="284"/>
      <c r="AC224" s="109"/>
      <c r="AD224" s="109"/>
      <c r="AE224" s="109"/>
      <c r="AF224" s="109"/>
      <c r="AG224" s="109"/>
      <c r="AH224" s="109"/>
    </row>
    <row r="225" spans="1:34" ht="12.75" customHeight="1">
      <c r="A225" s="6"/>
      <c r="B225" s="6"/>
      <c r="H225" s="102"/>
      <c r="I225" s="102"/>
      <c r="J225" s="102"/>
      <c r="K225" s="102"/>
      <c r="L225" s="102"/>
      <c r="M225" s="102"/>
      <c r="N225" s="102"/>
      <c r="O225" s="102"/>
      <c r="P225" s="102"/>
      <c r="Q225" s="104"/>
      <c r="R225" s="104"/>
      <c r="S225" s="104"/>
      <c r="V225" s="284"/>
      <c r="AC225" s="109"/>
      <c r="AD225" s="109"/>
      <c r="AE225" s="109"/>
      <c r="AF225" s="109"/>
      <c r="AG225" s="109"/>
      <c r="AH225" s="109"/>
    </row>
    <row r="226" spans="1:34" ht="12.75" customHeight="1">
      <c r="A226" s="6"/>
      <c r="B226" s="6"/>
      <c r="H226" s="102"/>
      <c r="I226" s="102"/>
      <c r="J226" s="102"/>
      <c r="K226" s="102"/>
      <c r="L226" s="102"/>
      <c r="M226" s="102"/>
      <c r="N226" s="102"/>
      <c r="O226" s="102"/>
      <c r="P226" s="102"/>
      <c r="Q226" s="104"/>
      <c r="R226" s="104"/>
      <c r="S226" s="104"/>
      <c r="V226" s="284"/>
      <c r="AC226" s="109"/>
      <c r="AD226" s="109"/>
      <c r="AE226" s="109"/>
      <c r="AF226" s="109"/>
      <c r="AG226" s="109"/>
      <c r="AH226" s="109"/>
    </row>
    <row r="227" spans="1:34" ht="12.75" customHeight="1">
      <c r="A227" s="6"/>
      <c r="B227" s="6"/>
      <c r="H227" s="102"/>
      <c r="I227" s="102"/>
      <c r="J227" s="102"/>
      <c r="K227" s="102"/>
      <c r="L227" s="102"/>
      <c r="M227" s="102"/>
      <c r="N227" s="102"/>
      <c r="O227" s="102"/>
      <c r="P227" s="102"/>
      <c r="Q227" s="104"/>
      <c r="R227" s="104"/>
      <c r="S227" s="104"/>
      <c r="V227" s="284"/>
      <c r="AC227" s="109"/>
      <c r="AD227" s="109"/>
      <c r="AE227" s="109"/>
      <c r="AF227" s="109"/>
      <c r="AG227" s="109"/>
      <c r="AH227" s="109"/>
    </row>
    <row r="228" spans="1:34" ht="12.75" customHeight="1">
      <c r="A228" s="6"/>
      <c r="B228" s="6"/>
      <c r="H228" s="102"/>
      <c r="I228" s="102"/>
      <c r="J228" s="102"/>
      <c r="K228" s="102"/>
      <c r="L228" s="102"/>
      <c r="M228" s="102"/>
      <c r="N228" s="102"/>
      <c r="O228" s="102"/>
      <c r="P228" s="102"/>
      <c r="Q228" s="104"/>
      <c r="R228" s="104"/>
      <c r="S228" s="104"/>
      <c r="V228" s="284"/>
      <c r="AC228" s="109"/>
      <c r="AD228" s="109"/>
      <c r="AE228" s="109"/>
      <c r="AF228" s="109"/>
      <c r="AG228" s="109"/>
      <c r="AH228" s="109"/>
    </row>
    <row r="229" spans="1:34" ht="12.75" customHeight="1">
      <c r="A229" s="6"/>
      <c r="B229" s="6"/>
      <c r="H229" s="102"/>
      <c r="I229" s="102"/>
      <c r="J229" s="102"/>
      <c r="K229" s="102"/>
      <c r="L229" s="102"/>
      <c r="M229" s="102"/>
      <c r="N229" s="102"/>
      <c r="O229" s="102"/>
      <c r="P229" s="102"/>
      <c r="Q229" s="104"/>
      <c r="R229" s="104"/>
      <c r="S229" s="104"/>
      <c r="V229" s="284"/>
      <c r="AC229" s="109"/>
      <c r="AD229" s="109"/>
      <c r="AE229" s="109"/>
      <c r="AF229" s="109"/>
      <c r="AG229" s="109"/>
      <c r="AH229" s="109"/>
    </row>
    <row r="230" spans="1:34" ht="12.75" customHeight="1">
      <c r="AC230" s="109"/>
      <c r="AD230" s="109"/>
      <c r="AE230" s="109"/>
      <c r="AF230" s="109"/>
      <c r="AG230" s="109"/>
      <c r="AH230" s="109"/>
    </row>
    <row r="231" spans="1:34" ht="12.75" customHeight="1">
      <c r="AC231" s="109"/>
      <c r="AD231" s="109"/>
      <c r="AE231" s="109"/>
      <c r="AF231" s="109"/>
      <c r="AG231" s="109"/>
      <c r="AH231" s="109"/>
    </row>
    <row r="232" spans="1:34" ht="12.75" customHeight="1">
      <c r="AC232" s="109"/>
      <c r="AD232" s="109"/>
      <c r="AE232" s="109"/>
      <c r="AF232" s="109"/>
      <c r="AG232" s="109"/>
      <c r="AH232" s="109"/>
    </row>
    <row r="233" spans="1:34" ht="12.75" customHeight="1">
      <c r="H233" s="277"/>
      <c r="I233" s="277"/>
      <c r="J233" s="277"/>
      <c r="K233" s="277"/>
      <c r="AE233" s="109"/>
      <c r="AF233" s="109"/>
      <c r="AG233" s="109"/>
      <c r="AH233" s="109"/>
    </row>
    <row r="234" spans="1:34" ht="12.75" customHeight="1">
      <c r="H234" s="277"/>
      <c r="I234" s="277"/>
      <c r="J234" s="277"/>
      <c r="K234" s="277"/>
      <c r="AE234" s="109"/>
      <c r="AF234" s="109"/>
      <c r="AG234" s="109"/>
      <c r="AH234" s="109"/>
    </row>
    <row r="235" spans="1:34" ht="12.75" customHeight="1">
      <c r="A235" s="1163"/>
      <c r="B235" s="1163"/>
      <c r="C235" s="1163"/>
      <c r="D235" s="1206"/>
      <c r="E235" s="1206"/>
      <c r="F235" s="1206"/>
      <c r="G235" s="1206"/>
      <c r="H235" s="1206"/>
      <c r="I235" s="1206"/>
      <c r="J235" s="1206"/>
      <c r="K235" s="1206"/>
      <c r="L235" s="1206"/>
      <c r="M235" s="1206"/>
      <c r="N235" s="1206"/>
      <c r="O235" s="1206"/>
      <c r="P235" s="1206"/>
      <c r="AE235" s="109"/>
      <c r="AF235" s="109"/>
      <c r="AG235" s="109"/>
      <c r="AH235" s="109"/>
    </row>
    <row r="236" spans="1:34" ht="12.75" customHeight="1">
      <c r="A236" s="1163" t="s">
        <v>543</v>
      </c>
      <c r="B236" s="1163"/>
      <c r="C236" s="1163"/>
      <c r="D236" s="1206"/>
      <c r="E236" s="1206"/>
      <c r="F236" s="1206"/>
      <c r="G236" s="1206"/>
      <c r="H236" s="1206"/>
      <c r="I236" s="1206"/>
      <c r="J236" s="1206"/>
      <c r="K236" s="1206"/>
      <c r="L236" s="1206"/>
      <c r="M236" s="1206"/>
      <c r="N236" s="1206"/>
      <c r="O236" s="1206"/>
      <c r="P236" s="1206"/>
      <c r="AE236" s="109"/>
      <c r="AF236" s="109"/>
      <c r="AG236" s="109"/>
      <c r="AH236" s="109"/>
    </row>
    <row r="237" spans="1:34" ht="12.75" customHeight="1">
      <c r="A237" s="1162" t="s">
        <v>139</v>
      </c>
      <c r="B237" s="1206"/>
      <c r="C237" s="1206"/>
      <c r="D237" s="1206"/>
      <c r="E237" s="1206"/>
      <c r="F237" s="1206"/>
      <c r="G237" s="1206"/>
      <c r="H237" s="1206"/>
      <c r="I237" s="1206"/>
      <c r="J237" s="1206"/>
      <c r="K237" s="1206"/>
      <c r="L237" s="1206"/>
      <c r="M237" s="1206"/>
      <c r="N237" s="1206"/>
      <c r="O237" s="1206"/>
      <c r="P237" s="1206"/>
      <c r="AE237" s="109"/>
      <c r="AF237" s="109"/>
      <c r="AG237" s="109"/>
      <c r="AH237" s="109"/>
    </row>
    <row r="238" spans="1:34" ht="12.75" customHeight="1">
      <c r="AE238" s="109"/>
      <c r="AF238" s="109"/>
      <c r="AG238" s="109"/>
      <c r="AH238" s="109"/>
    </row>
    <row r="239" spans="1:34" ht="12.75" customHeight="1">
      <c r="G239" s="55"/>
      <c r="H239" s="2"/>
      <c r="I239" s="2"/>
      <c r="J239" s="2"/>
      <c r="K239" s="2"/>
      <c r="L239" s="2"/>
      <c r="M239" s="2"/>
      <c r="N239" s="1160" t="s">
        <v>514</v>
      </c>
      <c r="O239" s="1160"/>
      <c r="P239" s="1160"/>
      <c r="Q239" s="17"/>
      <c r="AE239" s="109"/>
      <c r="AF239" s="109"/>
      <c r="AG239" s="109"/>
      <c r="AH239" s="109"/>
    </row>
    <row r="240" spans="1:34" ht="12.75" customHeight="1">
      <c r="G240" s="282"/>
      <c r="H240" s="6"/>
      <c r="I240" s="57"/>
      <c r="J240" s="1164" t="s">
        <v>515</v>
      </c>
      <c r="K240" s="1164"/>
      <c r="L240" s="1164"/>
      <c r="N240" s="1161"/>
      <c r="O240" s="1161"/>
      <c r="P240" s="1161"/>
      <c r="Q240" s="17"/>
    </row>
    <row r="241" spans="1:19" ht="12.75" customHeight="1">
      <c r="A241" s="51" t="s">
        <v>56</v>
      </c>
      <c r="C241" s="52"/>
      <c r="F241" s="55"/>
      <c r="G241" s="51"/>
      <c r="H241" s="6" t="s">
        <v>93</v>
      </c>
      <c r="I241" s="57"/>
      <c r="J241" s="1" t="s">
        <v>516</v>
      </c>
      <c r="K241" s="4"/>
      <c r="L241" s="6" t="s">
        <v>102</v>
      </c>
      <c r="N241" s="17"/>
      <c r="O241" s="17"/>
      <c r="P241" s="17"/>
      <c r="Q241" s="17"/>
    </row>
    <row r="242" spans="1:19" ht="12.75" customHeight="1">
      <c r="A242" s="53" t="s">
        <v>57</v>
      </c>
      <c r="B242" s="55"/>
      <c r="C242" s="56"/>
      <c r="D242" s="54" t="s">
        <v>194</v>
      </c>
      <c r="F242" s="271" t="s">
        <v>245</v>
      </c>
      <c r="G242" s="55"/>
      <c r="H242" s="356" t="s">
        <v>235</v>
      </c>
      <c r="I242" s="17"/>
      <c r="J242" s="237" t="s">
        <v>517</v>
      </c>
      <c r="L242" s="356" t="s">
        <v>518</v>
      </c>
      <c r="N242" s="7" t="s">
        <v>6</v>
      </c>
      <c r="O242" s="1"/>
      <c r="P242" s="7" t="s">
        <v>519</v>
      </c>
      <c r="Q242" s="1"/>
    </row>
    <row r="243" spans="1:19" ht="12.75" customHeight="1">
      <c r="F243" s="283"/>
      <c r="G243" s="55"/>
      <c r="H243" s="6" t="s">
        <v>520</v>
      </c>
      <c r="I243" s="6"/>
      <c r="J243" s="123" t="s">
        <v>521</v>
      </c>
      <c r="L243" s="6" t="s">
        <v>522</v>
      </c>
      <c r="N243" s="8" t="s">
        <v>12</v>
      </c>
      <c r="O243" s="1"/>
      <c r="P243" s="8" t="s">
        <v>13</v>
      </c>
      <c r="Q243" s="8"/>
    </row>
    <row r="244" spans="1:19" ht="12.75" customHeight="1">
      <c r="D244" s="243" t="s">
        <v>140</v>
      </c>
      <c r="F244" s="283"/>
      <c r="G244" s="55"/>
      <c r="H244" s="6"/>
      <c r="I244" s="6"/>
      <c r="J244" s="123"/>
      <c r="L244" s="6"/>
      <c r="N244" s="8"/>
      <c r="O244" s="1"/>
      <c r="P244" s="8"/>
      <c r="Q244" s="8"/>
    </row>
    <row r="245" spans="1:19" ht="12.95">
      <c r="A245" s="6">
        <f>MAX(A$13:A244)+1</f>
        <v>99</v>
      </c>
      <c r="D245" s="13" t="s">
        <v>258</v>
      </c>
      <c r="F245" s="51" t="s">
        <v>523</v>
      </c>
      <c r="H245" s="330">
        <v>22.98</v>
      </c>
      <c r="I245" s="330"/>
      <c r="J245" s="330">
        <f t="shared" ref="J245:J260" si="13">ROUND(L245,4)-ROUND(H245,4)</f>
        <v>2.8802999999999983</v>
      </c>
      <c r="K245" s="330"/>
      <c r="L245" s="330">
        <v>25.86030083293284</v>
      </c>
      <c r="M245" s="331"/>
      <c r="N245" s="330">
        <v>25.86030083293284</v>
      </c>
      <c r="O245" s="104"/>
      <c r="P245" s="275">
        <v>0</v>
      </c>
      <c r="Q245" s="104"/>
      <c r="R245" s="104"/>
      <c r="S245" s="104"/>
    </row>
    <row r="246" spans="1:19">
      <c r="A246" s="6"/>
      <c r="D246" s="136" t="s">
        <v>260</v>
      </c>
      <c r="H246" s="99"/>
      <c r="I246" s="104"/>
      <c r="J246" s="99"/>
      <c r="K246" s="104"/>
      <c r="L246" s="99"/>
      <c r="M246" s="104"/>
      <c r="N246" s="99"/>
      <c r="O246" s="104"/>
      <c r="P246" s="99"/>
      <c r="Q246" s="104"/>
      <c r="R246" s="104"/>
      <c r="S246" s="104"/>
    </row>
    <row r="247" spans="1:19" ht="12.75" customHeight="1">
      <c r="A247" s="6">
        <f>MAX(A$245:A246)+1</f>
        <v>100</v>
      </c>
      <c r="D247" s="136" t="s">
        <v>560</v>
      </c>
      <c r="F247" s="51" t="s">
        <v>525</v>
      </c>
      <c r="H247" s="102">
        <v>11.1409</v>
      </c>
      <c r="I247" s="102"/>
      <c r="J247" s="102">
        <f t="shared" si="13"/>
        <v>-0.14620000000000033</v>
      </c>
      <c r="K247" s="102"/>
      <c r="L247" s="102">
        <v>10.994659600483454</v>
      </c>
      <c r="M247" s="102"/>
      <c r="N247" s="102">
        <v>10.933824056068172</v>
      </c>
      <c r="O247" s="102"/>
      <c r="P247" s="102">
        <v>6.0835544415281911E-2</v>
      </c>
      <c r="Q247" s="104"/>
      <c r="R247" s="104"/>
      <c r="S247" s="104"/>
    </row>
    <row r="248" spans="1:19" ht="12.75" customHeight="1">
      <c r="A248" s="6">
        <f>MAX(A$245:A247)+1</f>
        <v>101</v>
      </c>
      <c r="D248" s="52" t="s">
        <v>561</v>
      </c>
      <c r="F248" s="51" t="s">
        <v>525</v>
      </c>
      <c r="H248" s="102">
        <v>10.862900000000002</v>
      </c>
      <c r="I248" s="102"/>
      <c r="J248" s="102">
        <f t="shared" si="13"/>
        <v>-0.13790000000000013</v>
      </c>
      <c r="K248" s="102"/>
      <c r="L248" s="102">
        <v>10.724986712766833</v>
      </c>
      <c r="M248" s="102"/>
      <c r="N248" s="102">
        <v>10.66415116835155</v>
      </c>
      <c r="O248" s="102"/>
      <c r="P248" s="102">
        <v>6.0835544415281897E-2</v>
      </c>
      <c r="Q248" s="104"/>
      <c r="R248" s="104"/>
      <c r="S248" s="104"/>
    </row>
    <row r="249" spans="1:19" ht="12.75" customHeight="1">
      <c r="A249" s="6">
        <f>MAX(A$245:A248)+1</f>
        <v>102</v>
      </c>
      <c r="D249" s="52" t="s">
        <v>561</v>
      </c>
      <c r="F249" s="51" t="s">
        <v>525</v>
      </c>
      <c r="H249" s="102">
        <v>10.4222</v>
      </c>
      <c r="I249" s="102"/>
      <c r="J249" s="102">
        <f t="shared" si="13"/>
        <v>-0.1247000000000007</v>
      </c>
      <c r="K249" s="102"/>
      <c r="L249" s="102">
        <v>10.297516661037735</v>
      </c>
      <c r="M249" s="102"/>
      <c r="N249" s="102">
        <v>10.236681116622451</v>
      </c>
      <c r="O249" s="102"/>
      <c r="P249" s="102">
        <v>6.0835544415281911E-2</v>
      </c>
      <c r="Q249" s="104"/>
      <c r="R249" s="104"/>
      <c r="S249" s="104"/>
    </row>
    <row r="250" spans="1:19" ht="12.75" customHeight="1">
      <c r="A250" s="6">
        <f>MAX(A$245:A249)+1</f>
        <v>103</v>
      </c>
      <c r="D250" s="52" t="s">
        <v>562</v>
      </c>
      <c r="F250" s="51" t="s">
        <v>525</v>
      </c>
      <c r="H250" s="102">
        <v>10.017900000000001</v>
      </c>
      <c r="I250" s="102"/>
      <c r="J250" s="102">
        <f t="shared" si="13"/>
        <v>-0.1125999999999987</v>
      </c>
      <c r="K250" s="102"/>
      <c r="L250" s="102">
        <v>9.9052838666369443</v>
      </c>
      <c r="M250" s="102"/>
      <c r="N250" s="102">
        <v>9.8444483222216626</v>
      </c>
      <c r="O250" s="102"/>
      <c r="P250" s="102">
        <v>6.0835544415281897E-2</v>
      </c>
      <c r="Q250" s="104"/>
      <c r="R250" s="104"/>
      <c r="S250" s="104"/>
    </row>
    <row r="251" spans="1:19" ht="12.75" customHeight="1">
      <c r="A251" s="6">
        <f>MAX(A$245:A250)+1</f>
        <v>104</v>
      </c>
      <c r="D251" s="52" t="s">
        <v>563</v>
      </c>
      <c r="F251" s="51" t="s">
        <v>525</v>
      </c>
      <c r="H251" s="102">
        <v>9.6836000000000002</v>
      </c>
      <c r="I251" s="102"/>
      <c r="J251" s="102">
        <f t="shared" si="13"/>
        <v>-0.10250000000000092</v>
      </c>
      <c r="K251" s="102"/>
      <c r="L251" s="102">
        <v>9.5810600062050693</v>
      </c>
      <c r="M251" s="102"/>
      <c r="N251" s="102">
        <v>9.5202244617897875</v>
      </c>
      <c r="O251" s="102"/>
      <c r="P251" s="102">
        <v>6.0835544415281897E-2</v>
      </c>
      <c r="Q251" s="104"/>
      <c r="R251" s="104"/>
      <c r="S251" s="104"/>
    </row>
    <row r="252" spans="1:19" ht="12.75" customHeight="1">
      <c r="A252" s="6"/>
      <c r="D252" s="142"/>
      <c r="H252" s="104"/>
      <c r="I252" s="104"/>
      <c r="J252" s="104"/>
      <c r="K252" s="104"/>
      <c r="L252" s="104"/>
      <c r="M252" s="104"/>
      <c r="N252" s="104"/>
      <c r="O252" s="104"/>
      <c r="P252" s="104"/>
      <c r="Q252" s="104"/>
      <c r="R252" s="104"/>
      <c r="S252" s="104"/>
    </row>
    <row r="253" spans="1:19" ht="13.35" customHeight="1">
      <c r="A253" s="6">
        <f>MAX(A$245:A252)+1</f>
        <v>105</v>
      </c>
      <c r="D253" s="143" t="s">
        <v>564</v>
      </c>
      <c r="F253" s="51" t="s">
        <v>525</v>
      </c>
      <c r="H253" s="102">
        <v>4.4904000000000011</v>
      </c>
      <c r="I253" s="102"/>
      <c r="J253" s="102">
        <f t="shared" si="13"/>
        <v>-8.099999999999774E-3</v>
      </c>
      <c r="K253" s="102"/>
      <c r="L253" s="102">
        <v>4.4822509538968758</v>
      </c>
      <c r="M253" s="102"/>
      <c r="N253" s="102">
        <v>-0.43132420956104833</v>
      </c>
      <c r="O253" s="102"/>
      <c r="P253" s="102">
        <v>4.9135751634579243</v>
      </c>
      <c r="Q253" s="104"/>
      <c r="R253" s="104"/>
      <c r="S253" s="104"/>
    </row>
    <row r="254" spans="1:19" ht="12.75" customHeight="1">
      <c r="A254" s="6">
        <f>MAX(A$245:A253)+1</f>
        <v>106</v>
      </c>
      <c r="D254" s="143" t="s">
        <v>565</v>
      </c>
      <c r="F254" s="51" t="s">
        <v>525</v>
      </c>
      <c r="H254" s="102">
        <v>2.2974999999999999</v>
      </c>
      <c r="I254" s="102"/>
      <c r="J254" s="102">
        <f t="shared" si="13"/>
        <v>3.00000000000189E-4</v>
      </c>
      <c r="K254" s="102"/>
      <c r="L254" s="102">
        <v>2.2978283486808895</v>
      </c>
      <c r="M254" s="102"/>
      <c r="N254" s="102">
        <v>-0.16680946383861961</v>
      </c>
      <c r="O254" s="102"/>
      <c r="P254" s="102">
        <v>2.4646378125195083</v>
      </c>
      <c r="Q254" s="104"/>
      <c r="R254" s="104"/>
      <c r="S254" s="104"/>
    </row>
    <row r="255" spans="1:19" ht="12.75" customHeight="1">
      <c r="A255" s="6"/>
      <c r="D255" s="143"/>
      <c r="F255" s="51"/>
      <c r="H255" s="102"/>
      <c r="I255" s="102"/>
      <c r="J255" s="102"/>
      <c r="K255" s="102"/>
      <c r="L255" s="102"/>
      <c r="M255" s="102"/>
      <c r="N255" s="102"/>
      <c r="O255" s="102"/>
      <c r="P255" s="102"/>
      <c r="Q255" s="104"/>
      <c r="R255" s="104"/>
      <c r="S255" s="104"/>
    </row>
    <row r="256" spans="1:19" ht="11.85" customHeight="1">
      <c r="A256" s="6">
        <f>MAX(A$245:A254)+1</f>
        <v>107</v>
      </c>
      <c r="D256" s="143" t="s">
        <v>566</v>
      </c>
      <c r="F256" s="51" t="s">
        <v>525</v>
      </c>
      <c r="H256" s="102">
        <v>2.2812000000000001</v>
      </c>
      <c r="I256" s="102"/>
      <c r="J256" s="102">
        <f t="shared" si="13"/>
        <v>5.2000000000000046E-2</v>
      </c>
      <c r="K256" s="102"/>
      <c r="L256" s="102">
        <v>2.3332259102365285</v>
      </c>
      <c r="M256" s="102"/>
      <c r="N256" s="102">
        <v>1.7504379073054244</v>
      </c>
      <c r="O256" s="102"/>
      <c r="P256" s="102">
        <v>0.582788002931104</v>
      </c>
      <c r="Q256" s="104"/>
      <c r="R256" s="104"/>
      <c r="S256" s="104"/>
    </row>
    <row r="257" spans="1:19" ht="12.6" customHeight="1">
      <c r="A257" s="6">
        <f>MAX(A$245:A256)+1</f>
        <v>108</v>
      </c>
      <c r="D257" s="143" t="s">
        <v>567</v>
      </c>
      <c r="F257" s="51" t="s">
        <v>525</v>
      </c>
      <c r="H257" s="102">
        <v>6.2597999999999994</v>
      </c>
      <c r="I257" s="102"/>
      <c r="J257" s="102">
        <f t="shared" si="13"/>
        <v>6.4599999999999547E-2</v>
      </c>
      <c r="K257" s="102"/>
      <c r="L257" s="102">
        <v>6.3243954179080495</v>
      </c>
      <c r="M257" s="102"/>
      <c r="N257" s="102">
        <v>2.2122246821598939</v>
      </c>
      <c r="O257" s="102"/>
      <c r="P257" s="102">
        <v>4.1121707357481565</v>
      </c>
      <c r="R257" s="104"/>
      <c r="S257" s="104"/>
    </row>
    <row r="258" spans="1:19" ht="12.6" customHeight="1">
      <c r="A258" s="6"/>
      <c r="D258" s="143"/>
      <c r="F258" s="51"/>
      <c r="H258" s="102"/>
      <c r="I258" s="102"/>
      <c r="J258" s="102"/>
      <c r="K258" s="102"/>
      <c r="L258" s="102"/>
      <c r="M258" s="102"/>
      <c r="N258" s="102"/>
      <c r="O258" s="102"/>
      <c r="P258" s="102"/>
      <c r="R258" s="104"/>
      <c r="S258" s="104"/>
    </row>
    <row r="259" spans="1:19">
      <c r="A259" s="6">
        <f>MAX(A$245:A257)+1</f>
        <v>109</v>
      </c>
      <c r="D259" s="143" t="s">
        <v>568</v>
      </c>
      <c r="F259" s="51" t="s">
        <v>525</v>
      </c>
      <c r="H259" s="102">
        <v>18.274100000000001</v>
      </c>
      <c r="I259" s="102"/>
      <c r="J259" s="102">
        <f t="shared" si="13"/>
        <v>5.7000000000009265E-3</v>
      </c>
      <c r="K259" s="102"/>
      <c r="L259" s="102">
        <v>18.279797322243489</v>
      </c>
      <c r="M259" s="102"/>
      <c r="N259" s="102">
        <v>0.21419732224349022</v>
      </c>
      <c r="O259" s="102"/>
      <c r="P259" s="102">
        <v>18.0656</v>
      </c>
      <c r="R259" s="104"/>
      <c r="S259" s="104"/>
    </row>
    <row r="260" spans="1:19">
      <c r="A260" s="6">
        <f>MAX(A$245:A259)+1</f>
        <v>110</v>
      </c>
      <c r="D260" s="143" t="s">
        <v>569</v>
      </c>
      <c r="F260" s="51" t="s">
        <v>525</v>
      </c>
      <c r="H260" s="102">
        <v>20.820800000000002</v>
      </c>
      <c r="I260" s="102"/>
      <c r="J260" s="102">
        <f t="shared" si="13"/>
        <v>5.7000000000009265E-3</v>
      </c>
      <c r="K260" s="102"/>
      <c r="L260" s="102">
        <v>20.82649732224349</v>
      </c>
      <c r="M260" s="102"/>
      <c r="N260" s="102">
        <v>0.21419732224349022</v>
      </c>
      <c r="O260" s="102"/>
      <c r="P260" s="102">
        <v>20.612300000000001</v>
      </c>
      <c r="R260" s="104"/>
      <c r="S260" s="104"/>
    </row>
    <row r="261" spans="1:19">
      <c r="D261" s="136"/>
      <c r="F261" s="136"/>
      <c r="H261" s="104"/>
      <c r="L261" s="104"/>
    </row>
    <row r="262" spans="1:19">
      <c r="D262" s="243" t="s">
        <v>141</v>
      </c>
      <c r="F262" s="136"/>
      <c r="H262" s="104"/>
      <c r="L262" s="104"/>
    </row>
    <row r="263" spans="1:19" ht="12.95">
      <c r="A263" s="6">
        <f>A260+1</f>
        <v>111</v>
      </c>
      <c r="D263" s="13" t="s">
        <v>258</v>
      </c>
      <c r="F263" s="51" t="s">
        <v>523</v>
      </c>
      <c r="H263" s="330">
        <v>76.58</v>
      </c>
      <c r="I263" s="330"/>
      <c r="J263" s="330">
        <f t="shared" ref="J263:J278" si="14">ROUND(L263,4)-ROUND(H263,4)</f>
        <v>2.0926000000000045</v>
      </c>
      <c r="K263" s="330"/>
      <c r="L263" s="330">
        <v>78.672570443196562</v>
      </c>
      <c r="M263" s="331"/>
      <c r="N263" s="330">
        <v>78.672570443196562</v>
      </c>
      <c r="P263" s="99">
        <v>0</v>
      </c>
      <c r="R263" s="104"/>
      <c r="S263" s="104"/>
    </row>
    <row r="264" spans="1:19">
      <c r="A264" s="6"/>
      <c r="D264" s="136" t="s">
        <v>260</v>
      </c>
      <c r="H264" s="99"/>
      <c r="J264" s="99"/>
      <c r="L264" s="99"/>
      <c r="N264" s="99"/>
      <c r="P264" s="99"/>
      <c r="R264" s="104"/>
      <c r="S264" s="104"/>
    </row>
    <row r="265" spans="1:19" ht="14.45">
      <c r="A265" s="6">
        <f>A263+1</f>
        <v>112</v>
      </c>
      <c r="D265" s="136" t="s">
        <v>570</v>
      </c>
      <c r="F265" s="51" t="s">
        <v>525</v>
      </c>
      <c r="H265" s="102">
        <v>10.1913</v>
      </c>
      <c r="I265" s="102"/>
      <c r="J265" s="102">
        <f t="shared" si="14"/>
        <v>-0.36710000000000065</v>
      </c>
      <c r="K265" s="102"/>
      <c r="L265" s="102">
        <v>9.8242095022391034</v>
      </c>
      <c r="M265" s="102"/>
      <c r="N265" s="102">
        <v>9.8092115251875711</v>
      </c>
      <c r="O265" s="102"/>
      <c r="P265" s="102">
        <v>1.4997977051533285E-2</v>
      </c>
      <c r="R265" s="104"/>
      <c r="S265" s="104"/>
    </row>
    <row r="266" spans="1:19" ht="14.45">
      <c r="A266" s="6">
        <f t="shared" ref="A266:A269" si="15">A265+1</f>
        <v>113</v>
      </c>
      <c r="D266" s="52" t="s">
        <v>571</v>
      </c>
      <c r="F266" s="51" t="s">
        <v>525</v>
      </c>
      <c r="H266" s="102">
        <v>8.3182000000000009</v>
      </c>
      <c r="I266" s="102"/>
      <c r="J266" s="102">
        <f t="shared" si="14"/>
        <v>-0.3022999999999989</v>
      </c>
      <c r="K266" s="102"/>
      <c r="L266" s="102">
        <v>8.0158753741972433</v>
      </c>
      <c r="M266" s="102"/>
      <c r="N266" s="102">
        <v>8.0008773971457092</v>
      </c>
      <c r="O266" s="102"/>
      <c r="P266" s="102">
        <v>1.4997977051533285E-2</v>
      </c>
      <c r="R266" s="104"/>
      <c r="S266" s="104"/>
    </row>
    <row r="267" spans="1:19" ht="14.45">
      <c r="A267" s="6">
        <f t="shared" si="15"/>
        <v>114</v>
      </c>
      <c r="D267" s="52" t="s">
        <v>572</v>
      </c>
      <c r="F267" s="51" t="s">
        <v>525</v>
      </c>
      <c r="H267" s="102">
        <v>7.2328000000000001</v>
      </c>
      <c r="I267" s="102"/>
      <c r="J267" s="102">
        <f t="shared" si="14"/>
        <v>-0.26670000000000016</v>
      </c>
      <c r="K267" s="102"/>
      <c r="L267" s="102">
        <v>6.9661280358040507</v>
      </c>
      <c r="M267" s="102"/>
      <c r="N267" s="102">
        <v>6.9511300587525175</v>
      </c>
      <c r="O267" s="102"/>
      <c r="P267" s="102">
        <v>1.4997977051533285E-2</v>
      </c>
      <c r="R267" s="104"/>
      <c r="S267" s="104"/>
    </row>
    <row r="268" spans="1:19" ht="14.45">
      <c r="A268" s="6">
        <f t="shared" si="15"/>
        <v>115</v>
      </c>
      <c r="D268" s="52" t="s">
        <v>573</v>
      </c>
      <c r="F268" s="51" t="s">
        <v>525</v>
      </c>
      <c r="H268" s="102">
        <v>6.5511999999999997</v>
      </c>
      <c r="I268" s="102"/>
      <c r="J268" s="102">
        <f t="shared" si="14"/>
        <v>-0.24289999999999967</v>
      </c>
      <c r="K268" s="102"/>
      <c r="L268" s="102">
        <v>6.3083056740426215</v>
      </c>
      <c r="M268" s="102"/>
      <c r="N268" s="102">
        <v>6.2933076969910875</v>
      </c>
      <c r="O268" s="102"/>
      <c r="P268" s="102">
        <v>1.4997977051533285E-2</v>
      </c>
      <c r="R268" s="104"/>
      <c r="S268" s="104"/>
    </row>
    <row r="269" spans="1:19" ht="14.45">
      <c r="A269" s="6">
        <f t="shared" si="15"/>
        <v>116</v>
      </c>
      <c r="D269" s="52" t="s">
        <v>574</v>
      </c>
      <c r="F269" s="51" t="s">
        <v>525</v>
      </c>
      <c r="H269" s="102">
        <v>3.9687000000000001</v>
      </c>
      <c r="I269" s="102"/>
      <c r="J269" s="102">
        <f t="shared" si="14"/>
        <v>-0.15280000000000005</v>
      </c>
      <c r="K269" s="102"/>
      <c r="L269" s="102">
        <v>3.8159484961850549</v>
      </c>
      <c r="M269" s="102"/>
      <c r="N269" s="102">
        <v>3.8009505191335218</v>
      </c>
      <c r="O269" s="102"/>
      <c r="P269" s="102">
        <v>1.4997977051533285E-2</v>
      </c>
      <c r="R269" s="104"/>
      <c r="S269" s="104"/>
    </row>
    <row r="270" spans="1:19">
      <c r="A270" s="6"/>
      <c r="H270" s="104"/>
      <c r="J270" s="104"/>
      <c r="L270" s="104"/>
      <c r="N270" s="104"/>
      <c r="P270" s="104"/>
      <c r="R270" s="104"/>
      <c r="S270" s="104"/>
    </row>
    <row r="271" spans="1:19">
      <c r="A271" s="6">
        <f>MAX(A$245:A270)+1</f>
        <v>117</v>
      </c>
      <c r="D271" s="143" t="s">
        <v>564</v>
      </c>
      <c r="F271" s="51" t="s">
        <v>525</v>
      </c>
      <c r="H271" s="102">
        <v>3.9398999999999997</v>
      </c>
      <c r="I271" s="102"/>
      <c r="J271" s="102">
        <f t="shared" si="14"/>
        <v>-1.0099999999999998E-2</v>
      </c>
      <c r="K271" s="102"/>
      <c r="L271" s="102">
        <v>3.9297650770498587</v>
      </c>
      <c r="M271" s="102"/>
      <c r="N271" s="102">
        <v>-0.40026909326644766</v>
      </c>
      <c r="O271" s="102"/>
      <c r="P271" s="102">
        <v>4.3300341703163063</v>
      </c>
      <c r="R271" s="104"/>
      <c r="S271" s="104"/>
    </row>
    <row r="272" spans="1:19">
      <c r="A272" s="6">
        <f>MAX(A$245:A271)+1</f>
        <v>118</v>
      </c>
      <c r="D272" s="143" t="s">
        <v>565</v>
      </c>
      <c r="F272" s="51" t="s">
        <v>525</v>
      </c>
      <c r="H272" s="102">
        <v>2.1114999999999999</v>
      </c>
      <c r="I272" s="102"/>
      <c r="J272" s="102">
        <f t="shared" si="14"/>
        <v>3.00000000000189E-4</v>
      </c>
      <c r="K272" s="102"/>
      <c r="L272" s="102">
        <v>2.1118065962820181</v>
      </c>
      <c r="M272" s="102"/>
      <c r="N272" s="102">
        <v>-0.16446645056322071</v>
      </c>
      <c r="O272" s="102"/>
      <c r="P272" s="102">
        <v>2.276273046845239</v>
      </c>
      <c r="R272" s="104"/>
      <c r="S272" s="104"/>
    </row>
    <row r="273" spans="1:20">
      <c r="A273" s="6"/>
      <c r="D273" s="143"/>
      <c r="F273" s="51"/>
      <c r="H273" s="102"/>
      <c r="I273" s="102"/>
      <c r="J273" s="102"/>
      <c r="K273" s="102"/>
      <c r="L273" s="102"/>
      <c r="M273" s="102"/>
      <c r="N273" s="102"/>
      <c r="O273" s="102"/>
      <c r="P273" s="102"/>
      <c r="R273" s="104"/>
      <c r="S273" s="104"/>
    </row>
    <row r="274" spans="1:20">
      <c r="A274" s="6">
        <f>MAX(A$245:A272)+1</f>
        <v>119</v>
      </c>
      <c r="D274" s="143" t="s">
        <v>566</v>
      </c>
      <c r="F274" s="51" t="s">
        <v>525</v>
      </c>
      <c r="H274" s="102">
        <v>1.8104</v>
      </c>
      <c r="I274" s="102"/>
      <c r="J274" s="102">
        <f t="shared" si="14"/>
        <v>4.0300000000000002E-2</v>
      </c>
      <c r="K274" s="102"/>
      <c r="L274" s="102">
        <v>1.8506622626902354</v>
      </c>
      <c r="M274" s="102"/>
      <c r="N274" s="102">
        <v>1.4535512082191482</v>
      </c>
      <c r="O274" s="102"/>
      <c r="P274" s="102">
        <v>0.39711105447108719</v>
      </c>
      <c r="R274" s="104"/>
      <c r="S274" s="104"/>
    </row>
    <row r="275" spans="1:20">
      <c r="A275" s="6">
        <f>MAX(A$245:A274)+1</f>
        <v>120</v>
      </c>
      <c r="B275" s="136"/>
      <c r="C275" s="136"/>
      <c r="D275" s="143" t="s">
        <v>567</v>
      </c>
      <c r="E275" s="136"/>
      <c r="F275" s="51" t="s">
        <v>525</v>
      </c>
      <c r="G275" s="136"/>
      <c r="H275" s="102">
        <v>4.6779999999999999</v>
      </c>
      <c r="I275" s="102"/>
      <c r="J275" s="102">
        <f t="shared" si="14"/>
        <v>4.9500000000000099E-2</v>
      </c>
      <c r="K275" s="102"/>
      <c r="L275" s="102">
        <v>4.7275066040857805</v>
      </c>
      <c r="M275" s="102"/>
      <c r="N275" s="102">
        <v>1.6293289278314149</v>
      </c>
      <c r="O275" s="102"/>
      <c r="P275" s="102">
        <v>3.0981776762543665</v>
      </c>
      <c r="Q275" s="136"/>
      <c r="R275" s="104"/>
      <c r="S275" s="104"/>
      <c r="T275" s="136"/>
    </row>
    <row r="276" spans="1:20">
      <c r="A276" s="6"/>
      <c r="B276" s="136"/>
      <c r="C276" s="136"/>
      <c r="D276" s="143"/>
      <c r="E276" s="136"/>
      <c r="F276" s="51"/>
      <c r="G276" s="136"/>
      <c r="H276" s="102"/>
      <c r="I276" s="102"/>
      <c r="J276" s="102"/>
      <c r="K276" s="102"/>
      <c r="L276" s="102"/>
      <c r="M276" s="102"/>
      <c r="N276" s="102"/>
      <c r="O276" s="102"/>
      <c r="P276" s="102"/>
      <c r="Q276" s="136"/>
      <c r="R276" s="104"/>
      <c r="S276" s="104"/>
      <c r="T276" s="136"/>
    </row>
    <row r="277" spans="1:20">
      <c r="A277" s="6">
        <f>MAX(A$245:A275)+1</f>
        <v>121</v>
      </c>
      <c r="B277" s="136"/>
      <c r="C277" s="136"/>
      <c r="D277" s="143" t="s">
        <v>568</v>
      </c>
      <c r="E277" s="136"/>
      <c r="F277" s="51" t="s">
        <v>525</v>
      </c>
      <c r="G277" s="136"/>
      <c r="H277" s="102">
        <v>18.274100000000001</v>
      </c>
      <c r="I277" s="102"/>
      <c r="J277" s="102">
        <f t="shared" si="14"/>
        <v>5.7000000000009265E-3</v>
      </c>
      <c r="K277" s="102"/>
      <c r="L277" s="102">
        <v>18.279797322243493</v>
      </c>
      <c r="M277" s="102"/>
      <c r="N277" s="102">
        <v>0.21419732224349022</v>
      </c>
      <c r="O277" s="102"/>
      <c r="P277" s="102">
        <v>18.0656</v>
      </c>
      <c r="Q277" s="136"/>
      <c r="R277" s="104"/>
      <c r="S277" s="104"/>
      <c r="T277" s="136"/>
    </row>
    <row r="278" spans="1:20">
      <c r="A278" s="6">
        <f>MAX(A$245:A277)+1</f>
        <v>122</v>
      </c>
      <c r="B278" s="136"/>
      <c r="C278" s="136"/>
      <c r="D278" s="143" t="s">
        <v>569</v>
      </c>
      <c r="E278" s="136"/>
      <c r="F278" s="51" t="s">
        <v>525</v>
      </c>
      <c r="G278" s="136"/>
      <c r="H278" s="102">
        <v>20.820800000000002</v>
      </c>
      <c r="I278" s="102"/>
      <c r="J278" s="102">
        <f t="shared" si="14"/>
        <v>5.7000000000009265E-3</v>
      </c>
      <c r="K278" s="102"/>
      <c r="L278" s="102">
        <v>20.826497322243494</v>
      </c>
      <c r="M278" s="102"/>
      <c r="N278" s="102">
        <v>0.21419732224349017</v>
      </c>
      <c r="O278" s="102"/>
      <c r="P278" s="102">
        <v>20.612300000000001</v>
      </c>
      <c r="Q278" s="136"/>
      <c r="R278" s="104"/>
      <c r="S278" s="104"/>
      <c r="T278" s="136"/>
    </row>
    <row r="279" spans="1:20">
      <c r="A279" s="6"/>
      <c r="B279" s="136"/>
      <c r="C279" s="136"/>
      <c r="E279" s="136"/>
      <c r="F279" s="136"/>
      <c r="G279" s="136"/>
      <c r="H279" s="144"/>
      <c r="I279" s="136"/>
      <c r="J279" s="136"/>
      <c r="K279" s="136"/>
      <c r="L279" s="144"/>
      <c r="M279" s="136"/>
      <c r="N279" s="136"/>
      <c r="O279" s="136"/>
      <c r="P279" s="136"/>
      <c r="Q279" s="136"/>
      <c r="R279" s="104"/>
      <c r="S279" s="104"/>
      <c r="T279" s="136"/>
    </row>
    <row r="280" spans="1:20">
      <c r="A280" s="6"/>
      <c r="B280" s="136"/>
      <c r="C280" s="136"/>
      <c r="D280" s="301" t="s">
        <v>142</v>
      </c>
      <c r="E280" s="136"/>
      <c r="F280" s="136"/>
      <c r="G280" s="136"/>
      <c r="H280" s="144"/>
      <c r="I280" s="136"/>
      <c r="J280" s="136"/>
      <c r="K280" s="136"/>
      <c r="L280" s="144"/>
      <c r="M280" s="136"/>
      <c r="N280" s="136"/>
      <c r="O280" s="136"/>
      <c r="P280" s="136"/>
      <c r="Q280" s="136"/>
      <c r="R280" s="104"/>
      <c r="S280" s="104"/>
      <c r="T280" s="136"/>
    </row>
    <row r="281" spans="1:20" ht="12.95">
      <c r="A281" s="6">
        <f>MAX(A$245:A280)+1</f>
        <v>123</v>
      </c>
      <c r="B281" s="136"/>
      <c r="C281" s="136"/>
      <c r="D281" s="13" t="s">
        <v>258</v>
      </c>
      <c r="E281" s="136"/>
      <c r="F281" s="51" t="s">
        <v>523</v>
      </c>
      <c r="G281" s="136"/>
      <c r="H281" s="330">
        <v>1090.76</v>
      </c>
      <c r="I281" s="330"/>
      <c r="J281" s="330">
        <f t="shared" ref="J281:J304" si="16">ROUND(L281,4)-ROUND(H281,4)</f>
        <v>29.805299999999988</v>
      </c>
      <c r="K281" s="330"/>
      <c r="L281" s="330">
        <v>1120.5653295458487</v>
      </c>
      <c r="M281" s="331"/>
      <c r="N281" s="330">
        <v>1120.5653295458487</v>
      </c>
      <c r="O281" s="136"/>
      <c r="P281" s="149">
        <v>0</v>
      </c>
      <c r="Q281" s="136"/>
      <c r="R281" s="104"/>
      <c r="S281" s="104"/>
      <c r="T281" s="136"/>
    </row>
    <row r="282" spans="1:20">
      <c r="A282" s="6"/>
      <c r="B282" s="136"/>
      <c r="C282" s="136"/>
      <c r="D282" s="136" t="s">
        <v>280</v>
      </c>
      <c r="E282" s="136"/>
      <c r="F282" s="136"/>
      <c r="G282" s="136"/>
      <c r="H282" s="99"/>
      <c r="I282" s="136"/>
      <c r="J282" s="99"/>
      <c r="K282" s="136"/>
      <c r="L282" s="99"/>
      <c r="M282" s="136"/>
      <c r="N282" s="99"/>
      <c r="O282" s="136"/>
      <c r="P282" s="99"/>
      <c r="Q282" s="136"/>
      <c r="R282" s="104"/>
      <c r="S282" s="104"/>
      <c r="T282" s="136"/>
    </row>
    <row r="283" spans="1:20" ht="14.45">
      <c r="A283" s="6">
        <f>MAX(A$245:A282)+1</f>
        <v>124</v>
      </c>
      <c r="B283" s="136"/>
      <c r="C283" s="136"/>
      <c r="D283" s="136" t="s">
        <v>575</v>
      </c>
      <c r="E283" s="136"/>
      <c r="F283" s="51" t="s">
        <v>540</v>
      </c>
      <c r="G283" s="136"/>
      <c r="H283" s="102">
        <v>34.796800000000005</v>
      </c>
      <c r="I283" s="102"/>
      <c r="J283" s="102">
        <f t="shared" si="16"/>
        <v>0.35770000000000124</v>
      </c>
      <c r="K283" s="102"/>
      <c r="L283" s="102">
        <v>35.154454728660021</v>
      </c>
      <c r="M283" s="102"/>
      <c r="N283" s="102">
        <v>35.154454728660021</v>
      </c>
      <c r="O283" s="102"/>
      <c r="P283" s="275">
        <v>0</v>
      </c>
      <c r="Q283" s="136"/>
      <c r="R283" s="104"/>
      <c r="S283" s="104"/>
      <c r="T283" s="136"/>
    </row>
    <row r="284" spans="1:20" ht="14.45">
      <c r="A284" s="6">
        <f>MAX(A$245:A283)+1</f>
        <v>125</v>
      </c>
      <c r="B284" s="136"/>
      <c r="C284" s="136"/>
      <c r="D284" s="52" t="s">
        <v>576</v>
      </c>
      <c r="E284" s="136"/>
      <c r="F284" s="51" t="s">
        <v>540</v>
      </c>
      <c r="G284" s="136"/>
      <c r="H284" s="102">
        <v>20.462300000000003</v>
      </c>
      <c r="I284" s="102"/>
      <c r="J284" s="102">
        <f t="shared" si="16"/>
        <v>0.21030000000000015</v>
      </c>
      <c r="K284" s="102"/>
      <c r="L284" s="102">
        <v>20.672580286481455</v>
      </c>
      <c r="M284" s="102"/>
      <c r="N284" s="102">
        <v>20.672580286481455</v>
      </c>
      <c r="O284" s="102"/>
      <c r="P284" s="275">
        <v>0</v>
      </c>
      <c r="Q284" s="136"/>
      <c r="R284" s="104"/>
      <c r="S284" s="104"/>
      <c r="T284" s="136"/>
    </row>
    <row r="285" spans="1:20">
      <c r="A285" s="6"/>
      <c r="B285" s="136"/>
      <c r="C285" s="136"/>
      <c r="D285" s="136" t="s">
        <v>260</v>
      </c>
      <c r="E285" s="136"/>
      <c r="F285" s="105"/>
      <c r="G285" s="136"/>
      <c r="H285" s="102"/>
      <c r="I285" s="102"/>
      <c r="J285" s="102"/>
      <c r="K285" s="102"/>
      <c r="L285" s="102"/>
      <c r="M285" s="102"/>
      <c r="N285" s="102"/>
      <c r="O285" s="102"/>
      <c r="P285" s="102"/>
      <c r="Q285" s="136"/>
      <c r="R285" s="104"/>
      <c r="S285" s="104"/>
      <c r="T285" s="136"/>
    </row>
    <row r="286" spans="1:20" ht="14.45">
      <c r="A286" s="6">
        <f>MAX(A$245:A285)+1</f>
        <v>126</v>
      </c>
      <c r="B286" s="136"/>
      <c r="C286" s="136"/>
      <c r="D286" s="136" t="s">
        <v>577</v>
      </c>
      <c r="E286" s="136"/>
      <c r="F286" s="51" t="s">
        <v>525</v>
      </c>
      <c r="G286" s="136"/>
      <c r="H286" s="102">
        <v>0.77600000000000002</v>
      </c>
      <c r="I286" s="102"/>
      <c r="J286" s="102">
        <f t="shared" si="16"/>
        <v>-1.6700000000000048E-2</v>
      </c>
      <c r="K286" s="102"/>
      <c r="L286" s="102">
        <v>0.75926512076320185</v>
      </c>
      <c r="M286" s="102"/>
      <c r="N286" s="102">
        <v>0.75260976844658378</v>
      </c>
      <c r="O286" s="102"/>
      <c r="P286" s="102">
        <v>6.6553523166178958E-3</v>
      </c>
      <c r="Q286" s="136"/>
      <c r="R286" s="104"/>
      <c r="S286" s="104"/>
      <c r="T286" s="136"/>
    </row>
    <row r="287" spans="1:20" ht="14.45">
      <c r="A287" s="6">
        <f>MAX(A$245:A286)+1</f>
        <v>127</v>
      </c>
      <c r="B287" s="136"/>
      <c r="C287" s="136"/>
      <c r="D287" s="52" t="s">
        <v>578</v>
      </c>
      <c r="E287" s="136"/>
      <c r="F287" s="51" t="s">
        <v>525</v>
      </c>
      <c r="G287" s="136"/>
      <c r="H287" s="102">
        <v>0.5645</v>
      </c>
      <c r="I287" s="102"/>
      <c r="J287" s="102">
        <f t="shared" si="16"/>
        <v>-1.2199999999999989E-2</v>
      </c>
      <c r="K287" s="102"/>
      <c r="L287" s="102">
        <v>0.55226468148925756</v>
      </c>
      <c r="M287" s="102"/>
      <c r="N287" s="102">
        <v>0.54560932917263982</v>
      </c>
      <c r="O287" s="102"/>
      <c r="P287" s="102">
        <v>6.6553523166178958E-3</v>
      </c>
      <c r="Q287" s="136"/>
      <c r="R287" s="104"/>
      <c r="S287" s="104"/>
      <c r="T287" s="136"/>
    </row>
    <row r="288" spans="1:20">
      <c r="A288" s="6"/>
      <c r="B288" s="136"/>
      <c r="C288" s="136"/>
      <c r="E288" s="136"/>
      <c r="F288" s="136"/>
      <c r="G288" s="136"/>
      <c r="H288" s="144"/>
      <c r="I288" s="136"/>
      <c r="J288" s="104"/>
      <c r="K288" s="136"/>
      <c r="L288" s="144"/>
      <c r="M288" s="136"/>
      <c r="N288" s="145"/>
      <c r="O288" s="136"/>
      <c r="P288" s="145"/>
      <c r="Q288" s="136"/>
      <c r="R288" s="104"/>
      <c r="S288" s="104"/>
      <c r="T288" s="136"/>
    </row>
    <row r="289" spans="1:20">
      <c r="A289" s="6"/>
      <c r="B289" s="136"/>
      <c r="C289" s="136"/>
      <c r="D289" s="136" t="s">
        <v>323</v>
      </c>
      <c r="E289" s="136"/>
      <c r="G289" s="136"/>
      <c r="H289" s="102"/>
      <c r="I289" s="102"/>
      <c r="J289" s="102"/>
      <c r="K289" s="102"/>
      <c r="L289" s="102"/>
      <c r="M289" s="102"/>
      <c r="N289" s="102"/>
      <c r="O289" s="102"/>
      <c r="P289" s="102"/>
      <c r="Q289" s="136"/>
      <c r="R289" s="104"/>
      <c r="S289" s="104"/>
      <c r="T289" s="136"/>
    </row>
    <row r="290" spans="1:20">
      <c r="A290" s="6">
        <f>MAX(A$245:A289)+1</f>
        <v>128</v>
      </c>
      <c r="B290" s="136"/>
      <c r="C290" s="136"/>
      <c r="D290" s="142" t="s">
        <v>306</v>
      </c>
      <c r="E290" s="136"/>
      <c r="F290" s="51" t="s">
        <v>540</v>
      </c>
      <c r="G290" s="136"/>
      <c r="H290" s="102">
        <v>41.884799999999998</v>
      </c>
      <c r="I290" s="102"/>
      <c r="J290" s="102">
        <f t="shared" si="16"/>
        <v>0.16029999999999944</v>
      </c>
      <c r="K290" s="102"/>
      <c r="L290" s="102">
        <v>42.045108220196624</v>
      </c>
      <c r="M290" s="102"/>
      <c r="N290" s="102">
        <v>6.0269702207860858</v>
      </c>
      <c r="O290" s="102"/>
      <c r="P290" s="102">
        <v>36.018137999410541</v>
      </c>
      <c r="Q290" s="136"/>
      <c r="R290" s="104"/>
      <c r="S290" s="104"/>
      <c r="T290" s="136"/>
    </row>
    <row r="291" spans="1:20">
      <c r="A291" s="6">
        <f>MAX(A$245:A290)+1</f>
        <v>129</v>
      </c>
      <c r="B291" s="136"/>
      <c r="C291" s="136"/>
      <c r="D291" s="142" t="s">
        <v>307</v>
      </c>
      <c r="E291" s="136"/>
      <c r="F291" s="51" t="s">
        <v>540</v>
      </c>
      <c r="G291" s="136"/>
      <c r="H291" s="102">
        <v>43.368399999999994</v>
      </c>
      <c r="I291" s="102"/>
      <c r="J291" s="102">
        <f t="shared" si="16"/>
        <v>0.11889999999999645</v>
      </c>
      <c r="K291" s="102"/>
      <c r="L291" s="102">
        <v>43.48726669063079</v>
      </c>
      <c r="M291" s="102"/>
      <c r="N291" s="102">
        <v>4.4689286912202473</v>
      </c>
      <c r="O291" s="102"/>
      <c r="P291" s="102">
        <v>39.018337999410548</v>
      </c>
      <c r="Q291" s="136"/>
      <c r="R291" s="104"/>
      <c r="S291" s="104"/>
      <c r="T291" s="136"/>
    </row>
    <row r="292" spans="1:20">
      <c r="A292" s="6"/>
      <c r="B292" s="136"/>
      <c r="C292" s="136"/>
      <c r="D292" s="136" t="s">
        <v>579</v>
      </c>
      <c r="E292" s="136"/>
      <c r="G292" s="136"/>
      <c r="H292" s="102"/>
      <c r="I292" s="102"/>
      <c r="J292" s="102"/>
      <c r="K292" s="102"/>
      <c r="L292" s="102"/>
      <c r="M292" s="102"/>
      <c r="N292" s="102"/>
      <c r="O292" s="102"/>
      <c r="P292" s="102"/>
      <c r="Q292" s="136"/>
      <c r="R292" s="104"/>
      <c r="S292" s="104"/>
      <c r="T292" s="136"/>
    </row>
    <row r="293" spans="1:20">
      <c r="A293" s="6">
        <f>MAX(A$245:A292)+1</f>
        <v>130</v>
      </c>
      <c r="B293" s="136"/>
      <c r="C293" s="136"/>
      <c r="D293" s="142" t="s">
        <v>306</v>
      </c>
      <c r="E293" s="136"/>
      <c r="F293" s="51" t="s">
        <v>525</v>
      </c>
      <c r="G293" s="136"/>
      <c r="H293" s="102">
        <v>2.5133000000000001</v>
      </c>
      <c r="I293" s="102"/>
      <c r="J293" s="102">
        <f t="shared" si="16"/>
        <v>6.3999999999997392E-3</v>
      </c>
      <c r="K293" s="102"/>
      <c r="L293" s="102">
        <v>2.5196786155898971</v>
      </c>
      <c r="M293" s="102"/>
      <c r="N293" s="102">
        <v>-0.12692189571313442</v>
      </c>
      <c r="O293" s="102"/>
      <c r="P293" s="102">
        <v>2.6466005113030318</v>
      </c>
      <c r="Q293" s="136"/>
      <c r="R293" s="104"/>
      <c r="S293" s="104"/>
      <c r="T293" s="136"/>
    </row>
    <row r="294" spans="1:20">
      <c r="A294" s="6">
        <f>MAX(A$245:A293)+1</f>
        <v>131</v>
      </c>
      <c r="B294" s="136"/>
      <c r="C294" s="136"/>
      <c r="D294" s="142" t="s">
        <v>307</v>
      </c>
      <c r="E294" s="136"/>
      <c r="F294" s="51" t="s">
        <v>525</v>
      </c>
      <c r="G294" s="136"/>
      <c r="H294" s="102">
        <v>1.7764000000000002</v>
      </c>
      <c r="I294" s="102"/>
      <c r="J294" s="102">
        <f t="shared" si="16"/>
        <v>5.1000000000001044E-3</v>
      </c>
      <c r="K294" s="102"/>
      <c r="L294" s="102">
        <v>1.78148289914636</v>
      </c>
      <c r="M294" s="102"/>
      <c r="N294" s="102">
        <v>-0.20862507575162251</v>
      </c>
      <c r="O294" s="102"/>
      <c r="P294" s="102">
        <v>1.9901079748979824</v>
      </c>
      <c r="Q294" s="136"/>
      <c r="R294" s="104"/>
      <c r="S294" s="104"/>
      <c r="T294" s="136"/>
    </row>
    <row r="295" spans="1:20">
      <c r="A295" s="6"/>
      <c r="B295" s="136"/>
      <c r="C295" s="136"/>
      <c r="D295" s="136" t="s">
        <v>580</v>
      </c>
      <c r="E295" s="136"/>
      <c r="G295" s="136"/>
      <c r="H295" s="102"/>
      <c r="I295" s="102"/>
      <c r="J295" s="102"/>
      <c r="K295" s="102"/>
      <c r="L295" s="102"/>
      <c r="M295" s="102"/>
      <c r="N295" s="102"/>
      <c r="O295" s="102"/>
      <c r="P295" s="102"/>
      <c r="Q295" s="136"/>
      <c r="R295" s="104"/>
      <c r="S295" s="104"/>
      <c r="T295" s="136"/>
    </row>
    <row r="296" spans="1:20">
      <c r="A296" s="6">
        <f>MAX(A$245:A295)+1</f>
        <v>132</v>
      </c>
      <c r="B296" s="136"/>
      <c r="C296" s="136"/>
      <c r="D296" s="142" t="s">
        <v>306</v>
      </c>
      <c r="E296" s="136"/>
      <c r="F296" s="51" t="s">
        <v>525</v>
      </c>
      <c r="G296" s="136"/>
      <c r="H296" s="275">
        <v>0</v>
      </c>
      <c r="I296" s="275"/>
      <c r="J296" s="275">
        <f t="shared" si="16"/>
        <v>0</v>
      </c>
      <c r="K296" s="275"/>
      <c r="L296" s="275">
        <v>0</v>
      </c>
      <c r="M296" s="275"/>
      <c r="N296" s="275">
        <v>0</v>
      </c>
      <c r="O296" s="275"/>
      <c r="P296" s="275">
        <v>0</v>
      </c>
      <c r="Q296" s="136"/>
      <c r="R296" s="104"/>
      <c r="S296" s="104"/>
      <c r="T296" s="136"/>
    </row>
    <row r="297" spans="1:20">
      <c r="A297" s="6">
        <f>MAX(A$245:A296)+1</f>
        <v>133</v>
      </c>
      <c r="B297" s="136"/>
      <c r="C297" s="136"/>
      <c r="D297" s="142" t="s">
        <v>307</v>
      </c>
      <c r="E297" s="136"/>
      <c r="F297" s="51" t="s">
        <v>525</v>
      </c>
      <c r="G297" s="136"/>
      <c r="H297" s="275">
        <v>0</v>
      </c>
      <c r="I297" s="275"/>
      <c r="J297" s="275">
        <f t="shared" si="16"/>
        <v>0</v>
      </c>
      <c r="K297" s="275"/>
      <c r="L297" s="275">
        <v>0</v>
      </c>
      <c r="M297" s="275"/>
      <c r="N297" s="275">
        <v>0</v>
      </c>
      <c r="O297" s="275"/>
      <c r="P297" s="275">
        <v>0</v>
      </c>
      <c r="Q297" s="136"/>
      <c r="R297" s="104"/>
      <c r="S297" s="104"/>
      <c r="T297" s="136"/>
    </row>
    <row r="298" spans="1:20">
      <c r="A298" s="6"/>
      <c r="B298" s="136"/>
      <c r="C298" s="136"/>
      <c r="D298" s="142"/>
      <c r="E298" s="136"/>
      <c r="F298" s="51"/>
      <c r="G298" s="136"/>
      <c r="H298" s="275"/>
      <c r="I298" s="275"/>
      <c r="J298" s="275"/>
      <c r="K298" s="275"/>
      <c r="L298" s="275"/>
      <c r="M298" s="275"/>
      <c r="N298" s="275"/>
      <c r="O298" s="275"/>
      <c r="P298" s="275"/>
      <c r="Q298" s="136"/>
      <c r="R298" s="104"/>
      <c r="S298" s="104"/>
      <c r="T298" s="136"/>
    </row>
    <row r="299" spans="1:20">
      <c r="A299" s="6"/>
      <c r="B299" s="136"/>
      <c r="C299" s="136"/>
      <c r="D299" s="136" t="s">
        <v>327</v>
      </c>
      <c r="E299" s="136"/>
      <c r="G299" s="136"/>
      <c r="H299" s="102"/>
      <c r="I299" s="102"/>
      <c r="J299" s="102"/>
      <c r="K299" s="102"/>
      <c r="L299" s="102"/>
      <c r="M299" s="102"/>
      <c r="N299" s="102"/>
      <c r="O299" s="102"/>
      <c r="P299" s="102"/>
      <c r="Q299" s="136"/>
      <c r="R299" s="104"/>
      <c r="S299" s="104"/>
      <c r="T299" s="136"/>
    </row>
    <row r="300" spans="1:20">
      <c r="A300" s="6">
        <f>MAX(A$245:A299)+1</f>
        <v>134</v>
      </c>
      <c r="B300" s="136"/>
      <c r="C300" s="136"/>
      <c r="D300" s="142" t="s">
        <v>581</v>
      </c>
      <c r="E300" s="136"/>
      <c r="F300" s="51" t="s">
        <v>582</v>
      </c>
      <c r="G300" s="136"/>
      <c r="H300" s="246">
        <v>18.835000000000001</v>
      </c>
      <c r="I300" s="246"/>
      <c r="J300" s="246">
        <f t="shared" si="16"/>
        <v>0.21549999999999869</v>
      </c>
      <c r="K300" s="246"/>
      <c r="L300" s="246">
        <v>19.050487209650669</v>
      </c>
      <c r="M300" s="246"/>
      <c r="N300" s="246">
        <v>8.1014872096506672</v>
      </c>
      <c r="O300" s="246"/>
      <c r="P300" s="246">
        <v>10.949000000000002</v>
      </c>
      <c r="Q300" s="136"/>
      <c r="R300" s="104"/>
      <c r="S300" s="104"/>
      <c r="T300" s="136"/>
    </row>
    <row r="301" spans="1:20">
      <c r="A301" s="6">
        <f>MAX(A$245:A300)+1</f>
        <v>135</v>
      </c>
      <c r="B301" s="136"/>
      <c r="C301" s="136"/>
      <c r="D301" s="142" t="s">
        <v>583</v>
      </c>
      <c r="E301" s="136"/>
      <c r="F301" s="51" t="s">
        <v>584</v>
      </c>
      <c r="G301" s="136"/>
      <c r="H301" s="246">
        <v>0.24</v>
      </c>
      <c r="I301" s="246"/>
      <c r="J301" s="246">
        <f t="shared" si="16"/>
        <v>5.7000000000000106E-3</v>
      </c>
      <c r="K301" s="246"/>
      <c r="L301" s="246">
        <v>0.2456690916945328</v>
      </c>
      <c r="M301" s="246"/>
      <c r="N301" s="246">
        <v>0.14690751597515156</v>
      </c>
      <c r="O301" s="246"/>
      <c r="P301" s="246">
        <v>9.8761575719381239E-2</v>
      </c>
      <c r="Q301" s="136"/>
      <c r="R301" s="104"/>
      <c r="S301" s="104"/>
      <c r="T301" s="136"/>
    </row>
    <row r="302" spans="1:20">
      <c r="A302" s="6"/>
      <c r="B302" s="136"/>
      <c r="C302" s="136"/>
      <c r="D302" s="142"/>
      <c r="E302" s="136"/>
      <c r="F302" s="51"/>
      <c r="G302" s="136"/>
      <c r="H302" s="246"/>
      <c r="I302" s="246"/>
      <c r="J302" s="246"/>
      <c r="K302" s="246"/>
      <c r="L302" s="246"/>
      <c r="M302" s="246"/>
      <c r="N302" s="246"/>
      <c r="O302" s="246"/>
      <c r="P302" s="246"/>
      <c r="Q302" s="136"/>
      <c r="R302" s="104"/>
      <c r="S302" s="104"/>
      <c r="T302" s="136"/>
    </row>
    <row r="303" spans="1:20">
      <c r="A303" s="6">
        <f>MAX(A$245:A301)+1</f>
        <v>136</v>
      </c>
      <c r="B303" s="136"/>
      <c r="C303" s="136"/>
      <c r="D303" s="143" t="s">
        <v>568</v>
      </c>
      <c r="E303" s="136"/>
      <c r="F303" s="51" t="s">
        <v>525</v>
      </c>
      <c r="G303" s="136"/>
      <c r="H303" s="102">
        <v>17.706099999999999</v>
      </c>
      <c r="I303" s="102"/>
      <c r="J303" s="102">
        <f t="shared" si="16"/>
        <v>5.7000000000009265E-3</v>
      </c>
      <c r="K303" s="102"/>
      <c r="L303" s="102">
        <v>17.711797322243488</v>
      </c>
      <c r="M303" s="102"/>
      <c r="N303" s="102">
        <v>0.21419732224349017</v>
      </c>
      <c r="O303" s="102"/>
      <c r="P303" s="102">
        <v>17.497599999999998</v>
      </c>
      <c r="Q303" s="136"/>
      <c r="R303" s="104"/>
      <c r="S303" s="104"/>
      <c r="T303" s="136"/>
    </row>
    <row r="304" spans="1:20">
      <c r="A304" s="6">
        <f>MAX(A$245:A303)+1</f>
        <v>137</v>
      </c>
      <c r="B304" s="136"/>
      <c r="C304" s="136"/>
      <c r="D304" s="143" t="s">
        <v>569</v>
      </c>
      <c r="E304" s="136"/>
      <c r="F304" s="51" t="s">
        <v>525</v>
      </c>
      <c r="G304" s="136"/>
      <c r="H304" s="102">
        <v>20.172700000000003</v>
      </c>
      <c r="I304" s="102"/>
      <c r="J304" s="102">
        <f t="shared" si="16"/>
        <v>5.7000000000009265E-3</v>
      </c>
      <c r="K304" s="102"/>
      <c r="L304" s="102">
        <v>20.178397322243491</v>
      </c>
      <c r="M304" s="102"/>
      <c r="N304" s="102">
        <v>0.21419732224349022</v>
      </c>
      <c r="O304" s="102"/>
      <c r="P304" s="102">
        <v>19.964200000000002</v>
      </c>
      <c r="Q304" s="136"/>
      <c r="R304" s="104"/>
      <c r="S304" s="104"/>
      <c r="T304" s="136"/>
    </row>
    <row r="305" spans="1:20">
      <c r="A305" s="6"/>
      <c r="B305" s="136"/>
      <c r="C305" s="136"/>
      <c r="E305" s="136"/>
      <c r="G305" s="136"/>
      <c r="H305" s="136"/>
      <c r="I305" s="136"/>
      <c r="J305" s="136"/>
      <c r="K305" s="136"/>
      <c r="L305" s="144"/>
      <c r="M305" s="136"/>
      <c r="N305" s="136"/>
      <c r="O305" s="136"/>
      <c r="P305" s="136"/>
      <c r="Q305" s="136"/>
      <c r="R305" s="104"/>
      <c r="S305" s="104"/>
      <c r="T305" s="136"/>
    </row>
    <row r="306" spans="1:20">
      <c r="A306" s="6"/>
      <c r="B306" s="136"/>
      <c r="C306" s="136"/>
      <c r="D306" s="136"/>
      <c r="E306" s="136"/>
      <c r="G306" s="136"/>
      <c r="H306" s="136"/>
      <c r="I306" s="136"/>
      <c r="J306" s="136"/>
      <c r="K306" s="136"/>
      <c r="L306" s="144"/>
      <c r="M306" s="136"/>
      <c r="N306" s="136"/>
      <c r="O306" s="136"/>
      <c r="P306" s="136"/>
      <c r="Q306" s="136"/>
      <c r="R306" s="104"/>
      <c r="S306" s="104"/>
      <c r="T306" s="136"/>
    </row>
    <row r="307" spans="1:20">
      <c r="A307" s="6"/>
      <c r="B307" s="136"/>
      <c r="C307" s="136"/>
      <c r="E307" s="136"/>
      <c r="G307" s="136"/>
      <c r="H307" s="136"/>
      <c r="I307" s="136"/>
      <c r="J307" s="136"/>
      <c r="K307" s="136"/>
      <c r="L307" s="144"/>
      <c r="M307" s="136"/>
      <c r="N307" s="136"/>
      <c r="O307" s="136"/>
      <c r="P307" s="136"/>
      <c r="Q307" s="136"/>
      <c r="R307" s="104"/>
      <c r="S307" s="104"/>
      <c r="T307" s="136"/>
    </row>
    <row r="308" spans="1:20">
      <c r="A308" s="6"/>
      <c r="B308" s="136"/>
      <c r="C308" s="136"/>
      <c r="E308" s="136"/>
      <c r="G308" s="136"/>
      <c r="H308" s="136"/>
      <c r="I308" s="136"/>
      <c r="J308" s="136"/>
      <c r="K308" s="136"/>
      <c r="L308" s="144"/>
      <c r="M308" s="136"/>
      <c r="N308" s="136"/>
      <c r="O308" s="136"/>
      <c r="P308" s="136"/>
      <c r="Q308" s="136"/>
      <c r="R308" s="104"/>
      <c r="S308" s="104"/>
      <c r="T308" s="136"/>
    </row>
    <row r="309" spans="1:20">
      <c r="A309" s="6"/>
      <c r="B309" s="136"/>
      <c r="C309" s="136"/>
      <c r="E309" s="136"/>
      <c r="G309" s="136"/>
      <c r="H309" s="136"/>
      <c r="I309" s="136"/>
      <c r="J309" s="136"/>
      <c r="K309" s="136"/>
      <c r="L309" s="144"/>
      <c r="M309" s="136"/>
      <c r="N309" s="136"/>
      <c r="O309" s="136"/>
      <c r="P309" s="136"/>
      <c r="Q309" s="136"/>
      <c r="R309" s="104"/>
      <c r="S309" s="104"/>
      <c r="T309" s="136"/>
    </row>
    <row r="310" spans="1:20">
      <c r="A310" s="1163"/>
      <c r="B310" s="1163"/>
      <c r="C310" s="1163"/>
      <c r="D310" s="1206"/>
      <c r="E310" s="1206"/>
      <c r="F310" s="1206"/>
      <c r="G310" s="1206"/>
      <c r="H310" s="1206"/>
      <c r="I310" s="1206"/>
      <c r="J310" s="1206"/>
      <c r="K310" s="1206"/>
      <c r="L310" s="1206"/>
      <c r="M310" s="1206"/>
      <c r="N310" s="1206"/>
      <c r="O310" s="1206"/>
      <c r="P310" s="1206"/>
      <c r="Q310" s="136"/>
      <c r="R310" s="104"/>
      <c r="S310" s="104"/>
      <c r="T310" s="136"/>
    </row>
    <row r="311" spans="1:20">
      <c r="A311" s="1163" t="s">
        <v>543</v>
      </c>
      <c r="B311" s="1163"/>
      <c r="C311" s="1163"/>
      <c r="D311" s="1206"/>
      <c r="E311" s="1206"/>
      <c r="F311" s="1206"/>
      <c r="G311" s="1206"/>
      <c r="H311" s="1206"/>
      <c r="I311" s="1206"/>
      <c r="J311" s="1206"/>
      <c r="K311" s="1206"/>
      <c r="L311" s="1206"/>
      <c r="M311" s="1206"/>
      <c r="N311" s="1206"/>
      <c r="O311" s="1206"/>
      <c r="P311" s="1206"/>
      <c r="Q311" s="136"/>
      <c r="R311" s="104"/>
      <c r="S311" s="104"/>
      <c r="T311" s="136"/>
    </row>
    <row r="312" spans="1:20">
      <c r="A312" s="1162" t="s">
        <v>139</v>
      </c>
      <c r="B312" s="1206"/>
      <c r="C312" s="1206"/>
      <c r="D312" s="1206"/>
      <c r="E312" s="1206"/>
      <c r="F312" s="1206"/>
      <c r="G312" s="1206"/>
      <c r="H312" s="1206"/>
      <c r="I312" s="1206"/>
      <c r="J312" s="1206"/>
      <c r="K312" s="1206"/>
      <c r="L312" s="1206"/>
      <c r="M312" s="1206"/>
      <c r="N312" s="1206"/>
      <c r="O312" s="1206"/>
      <c r="P312" s="1206"/>
      <c r="Q312" s="136"/>
      <c r="R312" s="104"/>
      <c r="S312" s="104"/>
      <c r="T312" s="136"/>
    </row>
    <row r="313" spans="1:20">
      <c r="Q313" s="136"/>
      <c r="R313" s="104"/>
      <c r="S313" s="104"/>
      <c r="T313" s="136"/>
    </row>
    <row r="314" spans="1:20" ht="12.75" customHeight="1">
      <c r="G314" s="55"/>
      <c r="H314" s="2"/>
      <c r="I314" s="2"/>
      <c r="J314" s="2"/>
      <c r="K314" s="2"/>
      <c r="L314" s="2"/>
      <c r="M314" s="2"/>
      <c r="N314" s="1160" t="s">
        <v>514</v>
      </c>
      <c r="O314" s="1160"/>
      <c r="P314" s="1160"/>
      <c r="Q314" s="136"/>
      <c r="R314" s="104"/>
      <c r="S314" s="104"/>
      <c r="T314" s="136"/>
    </row>
    <row r="315" spans="1:20">
      <c r="G315" s="282"/>
      <c r="H315" s="6"/>
      <c r="I315" s="57"/>
      <c r="J315" s="1164" t="s">
        <v>515</v>
      </c>
      <c r="K315" s="1164"/>
      <c r="L315" s="1164"/>
      <c r="N315" s="1161"/>
      <c r="O315" s="1161"/>
      <c r="P315" s="1161"/>
      <c r="Q315" s="136"/>
      <c r="R315" s="104"/>
      <c r="S315" s="104"/>
      <c r="T315" s="136"/>
    </row>
    <row r="316" spans="1:20">
      <c r="A316" s="51" t="s">
        <v>56</v>
      </c>
      <c r="C316" s="52"/>
      <c r="F316" s="55"/>
      <c r="G316" s="51"/>
      <c r="H316" s="6" t="s">
        <v>93</v>
      </c>
      <c r="I316" s="57"/>
      <c r="J316" s="1" t="s">
        <v>516</v>
      </c>
      <c r="K316" s="4"/>
      <c r="L316" s="6" t="s">
        <v>102</v>
      </c>
      <c r="N316" s="17"/>
      <c r="O316" s="17"/>
      <c r="P316" s="17"/>
      <c r="Q316" s="136"/>
      <c r="R316" s="104"/>
      <c r="S316" s="104"/>
      <c r="T316" s="136"/>
    </row>
    <row r="317" spans="1:20">
      <c r="A317" s="53" t="s">
        <v>57</v>
      </c>
      <c r="B317" s="55"/>
      <c r="C317" s="56"/>
      <c r="D317" s="54" t="s">
        <v>194</v>
      </c>
      <c r="F317" s="271" t="s">
        <v>245</v>
      </c>
      <c r="G317" s="55"/>
      <c r="H317" s="356" t="s">
        <v>235</v>
      </c>
      <c r="I317" s="17"/>
      <c r="J317" s="237" t="s">
        <v>517</v>
      </c>
      <c r="L317" s="356" t="s">
        <v>518</v>
      </c>
      <c r="N317" s="7" t="s">
        <v>6</v>
      </c>
      <c r="O317" s="1"/>
      <c r="P317" s="7" t="s">
        <v>519</v>
      </c>
      <c r="Q317" s="136"/>
      <c r="R317" s="104"/>
      <c r="S317" s="104"/>
      <c r="T317" s="136"/>
    </row>
    <row r="318" spans="1:20">
      <c r="F318" s="283"/>
      <c r="G318" s="55"/>
      <c r="H318" s="6" t="s">
        <v>520</v>
      </c>
      <c r="I318" s="6"/>
      <c r="J318" s="123" t="s">
        <v>521</v>
      </c>
      <c r="L318" s="6" t="s">
        <v>522</v>
      </c>
      <c r="N318" s="8" t="s">
        <v>12</v>
      </c>
      <c r="O318" s="1"/>
      <c r="P318" s="8" t="s">
        <v>13</v>
      </c>
      <c r="Q318" s="136"/>
      <c r="R318" s="104"/>
      <c r="S318" s="104"/>
      <c r="T318" s="136"/>
    </row>
    <row r="319" spans="1:20">
      <c r="A319" s="6"/>
      <c r="B319" s="136"/>
      <c r="C319" s="136"/>
      <c r="D319" s="301" t="s">
        <v>143</v>
      </c>
      <c r="E319" s="136"/>
      <c r="G319" s="136"/>
      <c r="H319" s="136"/>
      <c r="I319" s="136"/>
      <c r="J319" s="136"/>
      <c r="K319" s="136"/>
      <c r="L319" s="136"/>
      <c r="M319" s="136"/>
      <c r="N319" s="136"/>
      <c r="O319" s="136"/>
      <c r="P319" s="136"/>
      <c r="Q319" s="136"/>
      <c r="R319" s="104"/>
      <c r="S319" s="104"/>
      <c r="T319" s="136"/>
    </row>
    <row r="320" spans="1:20">
      <c r="A320" s="6">
        <f>MAX(A$245:A319)+1</f>
        <v>138</v>
      </c>
      <c r="B320" s="136"/>
      <c r="C320" s="136"/>
      <c r="D320" s="136" t="s">
        <v>258</v>
      </c>
      <c r="E320" s="136"/>
      <c r="F320" s="51" t="s">
        <v>523</v>
      </c>
      <c r="G320" s="136"/>
      <c r="H320" s="99">
        <v>368.56</v>
      </c>
      <c r="I320" s="136"/>
      <c r="J320" s="99">
        <f t="shared" ref="J320:J321" si="17">ROUND(L320,4)-ROUND(H320,4)</f>
        <v>10.07099999999997</v>
      </c>
      <c r="K320" s="136"/>
      <c r="L320" s="99">
        <v>378.63100760700604</v>
      </c>
      <c r="M320" s="136"/>
      <c r="N320" s="99">
        <v>378.63100760700604</v>
      </c>
      <c r="O320" s="136"/>
      <c r="P320" s="275">
        <v>0</v>
      </c>
      <c r="Q320" s="136"/>
      <c r="R320" s="104"/>
      <c r="S320" s="104"/>
      <c r="T320" s="136"/>
    </row>
    <row r="321" spans="1:20">
      <c r="A321" s="6">
        <f>MAX(A$245:A320)+1</f>
        <v>139</v>
      </c>
      <c r="B321" s="136"/>
      <c r="C321" s="136"/>
      <c r="D321" s="136" t="s">
        <v>585</v>
      </c>
      <c r="E321" s="136"/>
      <c r="F321" s="51" t="s">
        <v>525</v>
      </c>
      <c r="G321" s="136"/>
      <c r="H321" s="102">
        <v>6.6933999999999996</v>
      </c>
      <c r="I321" s="102"/>
      <c r="J321" s="102">
        <f t="shared" si="17"/>
        <v>-0.38479999999999936</v>
      </c>
      <c r="K321" s="102"/>
      <c r="L321" s="102">
        <v>6.3085507423826259</v>
      </c>
      <c r="M321" s="102"/>
      <c r="N321" s="102">
        <v>6.2950525630362462</v>
      </c>
      <c r="O321" s="102"/>
      <c r="P321" s="102">
        <v>1.3498179346379957E-2</v>
      </c>
      <c r="Q321" s="136"/>
      <c r="R321" s="104"/>
      <c r="S321" s="104"/>
      <c r="T321" s="136"/>
    </row>
    <row r="322" spans="1:20">
      <c r="A322" s="6"/>
      <c r="B322" s="136"/>
      <c r="C322" s="136"/>
      <c r="D322" s="136"/>
      <c r="E322" s="136"/>
      <c r="F322" s="51"/>
      <c r="G322" s="136"/>
      <c r="H322" s="102"/>
      <c r="I322" s="102"/>
      <c r="J322" s="102"/>
      <c r="K322" s="102"/>
      <c r="L322" s="102"/>
      <c r="M322" s="102"/>
      <c r="N322" s="102"/>
      <c r="O322" s="102"/>
      <c r="P322" s="102"/>
      <c r="Q322" s="136"/>
      <c r="R322" s="104"/>
      <c r="S322" s="104"/>
      <c r="T322" s="136"/>
    </row>
    <row r="323" spans="1:20">
      <c r="A323" s="6"/>
      <c r="B323" s="136"/>
      <c r="C323" s="136"/>
      <c r="D323" s="136" t="s">
        <v>586</v>
      </c>
      <c r="E323" s="136"/>
      <c r="F323" s="51"/>
      <c r="G323" s="136"/>
      <c r="H323" s="102"/>
      <c r="I323" s="102"/>
      <c r="J323" s="102"/>
      <c r="K323" s="102"/>
      <c r="L323" s="102"/>
      <c r="M323" s="102"/>
      <c r="N323" s="102"/>
      <c r="O323" s="102"/>
      <c r="P323" s="102"/>
      <c r="Q323" s="136"/>
      <c r="R323" s="104"/>
      <c r="S323" s="104"/>
      <c r="T323" s="136"/>
    </row>
    <row r="324" spans="1:20">
      <c r="A324" s="6">
        <f>MAX(A$245:A323)+1</f>
        <v>140</v>
      </c>
      <c r="B324" s="136"/>
      <c r="C324" s="136"/>
      <c r="D324" s="143" t="s">
        <v>587</v>
      </c>
      <c r="E324" s="136"/>
      <c r="F324" s="273" t="s">
        <v>525</v>
      </c>
      <c r="G324" s="136"/>
      <c r="H324" s="145">
        <v>1.4847999999999999</v>
      </c>
      <c r="I324" s="136"/>
      <c r="J324" s="275">
        <f t="shared" ref="J324:J325" si="18">ROUND(L324,4)-ROUND(H324,4)</f>
        <v>0</v>
      </c>
      <c r="K324" s="136"/>
      <c r="L324" s="145">
        <f>H324</f>
        <v>1.4847999999999999</v>
      </c>
      <c r="M324" s="136"/>
      <c r="N324" s="275">
        <v>0</v>
      </c>
      <c r="O324" s="136"/>
      <c r="P324" s="145">
        <f>L324</f>
        <v>1.4847999999999999</v>
      </c>
      <c r="Q324" s="136"/>
      <c r="R324" s="104"/>
      <c r="S324" s="104"/>
      <c r="T324" s="136"/>
    </row>
    <row r="325" spans="1:20">
      <c r="A325" s="6">
        <f>MAX(A$245:A324)+1</f>
        <v>141</v>
      </c>
      <c r="B325" s="136"/>
      <c r="C325" s="136"/>
      <c r="D325" s="143" t="s">
        <v>588</v>
      </c>
      <c r="E325" s="136"/>
      <c r="F325" s="273" t="s">
        <v>525</v>
      </c>
      <c r="G325" s="136"/>
      <c r="H325" s="145">
        <v>675.94839999999999</v>
      </c>
      <c r="I325" s="136"/>
      <c r="J325" s="275">
        <f t="shared" si="18"/>
        <v>0</v>
      </c>
      <c r="K325" s="136"/>
      <c r="L325" s="145">
        <f>H325</f>
        <v>675.94839999999999</v>
      </c>
      <c r="M325" s="136"/>
      <c r="N325" s="275">
        <v>0</v>
      </c>
      <c r="O325" s="136"/>
      <c r="P325" s="145">
        <f>L325</f>
        <v>675.94839999999999</v>
      </c>
      <c r="Q325" s="136"/>
      <c r="R325" s="104"/>
      <c r="S325" s="104"/>
      <c r="T325" s="136"/>
    </row>
    <row r="326" spans="1:20">
      <c r="A326" s="6"/>
      <c r="B326" s="136"/>
      <c r="C326" s="136"/>
      <c r="D326" s="143"/>
      <c r="E326" s="136"/>
      <c r="G326" s="136"/>
      <c r="H326" s="145"/>
      <c r="I326" s="136"/>
      <c r="J326" s="136"/>
      <c r="K326" s="136"/>
      <c r="L326" s="136"/>
      <c r="M326" s="136"/>
      <c r="N326" s="136"/>
      <c r="O326" s="136"/>
      <c r="P326" s="136"/>
      <c r="Q326" s="136"/>
      <c r="R326" s="104"/>
      <c r="S326" s="104"/>
      <c r="T326" s="136"/>
    </row>
    <row r="327" spans="1:20">
      <c r="A327" s="6"/>
      <c r="B327" s="136"/>
      <c r="C327" s="136"/>
      <c r="D327" s="301" t="s">
        <v>129</v>
      </c>
      <c r="E327" s="136"/>
      <c r="G327" s="136"/>
      <c r="H327" s="145"/>
      <c r="I327" s="136"/>
      <c r="J327" s="136"/>
      <c r="K327" s="136"/>
      <c r="L327" s="136"/>
      <c r="M327" s="136"/>
      <c r="N327" s="136"/>
      <c r="O327" s="136"/>
      <c r="P327" s="136"/>
      <c r="Q327" s="136"/>
      <c r="R327" s="104"/>
      <c r="S327" s="104"/>
      <c r="T327" s="136"/>
    </row>
    <row r="328" spans="1:20">
      <c r="A328" s="6">
        <f>MAX(A$245:A327)+1</f>
        <v>142</v>
      </c>
      <c r="B328" s="136"/>
      <c r="C328" s="136"/>
      <c r="D328" s="136" t="s">
        <v>258</v>
      </c>
      <c r="E328" s="136"/>
      <c r="F328" s="51" t="s">
        <v>523</v>
      </c>
      <c r="G328" s="136"/>
      <c r="H328" s="99">
        <v>1620.86</v>
      </c>
      <c r="I328" s="136"/>
      <c r="J328" s="99">
        <f>ROUND(L328,4)-ROUND(H328,4)</f>
        <v>44.290500000000065</v>
      </c>
      <c r="K328" s="136"/>
      <c r="L328" s="99">
        <v>1665.1504639404488</v>
      </c>
      <c r="M328" s="136"/>
      <c r="N328" s="99">
        <v>1665.1504639404488</v>
      </c>
      <c r="O328" s="136"/>
      <c r="P328" s="275">
        <v>0</v>
      </c>
      <c r="Q328" s="136"/>
      <c r="R328" s="104"/>
      <c r="S328" s="104"/>
      <c r="T328" s="136"/>
    </row>
    <row r="329" spans="1:20">
      <c r="A329" s="6">
        <f>MAX(A$245:A328)+1</f>
        <v>143</v>
      </c>
      <c r="B329" s="136"/>
      <c r="C329" s="136"/>
      <c r="D329" s="136" t="s">
        <v>280</v>
      </c>
      <c r="E329" s="136"/>
      <c r="F329" s="51" t="s">
        <v>540</v>
      </c>
      <c r="G329" s="136"/>
      <c r="H329" s="102">
        <v>19.945999999999998</v>
      </c>
      <c r="I329" s="102"/>
      <c r="J329" s="102">
        <f>ROUND(L329,4)-ROUND(H329,4)</f>
        <v>-6.0900000000000176E-2</v>
      </c>
      <c r="K329" s="102"/>
      <c r="L329" s="102">
        <v>19.885122103222486</v>
      </c>
      <c r="M329" s="102"/>
      <c r="N329" s="102">
        <v>19.885122103222486</v>
      </c>
      <c r="O329" s="102"/>
      <c r="P329" s="275">
        <v>0</v>
      </c>
      <c r="Q329" s="136"/>
      <c r="R329" s="104"/>
      <c r="S329" s="104"/>
      <c r="T329" s="136"/>
    </row>
    <row r="330" spans="1:20">
      <c r="A330" s="6">
        <f>MAX(A$245:A329)+1</f>
        <v>144</v>
      </c>
      <c r="B330" s="136"/>
      <c r="C330" s="136"/>
      <c r="D330" s="136" t="s">
        <v>260</v>
      </c>
      <c r="E330" s="136"/>
      <c r="F330" s="51" t="s">
        <v>525</v>
      </c>
      <c r="G330" s="136"/>
      <c r="H330" s="102">
        <v>0.28710000000000002</v>
      </c>
      <c r="I330" s="102"/>
      <c r="J330" s="102">
        <f>ROUND(L330,4)-ROUND(H330,4)</f>
        <v>-1.3000000000000234E-3</v>
      </c>
      <c r="K330" s="102"/>
      <c r="L330" s="102">
        <v>0.28579945893462799</v>
      </c>
      <c r="M330" s="102"/>
      <c r="N330" s="102">
        <v>0.28383097444661431</v>
      </c>
      <c r="O330" s="102"/>
      <c r="P330" s="275">
        <v>1.9684844880137435E-3</v>
      </c>
      <c r="Q330" s="136"/>
      <c r="R330" s="104"/>
      <c r="S330" s="104"/>
      <c r="T330" s="136"/>
    </row>
    <row r="331" spans="1:20">
      <c r="A331" s="6"/>
      <c r="B331" s="136"/>
      <c r="C331" s="136"/>
      <c r="E331" s="136"/>
      <c r="G331" s="136"/>
      <c r="H331" s="145"/>
      <c r="I331" s="136"/>
      <c r="J331" s="104"/>
      <c r="K331" s="136"/>
      <c r="L331" s="145"/>
      <c r="M331" s="136"/>
      <c r="N331" s="145"/>
      <c r="O331" s="136"/>
      <c r="P331" s="145"/>
      <c r="Q331" s="136"/>
      <c r="R331" s="104"/>
      <c r="S331" s="104"/>
      <c r="T331" s="136"/>
    </row>
    <row r="332" spans="1:20">
      <c r="A332" s="6"/>
      <c r="B332" s="136"/>
      <c r="C332" s="136"/>
      <c r="D332" s="136" t="s">
        <v>323</v>
      </c>
      <c r="E332" s="136"/>
      <c r="G332" s="136"/>
      <c r="H332" s="145"/>
      <c r="I332" s="136"/>
      <c r="J332" s="136"/>
      <c r="K332" s="136"/>
      <c r="L332" s="145"/>
      <c r="M332" s="136"/>
      <c r="N332" s="136"/>
      <c r="O332" s="136"/>
      <c r="P332" s="136"/>
      <c r="Q332" s="136"/>
      <c r="R332" s="104"/>
      <c r="S332" s="104"/>
      <c r="T332" s="136"/>
    </row>
    <row r="333" spans="1:20">
      <c r="A333" s="6">
        <f>MAX(A$245:A332)+1</f>
        <v>145</v>
      </c>
      <c r="B333" s="136"/>
      <c r="C333" s="136"/>
      <c r="D333" s="142" t="s">
        <v>306</v>
      </c>
      <c r="E333" s="136"/>
      <c r="F333" s="51" t="s">
        <v>540</v>
      </c>
      <c r="G333" s="136"/>
      <c r="H333" s="102">
        <v>75.2744</v>
      </c>
      <c r="I333" s="102"/>
      <c r="J333" s="102">
        <f t="shared" ref="J333:J344" si="19">L333-H333</f>
        <v>0.27361902423484707</v>
      </c>
      <c r="K333" s="136"/>
      <c r="L333" s="145">
        <v>75.548019024234847</v>
      </c>
      <c r="M333" s="136"/>
      <c r="N333" s="145">
        <v>10.287019024234846</v>
      </c>
      <c r="O333" s="145"/>
      <c r="P333" s="145">
        <v>65.260999999999996</v>
      </c>
      <c r="Q333" s="136"/>
      <c r="R333" s="104"/>
      <c r="S333" s="104"/>
      <c r="T333" s="136"/>
    </row>
    <row r="334" spans="1:20">
      <c r="A334" s="6">
        <f>MAX(A$245:A333)+1</f>
        <v>146</v>
      </c>
      <c r="B334" s="136"/>
      <c r="C334" s="136"/>
      <c r="D334" s="142" t="s">
        <v>307</v>
      </c>
      <c r="E334" s="136"/>
      <c r="F334" s="51" t="s">
        <v>540</v>
      </c>
      <c r="G334" s="136"/>
      <c r="H334" s="102">
        <v>114.0459</v>
      </c>
      <c r="I334" s="102"/>
      <c r="J334" s="102">
        <f t="shared" si="19"/>
        <v>0.23216109949707686</v>
      </c>
      <c r="K334" s="136"/>
      <c r="L334" s="145">
        <v>114.27806109949708</v>
      </c>
      <c r="M334" s="136"/>
      <c r="N334" s="145">
        <v>8.7283610994970822</v>
      </c>
      <c r="O334" s="145"/>
      <c r="P334" s="145">
        <v>105.5497</v>
      </c>
      <c r="Q334" s="136"/>
      <c r="R334" s="104"/>
      <c r="S334" s="104"/>
      <c r="T334" s="136"/>
    </row>
    <row r="335" spans="1:20">
      <c r="A335" s="6"/>
      <c r="B335" s="136"/>
      <c r="C335" s="136"/>
      <c r="D335" s="136" t="s">
        <v>589</v>
      </c>
      <c r="E335" s="136"/>
      <c r="G335" s="136"/>
      <c r="H335" s="102"/>
      <c r="I335" s="102"/>
      <c r="J335" s="102"/>
      <c r="K335" s="136"/>
      <c r="L335" s="145"/>
      <c r="M335" s="136"/>
      <c r="N335" s="145"/>
      <c r="O335" s="145"/>
      <c r="P335" s="145"/>
      <c r="Q335" s="136"/>
      <c r="R335" s="104"/>
      <c r="S335" s="104"/>
      <c r="T335" s="136"/>
    </row>
    <row r="336" spans="1:20">
      <c r="A336" s="6">
        <f>MAX(A$245:A335)+1</f>
        <v>147</v>
      </c>
      <c r="B336" s="136"/>
      <c r="C336" s="136"/>
      <c r="D336" s="142" t="s">
        <v>306</v>
      </c>
      <c r="E336" s="136"/>
      <c r="F336" s="51" t="s">
        <v>525</v>
      </c>
      <c r="G336" s="136"/>
      <c r="H336" s="102">
        <v>4.2342000000000004</v>
      </c>
      <c r="I336" s="102"/>
      <c r="J336" s="102">
        <f t="shared" si="19"/>
        <v>9.1075180036224168E-3</v>
      </c>
      <c r="K336" s="136"/>
      <c r="L336" s="145">
        <v>4.2433075180036228</v>
      </c>
      <c r="M336" s="136"/>
      <c r="N336" s="145">
        <v>0.34240751800362251</v>
      </c>
      <c r="O336" s="145"/>
      <c r="P336" s="145">
        <v>3.9009000000000005</v>
      </c>
      <c r="Q336" s="136"/>
      <c r="R336" s="104"/>
      <c r="S336" s="104"/>
      <c r="T336" s="136"/>
    </row>
    <row r="337" spans="1:20">
      <c r="A337" s="6">
        <f>MAX(A$245:A336)+1</f>
        <v>148</v>
      </c>
      <c r="B337" s="136"/>
      <c r="C337" s="136"/>
      <c r="D337" s="142" t="s">
        <v>307</v>
      </c>
      <c r="E337" s="136"/>
      <c r="F337" s="51" t="s">
        <v>525</v>
      </c>
      <c r="G337" s="136"/>
      <c r="H337" s="102">
        <v>6.54</v>
      </c>
      <c r="I337" s="102"/>
      <c r="J337" s="102">
        <f t="shared" si="19"/>
        <v>7.4188152954803854E-3</v>
      </c>
      <c r="K337" s="136"/>
      <c r="L337" s="145">
        <v>6.5474188152954804</v>
      </c>
      <c r="M337" s="136"/>
      <c r="N337" s="145">
        <v>0.27891881529548013</v>
      </c>
      <c r="O337" s="145"/>
      <c r="P337" s="145">
        <v>6.2685000000000004</v>
      </c>
      <c r="Q337" s="136"/>
      <c r="R337" s="104"/>
      <c r="S337" s="104"/>
      <c r="T337" s="136"/>
    </row>
    <row r="338" spans="1:20">
      <c r="A338" s="6"/>
      <c r="B338" s="136"/>
      <c r="C338" s="136"/>
      <c r="D338" s="136" t="s">
        <v>590</v>
      </c>
      <c r="E338" s="136"/>
      <c r="G338" s="136"/>
      <c r="H338" s="102"/>
      <c r="I338" s="102"/>
      <c r="J338" s="102"/>
      <c r="K338" s="136"/>
      <c r="L338" s="145"/>
      <c r="M338" s="136"/>
      <c r="N338" s="136"/>
      <c r="O338" s="136"/>
      <c r="P338" s="136"/>
      <c r="Q338" s="136"/>
      <c r="R338" s="104"/>
      <c r="S338" s="104"/>
      <c r="T338" s="136"/>
    </row>
    <row r="339" spans="1:20">
      <c r="A339" s="6">
        <f>MAX(A$245:A338)+1</f>
        <v>149</v>
      </c>
      <c r="B339" s="136"/>
      <c r="C339" s="136"/>
      <c r="D339" s="142" t="s">
        <v>306</v>
      </c>
      <c r="E339" s="136"/>
      <c r="F339" s="51" t="s">
        <v>525</v>
      </c>
      <c r="G339" s="136"/>
      <c r="H339" s="275">
        <v>0</v>
      </c>
      <c r="I339" s="275"/>
      <c r="J339" s="275">
        <f t="shared" si="19"/>
        <v>0</v>
      </c>
      <c r="K339" s="275"/>
      <c r="L339" s="275">
        <v>0</v>
      </c>
      <c r="M339" s="275"/>
      <c r="N339" s="275">
        <v>0</v>
      </c>
      <c r="O339" s="275"/>
      <c r="P339" s="275">
        <v>0</v>
      </c>
      <c r="Q339" s="136"/>
      <c r="R339" s="104"/>
      <c r="S339" s="104"/>
      <c r="T339" s="136"/>
    </row>
    <row r="340" spans="1:20">
      <c r="A340" s="6">
        <f>MAX(A$245:A339)+1</f>
        <v>150</v>
      </c>
      <c r="B340" s="136"/>
      <c r="C340" s="136"/>
      <c r="D340" s="142" t="s">
        <v>307</v>
      </c>
      <c r="E340" s="136"/>
      <c r="F340" s="51" t="s">
        <v>525</v>
      </c>
      <c r="G340" s="136"/>
      <c r="H340" s="275">
        <v>0</v>
      </c>
      <c r="I340" s="275"/>
      <c r="J340" s="275">
        <f t="shared" si="19"/>
        <v>0</v>
      </c>
      <c r="K340" s="275"/>
      <c r="L340" s="275">
        <v>0</v>
      </c>
      <c r="M340" s="275"/>
      <c r="N340" s="275">
        <v>0</v>
      </c>
      <c r="O340" s="275"/>
      <c r="P340" s="275">
        <v>0</v>
      </c>
      <c r="Q340" s="136"/>
      <c r="R340" s="104"/>
      <c r="S340" s="104"/>
      <c r="T340" s="136"/>
    </row>
    <row r="341" spans="1:20">
      <c r="A341" s="6"/>
      <c r="B341" s="136"/>
      <c r="C341" s="136"/>
      <c r="D341" s="142"/>
      <c r="E341" s="136"/>
      <c r="F341" s="51"/>
      <c r="G341" s="136"/>
      <c r="H341" s="275"/>
      <c r="I341" s="275"/>
      <c r="J341" s="275"/>
      <c r="K341" s="275"/>
      <c r="L341" s="275"/>
      <c r="M341" s="275"/>
      <c r="N341" s="275"/>
      <c r="O341" s="275"/>
      <c r="P341" s="275"/>
      <c r="Q341" s="136"/>
      <c r="R341" s="104"/>
      <c r="S341" s="104"/>
      <c r="T341" s="136"/>
    </row>
    <row r="342" spans="1:20">
      <c r="A342" s="6"/>
      <c r="B342" s="136"/>
      <c r="C342" s="136"/>
      <c r="D342" s="136" t="s">
        <v>591</v>
      </c>
      <c r="E342" s="136"/>
      <c r="G342" s="136"/>
      <c r="H342" s="102"/>
      <c r="I342" s="102"/>
      <c r="J342" s="102"/>
      <c r="K342" s="136"/>
      <c r="L342" s="145"/>
      <c r="M342" s="136"/>
      <c r="N342" s="136"/>
      <c r="O342" s="136"/>
      <c r="P342" s="136"/>
      <c r="Q342" s="136"/>
      <c r="R342" s="104"/>
      <c r="S342" s="104"/>
      <c r="T342" s="136"/>
    </row>
    <row r="343" spans="1:20">
      <c r="A343" s="6">
        <f>MAX(A$245:A342)+1</f>
        <v>151</v>
      </c>
      <c r="B343" s="136"/>
      <c r="C343" s="136"/>
      <c r="D343" s="142" t="s">
        <v>581</v>
      </c>
      <c r="E343" s="136"/>
      <c r="F343" s="51" t="s">
        <v>582</v>
      </c>
      <c r="G343" s="136"/>
      <c r="H343" s="246">
        <v>18.835000000000001</v>
      </c>
      <c r="I343" s="246"/>
      <c r="J343" s="246">
        <f t="shared" si="19"/>
        <v>0.21548720965066792</v>
      </c>
      <c r="K343" s="332"/>
      <c r="L343" s="332">
        <v>19.050487209650669</v>
      </c>
      <c r="M343" s="332"/>
      <c r="N343" s="332">
        <v>8.1014872096506672</v>
      </c>
      <c r="O343" s="332"/>
      <c r="P343" s="332">
        <v>10.949000000000002</v>
      </c>
      <c r="Q343" s="136"/>
      <c r="R343" s="104"/>
      <c r="S343" s="104"/>
      <c r="T343" s="136"/>
    </row>
    <row r="344" spans="1:20">
      <c r="A344" s="6">
        <f>MAX(A$245:A343)+1</f>
        <v>152</v>
      </c>
      <c r="B344" s="136"/>
      <c r="C344" s="136"/>
      <c r="D344" s="142" t="s">
        <v>583</v>
      </c>
      <c r="E344" s="136"/>
      <c r="F344" s="1" t="s">
        <v>584</v>
      </c>
      <c r="G344" s="136"/>
      <c r="H344" s="246">
        <v>0.24</v>
      </c>
      <c r="I344" s="246"/>
      <c r="J344" s="246">
        <f t="shared" si="19"/>
        <v>5.6690916945328074E-3</v>
      </c>
      <c r="K344" s="332"/>
      <c r="L344" s="332">
        <v>0.2456690916945328</v>
      </c>
      <c r="M344" s="332"/>
      <c r="N344" s="332">
        <v>0.14690751597515156</v>
      </c>
      <c r="O344" s="332"/>
      <c r="P344" s="332">
        <v>9.8761575719381239E-2</v>
      </c>
      <c r="Q344" s="136"/>
      <c r="R344" s="104"/>
      <c r="S344" s="104"/>
      <c r="T344" s="136"/>
    </row>
    <row r="345" spans="1:20">
      <c r="A345" s="6"/>
      <c r="B345" s="136"/>
      <c r="C345" s="136"/>
      <c r="D345" s="142"/>
      <c r="E345" s="136"/>
      <c r="G345" s="136"/>
      <c r="H345" s="145"/>
      <c r="I345" s="136"/>
      <c r="J345" s="104"/>
      <c r="K345" s="136"/>
      <c r="L345" s="145"/>
      <c r="M345" s="136"/>
      <c r="N345" s="136"/>
      <c r="O345" s="136"/>
      <c r="P345" s="136"/>
      <c r="Q345" s="136"/>
      <c r="R345" s="104"/>
      <c r="S345" s="104"/>
      <c r="T345" s="136"/>
    </row>
    <row r="346" spans="1:20">
      <c r="A346" s="6">
        <f>MAX(A$245:A345)+1</f>
        <v>153</v>
      </c>
      <c r="B346" s="136"/>
      <c r="C346" s="136"/>
      <c r="D346" s="143" t="s">
        <v>568</v>
      </c>
      <c r="E346" s="136"/>
      <c r="F346" s="51" t="s">
        <v>525</v>
      </c>
      <c r="G346" s="136"/>
      <c r="H346" s="102">
        <v>17.706099999999999</v>
      </c>
      <c r="I346" s="102"/>
      <c r="J346" s="102">
        <f t="shared" ref="J346:J347" si="20">ROUND(L346,4)-ROUND(H346,4)</f>
        <v>5.7000000000009265E-3</v>
      </c>
      <c r="K346" s="102"/>
      <c r="L346" s="102">
        <v>17.711797322243488</v>
      </c>
      <c r="M346" s="102"/>
      <c r="N346" s="102">
        <v>0.21419732224349017</v>
      </c>
      <c r="O346" s="102"/>
      <c r="P346" s="102">
        <v>17.497599999999998</v>
      </c>
      <c r="Q346" s="136"/>
      <c r="R346" s="104"/>
      <c r="S346" s="104"/>
      <c r="T346" s="136"/>
    </row>
    <row r="347" spans="1:20">
      <c r="A347" s="6">
        <f>MAX(A$245:A346)+1</f>
        <v>154</v>
      </c>
      <c r="B347" s="136"/>
      <c r="C347" s="136"/>
      <c r="D347" s="143" t="s">
        <v>569</v>
      </c>
      <c r="E347" s="136"/>
      <c r="F347" s="51" t="s">
        <v>525</v>
      </c>
      <c r="G347" s="136"/>
      <c r="H347" s="102">
        <v>20.172700000000003</v>
      </c>
      <c r="I347" s="102"/>
      <c r="J347" s="102">
        <f t="shared" si="20"/>
        <v>5.7000000000009265E-3</v>
      </c>
      <c r="K347" s="102"/>
      <c r="L347" s="102">
        <v>20.178397322243491</v>
      </c>
      <c r="M347" s="102"/>
      <c r="N347" s="102">
        <v>0.21419732224349022</v>
      </c>
      <c r="O347" s="102"/>
      <c r="P347" s="102">
        <v>19.964200000000002</v>
      </c>
      <c r="Q347" s="136"/>
      <c r="R347" s="104"/>
      <c r="S347" s="104"/>
      <c r="T347" s="136"/>
    </row>
    <row r="348" spans="1:20">
      <c r="A348" s="6"/>
      <c r="B348" s="136"/>
      <c r="C348" s="136"/>
      <c r="D348" s="142"/>
      <c r="E348" s="136"/>
      <c r="G348" s="136"/>
      <c r="H348" s="145"/>
      <c r="I348" s="136"/>
      <c r="J348" s="104"/>
      <c r="K348" s="136"/>
      <c r="L348" s="145"/>
      <c r="M348" s="136"/>
      <c r="N348" s="136"/>
      <c r="O348" s="136"/>
      <c r="P348" s="136"/>
      <c r="Q348" s="136"/>
      <c r="R348" s="104"/>
      <c r="S348" s="104"/>
      <c r="T348" s="136"/>
    </row>
    <row r="349" spans="1:20">
      <c r="A349" s="6"/>
      <c r="B349" s="136"/>
      <c r="C349" s="136"/>
      <c r="E349" s="136"/>
      <c r="F349" s="145"/>
      <c r="G349" s="136"/>
      <c r="H349" s="144"/>
      <c r="I349" s="136"/>
      <c r="J349" s="136"/>
      <c r="K349" s="136"/>
      <c r="L349" s="136"/>
      <c r="M349" s="136"/>
      <c r="N349" s="136"/>
      <c r="O349" s="136"/>
      <c r="P349" s="136"/>
      <c r="Q349" s="136"/>
      <c r="R349" s="136"/>
      <c r="S349" s="136"/>
      <c r="T349" s="136"/>
    </row>
    <row r="350" spans="1:20">
      <c r="A350" s="6"/>
      <c r="B350" s="136"/>
      <c r="C350" s="136"/>
      <c r="D350" s="142"/>
      <c r="E350" s="136"/>
      <c r="F350" s="145"/>
      <c r="G350" s="136"/>
      <c r="H350" s="144"/>
      <c r="I350" s="136"/>
      <c r="J350" s="136"/>
      <c r="K350" s="136"/>
      <c r="L350" s="136"/>
      <c r="M350" s="136"/>
      <c r="N350" s="136"/>
      <c r="O350" s="136"/>
      <c r="P350" s="136"/>
      <c r="Q350" s="136"/>
      <c r="R350" s="136"/>
      <c r="S350" s="136"/>
      <c r="T350" s="136"/>
    </row>
    <row r="351" spans="1:20">
      <c r="A351" s="6"/>
      <c r="B351" s="136"/>
      <c r="C351" s="136"/>
      <c r="D351" s="142"/>
      <c r="E351" s="136"/>
      <c r="F351" s="145"/>
      <c r="G351" s="136"/>
      <c r="H351" s="144"/>
      <c r="I351" s="136"/>
      <c r="J351" s="136"/>
      <c r="K351" s="136"/>
      <c r="L351" s="136"/>
      <c r="M351" s="136"/>
      <c r="N351" s="136"/>
      <c r="O351" s="136"/>
      <c r="P351" s="136"/>
      <c r="Q351" s="136"/>
      <c r="R351" s="136"/>
      <c r="S351" s="136"/>
      <c r="T351" s="136"/>
    </row>
    <row r="352" spans="1:20">
      <c r="A352" s="6"/>
      <c r="B352" s="136"/>
      <c r="C352" s="136"/>
      <c r="D352" s="142"/>
      <c r="E352" s="136"/>
      <c r="F352" s="145"/>
      <c r="G352" s="136"/>
      <c r="H352" s="144"/>
      <c r="I352" s="136"/>
      <c r="J352" s="136"/>
      <c r="K352" s="136"/>
      <c r="L352" s="136"/>
      <c r="M352" s="136"/>
      <c r="N352" s="136"/>
      <c r="O352" s="136"/>
      <c r="P352" s="136"/>
      <c r="Q352" s="136"/>
      <c r="R352" s="136"/>
      <c r="S352" s="136"/>
      <c r="T352" s="136"/>
    </row>
    <row r="353" spans="1:20">
      <c r="A353" s="6"/>
      <c r="B353" s="136"/>
      <c r="C353" s="136"/>
      <c r="D353" s="142"/>
      <c r="E353" s="136"/>
      <c r="F353" s="145"/>
      <c r="G353" s="136"/>
      <c r="H353" s="144"/>
      <c r="I353" s="136"/>
      <c r="J353" s="136"/>
      <c r="K353" s="136"/>
      <c r="L353" s="136"/>
      <c r="M353" s="136"/>
      <c r="N353" s="136"/>
      <c r="O353" s="136"/>
      <c r="P353" s="136"/>
      <c r="Q353" s="136"/>
      <c r="R353" s="136"/>
      <c r="S353" s="136"/>
      <c r="T353" s="136"/>
    </row>
    <row r="354" spans="1:20">
      <c r="A354" s="1163"/>
      <c r="B354" s="1163"/>
      <c r="C354" s="1163"/>
      <c r="D354" s="1206"/>
      <c r="E354" s="1206"/>
      <c r="F354" s="1206"/>
      <c r="G354" s="1206"/>
      <c r="H354" s="1206"/>
      <c r="I354" s="1206"/>
      <c r="J354" s="1206"/>
      <c r="K354" s="1206"/>
      <c r="L354" s="1206"/>
      <c r="M354" s="1206"/>
      <c r="N354" s="1206"/>
      <c r="O354" s="1206"/>
      <c r="P354" s="1206"/>
      <c r="T354" s="136"/>
    </row>
    <row r="355" spans="1:20">
      <c r="A355" s="1163" t="s">
        <v>543</v>
      </c>
      <c r="B355" s="1163"/>
      <c r="C355" s="1163"/>
      <c r="D355" s="1206"/>
      <c r="E355" s="1206"/>
      <c r="F355" s="1206"/>
      <c r="G355" s="1206"/>
      <c r="H355" s="1206"/>
      <c r="I355" s="1206"/>
      <c r="J355" s="1206"/>
      <c r="K355" s="1206"/>
      <c r="L355" s="1206"/>
      <c r="M355" s="1206"/>
      <c r="N355" s="1206"/>
      <c r="O355" s="1206"/>
      <c r="P355" s="1206"/>
      <c r="T355" s="136"/>
    </row>
    <row r="356" spans="1:20">
      <c r="A356" s="1162" t="s">
        <v>145</v>
      </c>
      <c r="B356" s="1206"/>
      <c r="C356" s="1206"/>
      <c r="D356" s="1206"/>
      <c r="E356" s="1206"/>
      <c r="F356" s="1206"/>
      <c r="G356" s="1206"/>
      <c r="H356" s="1206"/>
      <c r="I356" s="1206"/>
      <c r="J356" s="1206"/>
      <c r="K356" s="1206"/>
      <c r="L356" s="1206"/>
      <c r="M356" s="1206"/>
      <c r="N356" s="1206"/>
      <c r="O356" s="1206"/>
      <c r="P356" s="1206"/>
      <c r="T356" s="136"/>
    </row>
    <row r="357" spans="1:20">
      <c r="A357" s="6"/>
      <c r="B357" s="52"/>
      <c r="T357" s="136"/>
    </row>
    <row r="358" spans="1:20" ht="12.75" customHeight="1">
      <c r="A358" s="6"/>
      <c r="G358" s="55"/>
      <c r="H358" s="2"/>
      <c r="I358" s="2"/>
      <c r="J358" s="2"/>
      <c r="K358" s="2"/>
      <c r="L358" s="2"/>
      <c r="M358" s="2"/>
      <c r="N358" s="1160" t="s">
        <v>514</v>
      </c>
      <c r="O358" s="1160"/>
      <c r="P358" s="1160"/>
      <c r="Q358" s="17"/>
      <c r="T358" s="136"/>
    </row>
    <row r="359" spans="1:20">
      <c r="A359" s="6"/>
      <c r="G359" s="282"/>
      <c r="H359" s="6"/>
      <c r="I359" s="57"/>
      <c r="J359" s="1164" t="s">
        <v>515</v>
      </c>
      <c r="K359" s="1164"/>
      <c r="L359" s="1164"/>
      <c r="N359" s="1161"/>
      <c r="O359" s="1161"/>
      <c r="P359" s="1161"/>
      <c r="Q359" s="17"/>
      <c r="T359" s="136"/>
    </row>
    <row r="360" spans="1:20">
      <c r="A360" s="6" t="s">
        <v>56</v>
      </c>
      <c r="C360" s="52"/>
      <c r="F360" s="55"/>
      <c r="G360" s="51"/>
      <c r="H360" s="6" t="s">
        <v>93</v>
      </c>
      <c r="I360" s="57"/>
      <c r="J360" s="1" t="s">
        <v>516</v>
      </c>
      <c r="K360" s="4"/>
      <c r="L360" s="6" t="s">
        <v>102</v>
      </c>
      <c r="N360" s="17"/>
      <c r="O360" s="17"/>
      <c r="P360" s="17"/>
      <c r="Q360" s="17"/>
      <c r="T360" s="136"/>
    </row>
    <row r="361" spans="1:20">
      <c r="A361" s="53" t="s">
        <v>57</v>
      </c>
      <c r="B361" s="55"/>
      <c r="C361" s="56"/>
      <c r="D361" s="54" t="s">
        <v>194</v>
      </c>
      <c r="F361" s="271" t="s">
        <v>245</v>
      </c>
      <c r="G361" s="55"/>
      <c r="H361" s="356" t="s">
        <v>235</v>
      </c>
      <c r="I361" s="17"/>
      <c r="J361" s="237" t="s">
        <v>517</v>
      </c>
      <c r="L361" s="356" t="s">
        <v>518</v>
      </c>
      <c r="N361" s="7" t="s">
        <v>6</v>
      </c>
      <c r="O361" s="1"/>
      <c r="P361" s="7" t="s">
        <v>519</v>
      </c>
      <c r="Q361" s="1"/>
      <c r="T361" s="136"/>
    </row>
    <row r="362" spans="1:20">
      <c r="A362" s="6"/>
      <c r="F362" s="283"/>
      <c r="G362" s="55"/>
      <c r="H362" s="6" t="s">
        <v>520</v>
      </c>
      <c r="I362" s="6"/>
      <c r="J362" s="123" t="s">
        <v>521</v>
      </c>
      <c r="L362" s="6" t="s">
        <v>522</v>
      </c>
      <c r="N362" s="8" t="s">
        <v>12</v>
      </c>
      <c r="O362" s="1"/>
      <c r="P362" s="8" t="s">
        <v>13</v>
      </c>
      <c r="Q362" s="8"/>
      <c r="T362" s="136"/>
    </row>
    <row r="363" spans="1:20">
      <c r="A363" s="6"/>
      <c r="D363" s="301" t="s">
        <v>146</v>
      </c>
      <c r="F363" s="283"/>
      <c r="G363" s="55"/>
      <c r="H363" s="6"/>
      <c r="I363" s="6"/>
      <c r="J363" s="123"/>
      <c r="L363" s="6"/>
      <c r="N363" s="8"/>
      <c r="O363" s="1"/>
      <c r="P363" s="8"/>
      <c r="Q363" s="8"/>
      <c r="T363" s="136"/>
    </row>
    <row r="364" spans="1:20">
      <c r="A364" s="6">
        <f>MAX(A$245:A363)+1</f>
        <v>155</v>
      </c>
      <c r="B364" s="136"/>
      <c r="C364" s="136"/>
      <c r="D364" s="136" t="s">
        <v>258</v>
      </c>
      <c r="E364" s="136"/>
      <c r="F364" s="51" t="s">
        <v>523</v>
      </c>
      <c r="G364" s="136"/>
      <c r="H364" s="99">
        <v>22.98</v>
      </c>
      <c r="I364" s="136"/>
      <c r="J364" s="99">
        <f t="shared" ref="J364:J371" si="21">ROUND(L364,4)-ROUND(H364,4)</f>
        <v>2.8802999999999983</v>
      </c>
      <c r="K364" s="136"/>
      <c r="L364" s="99">
        <v>25.86030083293284</v>
      </c>
      <c r="M364" s="136"/>
      <c r="N364" s="99">
        <v>25.86030083293284</v>
      </c>
      <c r="O364" s="136"/>
      <c r="P364" s="275">
        <v>0</v>
      </c>
      <c r="Q364" s="136"/>
      <c r="R364" s="104"/>
      <c r="S364" s="104"/>
      <c r="T364" s="136"/>
    </row>
    <row r="365" spans="1:20">
      <c r="A365" s="6"/>
      <c r="B365" s="136"/>
      <c r="C365" s="136"/>
      <c r="D365" s="136" t="s">
        <v>260</v>
      </c>
      <c r="E365" s="136"/>
      <c r="F365" s="145"/>
      <c r="G365" s="136"/>
      <c r="H365" s="99"/>
      <c r="I365" s="136"/>
      <c r="J365" s="99"/>
      <c r="K365" s="136"/>
      <c r="L365" s="99"/>
      <c r="M365" s="136"/>
      <c r="N365" s="99"/>
      <c r="O365" s="136"/>
      <c r="P365" s="99"/>
      <c r="Q365" s="136"/>
      <c r="R365" s="104"/>
      <c r="S365" s="104"/>
      <c r="T365" s="136"/>
    </row>
    <row r="366" spans="1:20" ht="14.45">
      <c r="A366" s="6">
        <f>MAX(A$245:A365)+1</f>
        <v>156</v>
      </c>
      <c r="B366" s="136"/>
      <c r="C366" s="136"/>
      <c r="D366" s="136" t="s">
        <v>592</v>
      </c>
      <c r="E366" s="136"/>
      <c r="F366" s="51" t="s">
        <v>525</v>
      </c>
      <c r="G366" s="136"/>
      <c r="H366" s="102">
        <v>6.5343999999999998</v>
      </c>
      <c r="I366" s="102"/>
      <c r="J366" s="102">
        <f t="shared" si="21"/>
        <v>-0.62399999999999967</v>
      </c>
      <c r="K366" s="102"/>
      <c r="L366" s="102">
        <v>5.9103880348342681</v>
      </c>
      <c r="M366" s="102"/>
      <c r="N366" s="102">
        <v>5.7641980814028129</v>
      </c>
      <c r="O366" s="102"/>
      <c r="P366" s="102">
        <v>0.14618995343145674</v>
      </c>
      <c r="Q366" s="136"/>
      <c r="R366" s="104"/>
      <c r="S366" s="104"/>
      <c r="T366" s="136"/>
    </row>
    <row r="367" spans="1:20" ht="14.45">
      <c r="A367" s="6">
        <f>MAX(A$245:A366)+1</f>
        <v>157</v>
      </c>
      <c r="B367" s="136"/>
      <c r="C367" s="136"/>
      <c r="D367" s="52" t="s">
        <v>593</v>
      </c>
      <c r="E367" s="136"/>
      <c r="F367" s="51" t="s">
        <v>525</v>
      </c>
      <c r="G367" s="136"/>
      <c r="H367" s="102">
        <v>6.2202999999999999</v>
      </c>
      <c r="I367" s="102"/>
      <c r="J367" s="102">
        <f t="shared" si="21"/>
        <v>-0.58190000000000008</v>
      </c>
      <c r="K367" s="102"/>
      <c r="L367" s="102">
        <v>5.6383522989586021</v>
      </c>
      <c r="M367" s="102"/>
      <c r="N367" s="102">
        <v>5.492162345527146</v>
      </c>
      <c r="O367" s="102"/>
      <c r="P367" s="102">
        <v>0.14618995343145672</v>
      </c>
      <c r="Q367" s="136"/>
      <c r="R367" s="104"/>
      <c r="S367" s="104"/>
      <c r="T367" s="136"/>
    </row>
    <row r="368" spans="1:20" ht="14.45">
      <c r="A368" s="6">
        <f>MAX(A$245:A367)+1</f>
        <v>158</v>
      </c>
      <c r="B368" s="136"/>
      <c r="C368" s="136"/>
      <c r="D368" s="52" t="s">
        <v>594</v>
      </c>
      <c r="E368" s="136"/>
      <c r="F368" s="51" t="s">
        <v>525</v>
      </c>
      <c r="G368" s="136"/>
      <c r="H368" s="102">
        <v>5.4088000000000003</v>
      </c>
      <c r="I368" s="102"/>
      <c r="J368" s="102">
        <f t="shared" si="21"/>
        <v>-0.47320000000000029</v>
      </c>
      <c r="K368" s="102"/>
      <c r="L368" s="102">
        <v>4.9355590704369181</v>
      </c>
      <c r="M368" s="102"/>
      <c r="N368" s="102">
        <v>4.7893691170054602</v>
      </c>
      <c r="O368" s="102"/>
      <c r="P368" s="102">
        <v>0.14618995343145674</v>
      </c>
      <c r="Q368" s="136"/>
      <c r="R368" s="104"/>
      <c r="S368" s="104"/>
      <c r="T368" s="136"/>
    </row>
    <row r="369" spans="1:20">
      <c r="A369" s="6"/>
      <c r="B369" s="136"/>
      <c r="C369" s="136"/>
      <c r="E369" s="136"/>
      <c r="F369" s="145"/>
      <c r="G369" s="136"/>
      <c r="H369" s="144"/>
      <c r="I369" s="136"/>
      <c r="J369" s="104"/>
      <c r="K369" s="136"/>
      <c r="L369" s="144"/>
      <c r="M369" s="136"/>
      <c r="N369" s="144"/>
      <c r="O369" s="136"/>
      <c r="P369" s="145"/>
      <c r="Q369" s="136"/>
      <c r="R369" s="104"/>
      <c r="S369" s="104"/>
      <c r="T369" s="136"/>
    </row>
    <row r="370" spans="1:20">
      <c r="A370" s="6">
        <f>MAX(A$245:A369)+1</f>
        <v>159</v>
      </c>
      <c r="B370" s="136"/>
      <c r="C370" s="136"/>
      <c r="D370" s="136" t="s">
        <v>339</v>
      </c>
      <c r="E370" s="136"/>
      <c r="F370" s="51" t="s">
        <v>525</v>
      </c>
      <c r="G370" s="136"/>
      <c r="H370" s="102">
        <v>0.90249999999999997</v>
      </c>
      <c r="I370" s="102"/>
      <c r="J370" s="102">
        <f t="shared" si="21"/>
        <v>2.7800000000000047E-2</v>
      </c>
      <c r="K370" s="102"/>
      <c r="L370" s="102">
        <v>0.9302845851033551</v>
      </c>
      <c r="M370" s="102"/>
      <c r="N370" s="102">
        <v>0.87507567907436445</v>
      </c>
      <c r="O370" s="102"/>
      <c r="P370" s="102">
        <v>5.5208906028990777E-2</v>
      </c>
      <c r="Q370" s="136"/>
      <c r="R370" s="104"/>
      <c r="S370" s="104"/>
      <c r="T370" s="136"/>
    </row>
    <row r="371" spans="1:20">
      <c r="A371" s="6">
        <f>MAX(A$245:A370)+1</f>
        <v>160</v>
      </c>
      <c r="B371" s="136"/>
      <c r="C371" s="136"/>
      <c r="D371" s="136" t="s">
        <v>270</v>
      </c>
      <c r="E371" s="136"/>
      <c r="F371" s="51" t="s">
        <v>525</v>
      </c>
      <c r="G371" s="136"/>
      <c r="H371" s="102">
        <v>20.538400000000003</v>
      </c>
      <c r="I371" s="102"/>
      <c r="J371" s="102">
        <f t="shared" si="21"/>
        <v>-1.9999999999988916E-3</v>
      </c>
      <c r="K371" s="102"/>
      <c r="L371" s="102">
        <v>20.536380661324731</v>
      </c>
      <c r="M371" s="102"/>
      <c r="N371" s="102">
        <v>-7.591933867527062E-2</v>
      </c>
      <c r="O371" s="102"/>
      <c r="P371" s="102">
        <v>20.612300000000001</v>
      </c>
      <c r="Q371" s="136"/>
      <c r="R371" s="104"/>
      <c r="S371" s="104"/>
      <c r="T371" s="136"/>
    </row>
    <row r="372" spans="1:20">
      <c r="A372" s="6"/>
      <c r="B372" s="136"/>
      <c r="C372" s="136"/>
      <c r="E372" s="136"/>
      <c r="F372" s="145"/>
      <c r="G372" s="136"/>
      <c r="H372" s="144"/>
      <c r="I372" s="136"/>
      <c r="J372" s="104"/>
      <c r="K372" s="136"/>
      <c r="L372" s="144"/>
      <c r="M372" s="136"/>
      <c r="N372" s="136"/>
      <c r="O372" s="136"/>
      <c r="P372" s="136"/>
      <c r="Q372" s="136"/>
      <c r="R372" s="136"/>
      <c r="S372" s="136"/>
      <c r="T372" s="136"/>
    </row>
    <row r="373" spans="1:20">
      <c r="A373" s="6"/>
      <c r="B373" s="136"/>
      <c r="C373" s="136"/>
      <c r="D373" s="301" t="s">
        <v>147</v>
      </c>
      <c r="E373" s="136"/>
      <c r="F373" s="145"/>
      <c r="G373" s="136"/>
      <c r="H373" s="144"/>
      <c r="I373" s="136"/>
      <c r="J373" s="104"/>
      <c r="K373" s="136"/>
      <c r="L373" s="144"/>
      <c r="M373" s="136"/>
      <c r="N373" s="136"/>
      <c r="O373" s="136"/>
      <c r="P373" s="136"/>
      <c r="Q373" s="136"/>
      <c r="R373" s="136"/>
      <c r="S373" s="136"/>
      <c r="T373" s="136"/>
    </row>
    <row r="374" spans="1:20">
      <c r="A374" s="6">
        <f>MAX(A$245:A373)+1</f>
        <v>161</v>
      </c>
      <c r="B374" s="136"/>
      <c r="C374" s="136"/>
      <c r="D374" s="136" t="s">
        <v>258</v>
      </c>
      <c r="E374" s="136"/>
      <c r="F374" s="51" t="s">
        <v>523</v>
      </c>
      <c r="G374" s="136"/>
      <c r="H374" s="99">
        <v>76.58</v>
      </c>
      <c r="I374" s="136"/>
      <c r="J374" s="99">
        <f t="shared" ref="J374:J382" si="22">ROUND(L374,4)-ROUND(H374,4)</f>
        <v>2.0926000000000045</v>
      </c>
      <c r="K374" s="136"/>
      <c r="L374" s="99">
        <v>78.672570443196548</v>
      </c>
      <c r="M374" s="136"/>
      <c r="N374" s="99">
        <v>78.672570443196548</v>
      </c>
      <c r="O374" s="136"/>
      <c r="P374" s="275">
        <v>0</v>
      </c>
      <c r="Q374" s="136"/>
      <c r="R374" s="104"/>
      <c r="S374" s="104"/>
      <c r="T374" s="136"/>
    </row>
    <row r="375" spans="1:20">
      <c r="A375" s="6"/>
      <c r="B375" s="136"/>
      <c r="C375" s="136"/>
      <c r="D375" s="136" t="s">
        <v>260</v>
      </c>
      <c r="E375" s="136"/>
      <c r="F375" s="145"/>
      <c r="G375" s="136"/>
      <c r="H375" s="99"/>
      <c r="I375" s="136"/>
      <c r="J375" s="99"/>
      <c r="K375" s="136"/>
      <c r="L375" s="99"/>
      <c r="M375" s="136"/>
      <c r="N375" s="99"/>
      <c r="O375" s="136"/>
      <c r="P375" s="99"/>
      <c r="Q375" s="136"/>
      <c r="R375" s="104"/>
      <c r="S375" s="104"/>
      <c r="T375" s="136"/>
    </row>
    <row r="376" spans="1:20" ht="14.45">
      <c r="A376" s="6">
        <f>MAX(A$245:A375)+1</f>
        <v>162</v>
      </c>
      <c r="B376" s="136"/>
      <c r="C376" s="136"/>
      <c r="D376" s="136" t="s">
        <v>595</v>
      </c>
      <c r="E376" s="136"/>
      <c r="F376" s="51" t="s">
        <v>525</v>
      </c>
      <c r="G376" s="136"/>
      <c r="H376" s="102">
        <v>6.2404000000000002</v>
      </c>
      <c r="I376" s="102"/>
      <c r="J376" s="102">
        <f t="shared" si="22"/>
        <v>-0.26810000000000045</v>
      </c>
      <c r="K376" s="102"/>
      <c r="L376" s="102">
        <v>5.9723173170023767</v>
      </c>
      <c r="M376" s="102"/>
      <c r="N376" s="102">
        <v>5.8656340058783876</v>
      </c>
      <c r="O376" s="102"/>
      <c r="P376" s="102">
        <v>0.10668331112399047</v>
      </c>
      <c r="Q376" s="136"/>
      <c r="R376" s="104"/>
      <c r="S376" s="104"/>
      <c r="T376" s="136"/>
    </row>
    <row r="377" spans="1:20" ht="14.45">
      <c r="A377" s="6">
        <f>MAX(A$245:A376)+1</f>
        <v>163</v>
      </c>
      <c r="B377" s="136"/>
      <c r="C377" s="136"/>
      <c r="D377" s="52" t="s">
        <v>596</v>
      </c>
      <c r="E377" s="136"/>
      <c r="F377" s="51" t="s">
        <v>525</v>
      </c>
      <c r="G377" s="136"/>
      <c r="H377" s="102">
        <v>6.1308000000000007</v>
      </c>
      <c r="I377" s="102"/>
      <c r="J377" s="102">
        <f t="shared" si="22"/>
        <v>-0.26279999999999948</v>
      </c>
      <c r="K377" s="102"/>
      <c r="L377" s="102">
        <v>5.8680409729497667</v>
      </c>
      <c r="M377" s="102"/>
      <c r="N377" s="102">
        <v>5.7613576618257767</v>
      </c>
      <c r="O377" s="102"/>
      <c r="P377" s="102">
        <v>0.10668331112399046</v>
      </c>
      <c r="Q377" s="136"/>
      <c r="R377" s="104"/>
      <c r="S377" s="104"/>
      <c r="T377" s="136"/>
    </row>
    <row r="378" spans="1:20" ht="14.45">
      <c r="A378" s="6">
        <f>MAX(A$245:A377)+1</f>
        <v>164</v>
      </c>
      <c r="B378" s="136"/>
      <c r="C378" s="136"/>
      <c r="D378" s="52" t="s">
        <v>597</v>
      </c>
      <c r="E378" s="136"/>
      <c r="F378" s="51" t="s">
        <v>525</v>
      </c>
      <c r="G378" s="136"/>
      <c r="H378" s="102">
        <v>5.7571000000000003</v>
      </c>
      <c r="I378" s="102"/>
      <c r="J378" s="102">
        <f t="shared" si="22"/>
        <v>-0.24650000000000016</v>
      </c>
      <c r="K378" s="102"/>
      <c r="L378" s="102">
        <v>5.510567593512576</v>
      </c>
      <c r="M378" s="102"/>
      <c r="N378" s="102">
        <v>5.4038842823885842</v>
      </c>
      <c r="O378" s="102"/>
      <c r="P378" s="102">
        <v>0.10668331112399047</v>
      </c>
      <c r="Q378" s="136"/>
      <c r="R378" s="104"/>
      <c r="S378" s="104"/>
      <c r="T378" s="136"/>
    </row>
    <row r="379" spans="1:20" ht="14.45">
      <c r="A379" s="6">
        <f>MAX(A$245:A378)+1</f>
        <v>165</v>
      </c>
      <c r="B379" s="136"/>
      <c r="C379" s="136"/>
      <c r="D379" s="52" t="s">
        <v>598</v>
      </c>
      <c r="E379" s="136"/>
      <c r="F379" s="51" t="s">
        <v>525</v>
      </c>
      <c r="G379" s="136"/>
      <c r="H379" s="102">
        <v>5.3672000000000004</v>
      </c>
      <c r="I379" s="102"/>
      <c r="J379" s="102">
        <f t="shared" si="22"/>
        <v>-0.22750000000000004</v>
      </c>
      <c r="K379" s="102"/>
      <c r="L379" s="102">
        <v>5.1396735159846392</v>
      </c>
      <c r="M379" s="102"/>
      <c r="N379" s="102">
        <v>5.0329902048606474</v>
      </c>
      <c r="O379" s="102"/>
      <c r="P379" s="102">
        <v>0.10668331112399052</v>
      </c>
      <c r="Q379" s="136"/>
      <c r="R379" s="104"/>
      <c r="S379" s="104"/>
      <c r="T379" s="136"/>
    </row>
    <row r="380" spans="1:20">
      <c r="A380" s="6"/>
      <c r="B380" s="136"/>
      <c r="C380" s="136"/>
      <c r="E380" s="136"/>
      <c r="F380" s="145"/>
      <c r="G380" s="136"/>
      <c r="H380" s="102"/>
      <c r="I380" s="102"/>
      <c r="J380" s="102"/>
      <c r="K380" s="102"/>
      <c r="L380" s="102"/>
      <c r="M380" s="102"/>
      <c r="N380" s="102"/>
      <c r="O380" s="102"/>
      <c r="P380" s="102"/>
      <c r="Q380" s="136"/>
      <c r="R380" s="104"/>
      <c r="S380" s="104"/>
      <c r="T380" s="136"/>
    </row>
    <row r="381" spans="1:20">
      <c r="A381" s="6">
        <f>MAX(A$245:A380)+1</f>
        <v>166</v>
      </c>
      <c r="B381" s="136"/>
      <c r="C381" s="136"/>
      <c r="D381" s="136" t="s">
        <v>339</v>
      </c>
      <c r="E381" s="136"/>
      <c r="F381" s="51" t="s">
        <v>525</v>
      </c>
      <c r="G381" s="136"/>
      <c r="H381" s="102">
        <v>0.85109999999999997</v>
      </c>
      <c r="I381" s="102"/>
      <c r="J381" s="102">
        <f t="shared" si="22"/>
        <v>2.6100000000000012E-2</v>
      </c>
      <c r="K381" s="102"/>
      <c r="L381" s="102">
        <v>0.87723255721505922</v>
      </c>
      <c r="M381" s="102"/>
      <c r="N381" s="102">
        <v>0.826483193021045</v>
      </c>
      <c r="O381" s="102"/>
      <c r="P381" s="102">
        <v>5.0749364194014178E-2</v>
      </c>
      <c r="Q381" s="136"/>
      <c r="R381" s="104"/>
      <c r="S381" s="104"/>
      <c r="T381" s="136"/>
    </row>
    <row r="382" spans="1:20">
      <c r="A382" s="6">
        <f>MAX(A$245:A381)+1</f>
        <v>167</v>
      </c>
      <c r="B382" s="136"/>
      <c r="C382" s="136"/>
      <c r="D382" s="136" t="s">
        <v>270</v>
      </c>
      <c r="E382" s="136"/>
      <c r="F382" s="51" t="s">
        <v>525</v>
      </c>
      <c r="G382" s="136"/>
      <c r="H382" s="102">
        <v>20.538400000000003</v>
      </c>
      <c r="I382" s="102"/>
      <c r="J382" s="102">
        <f t="shared" si="22"/>
        <v>-1.9999999999988916E-3</v>
      </c>
      <c r="K382" s="102"/>
      <c r="L382" s="102">
        <v>20.536380661324731</v>
      </c>
      <c r="M382" s="102"/>
      <c r="N382" s="102">
        <v>-7.5919338675270634E-2</v>
      </c>
      <c r="O382" s="102"/>
      <c r="P382" s="102">
        <v>20.612300000000001</v>
      </c>
      <c r="Q382" s="136"/>
      <c r="R382" s="104"/>
      <c r="S382" s="104"/>
      <c r="T382" s="136"/>
    </row>
    <row r="383" spans="1:20">
      <c r="A383" s="6"/>
      <c r="B383" s="136"/>
      <c r="C383" s="136"/>
      <c r="D383" s="136"/>
      <c r="E383" s="136"/>
      <c r="F383" s="145"/>
      <c r="G383" s="136"/>
      <c r="H383" s="144"/>
      <c r="I383" s="136"/>
      <c r="J383" s="104"/>
      <c r="K383" s="136"/>
      <c r="L383" s="144"/>
      <c r="M383" s="136"/>
      <c r="N383" s="145"/>
      <c r="O383" s="136"/>
      <c r="P383" s="136"/>
      <c r="Q383" s="136"/>
      <c r="R383" s="136"/>
      <c r="S383" s="136"/>
      <c r="T383" s="136"/>
    </row>
    <row r="384" spans="1:20">
      <c r="A384" s="6"/>
      <c r="B384" s="136"/>
      <c r="C384" s="136"/>
      <c r="D384" s="301" t="s">
        <v>148</v>
      </c>
      <c r="E384" s="136"/>
      <c r="F384" s="136"/>
      <c r="G384" s="136"/>
      <c r="H384" s="144"/>
      <c r="I384" s="136"/>
      <c r="J384" s="104"/>
      <c r="K384" s="136"/>
      <c r="L384" s="144"/>
      <c r="M384" s="136"/>
      <c r="N384" s="145"/>
      <c r="O384" s="136"/>
      <c r="P384" s="136"/>
      <c r="Q384" s="136"/>
      <c r="R384" s="136"/>
      <c r="S384" s="136"/>
      <c r="T384" s="136"/>
    </row>
    <row r="385" spans="1:20">
      <c r="A385" s="6"/>
      <c r="B385" s="136"/>
      <c r="C385" s="136"/>
      <c r="D385" s="136" t="s">
        <v>361</v>
      </c>
      <c r="E385" s="136"/>
      <c r="F385" s="136"/>
      <c r="G385" s="136"/>
      <c r="H385" s="144"/>
      <c r="I385" s="136"/>
      <c r="J385" s="104"/>
      <c r="K385" s="136"/>
      <c r="L385" s="144"/>
      <c r="M385" s="136"/>
      <c r="N385" s="145"/>
      <c r="O385" s="136"/>
      <c r="P385" s="136"/>
      <c r="Q385" s="136"/>
      <c r="R385" s="136"/>
      <c r="S385" s="136"/>
      <c r="T385" s="136"/>
    </row>
    <row r="386" spans="1:20">
      <c r="A386" s="6"/>
      <c r="B386" s="136"/>
      <c r="C386" s="136"/>
      <c r="D386" s="136" t="s">
        <v>280</v>
      </c>
      <c r="E386" s="136"/>
      <c r="F386" s="136"/>
      <c r="G386" s="136"/>
      <c r="H386" s="144"/>
      <c r="I386" s="136"/>
      <c r="J386" s="104"/>
      <c r="K386" s="136"/>
      <c r="L386" s="144"/>
      <c r="M386" s="136"/>
      <c r="N386" s="145"/>
      <c r="O386" s="136"/>
      <c r="P386" s="136"/>
      <c r="Q386" s="136"/>
      <c r="R386" s="136"/>
      <c r="S386" s="136"/>
      <c r="T386" s="136"/>
    </row>
    <row r="387" spans="1:20" ht="14.45">
      <c r="A387" s="6">
        <f>MAX(A$245:A386)+1</f>
        <v>168</v>
      </c>
      <c r="B387" s="136"/>
      <c r="C387" s="136"/>
      <c r="D387" s="52" t="s">
        <v>599</v>
      </c>
      <c r="E387" s="136"/>
      <c r="F387" s="51" t="s">
        <v>525</v>
      </c>
      <c r="G387" s="136"/>
      <c r="H387" s="102">
        <v>69.394599999999997</v>
      </c>
      <c r="I387" s="102"/>
      <c r="J387" s="102">
        <f t="shared" ref="J387:J394" si="23">ROUND(L387,4)-ROUND(H387,4)</f>
        <v>2.1633000000000067</v>
      </c>
      <c r="K387" s="102"/>
      <c r="L387" s="102">
        <v>71.55792833140022</v>
      </c>
      <c r="M387" s="102"/>
      <c r="N387" s="102">
        <v>71.55792833140022</v>
      </c>
      <c r="O387" s="102"/>
      <c r="P387" s="275">
        <v>0</v>
      </c>
      <c r="Q387" s="136"/>
      <c r="R387" s="104"/>
      <c r="S387" s="104"/>
      <c r="T387" s="136"/>
    </row>
    <row r="388" spans="1:20" ht="14.45">
      <c r="A388" s="6">
        <f>MAX(A$245:A387)+1</f>
        <v>169</v>
      </c>
      <c r="B388" s="136"/>
      <c r="C388" s="136"/>
      <c r="D388" s="52" t="s">
        <v>600</v>
      </c>
      <c r="E388" s="136"/>
      <c r="F388" s="51" t="s">
        <v>525</v>
      </c>
      <c r="G388" s="136"/>
      <c r="H388" s="102">
        <v>33.057699999999997</v>
      </c>
      <c r="I388" s="102"/>
      <c r="J388" s="102">
        <f t="shared" si="23"/>
        <v>1.3054000000000059</v>
      </c>
      <c r="K388" s="102"/>
      <c r="L388" s="102">
        <v>34.363103952621913</v>
      </c>
      <c r="M388" s="102"/>
      <c r="N388" s="102">
        <v>34.363103952621913</v>
      </c>
      <c r="O388" s="102"/>
      <c r="P388" s="275">
        <v>0</v>
      </c>
      <c r="Q388" s="136"/>
      <c r="R388" s="104"/>
      <c r="S388" s="104"/>
      <c r="T388" s="136"/>
    </row>
    <row r="389" spans="1:20" ht="14.45">
      <c r="A389" s="6">
        <f>MAX(A$245:A388)+1</f>
        <v>170</v>
      </c>
      <c r="B389" s="136"/>
      <c r="C389" s="136"/>
      <c r="D389" s="52" t="s">
        <v>601</v>
      </c>
      <c r="E389" s="136"/>
      <c r="F389" s="51" t="s">
        <v>525</v>
      </c>
      <c r="G389" s="136"/>
      <c r="H389" s="102">
        <v>28.335999999999999</v>
      </c>
      <c r="I389" s="102"/>
      <c r="J389" s="102">
        <f t="shared" si="23"/>
        <v>1.1940000000000026</v>
      </c>
      <c r="K389" s="102"/>
      <c r="L389" s="102">
        <v>29.529982099250425</v>
      </c>
      <c r="M389" s="102"/>
      <c r="N389" s="102">
        <v>29.529982099250425</v>
      </c>
      <c r="O389" s="102"/>
      <c r="P389" s="275">
        <v>0</v>
      </c>
      <c r="Q389" s="136"/>
      <c r="R389" s="104"/>
      <c r="S389" s="104"/>
      <c r="T389" s="136"/>
    </row>
    <row r="390" spans="1:20">
      <c r="A390" s="6"/>
      <c r="B390" s="136"/>
      <c r="C390" s="136"/>
      <c r="D390" s="136" t="s">
        <v>260</v>
      </c>
      <c r="E390" s="136"/>
      <c r="F390" s="51"/>
      <c r="G390" s="136"/>
      <c r="H390" s="102"/>
      <c r="I390" s="102"/>
      <c r="J390" s="102"/>
      <c r="K390" s="102"/>
      <c r="L390" s="102"/>
      <c r="M390" s="102"/>
      <c r="N390" s="102"/>
      <c r="O390" s="102"/>
      <c r="P390" s="102"/>
      <c r="Q390" s="136"/>
      <c r="R390" s="104"/>
      <c r="S390" s="104"/>
      <c r="T390" s="136"/>
    </row>
    <row r="391" spans="1:20">
      <c r="A391" s="6">
        <f>MAX(A$245:A390)+1</f>
        <v>171</v>
      </c>
      <c r="B391" s="136"/>
      <c r="C391" s="136"/>
      <c r="D391" s="136" t="s">
        <v>602</v>
      </c>
      <c r="E391" s="136"/>
      <c r="F391" s="51" t="s">
        <v>525</v>
      </c>
      <c r="G391" s="136"/>
      <c r="H391" s="102">
        <v>2.0339</v>
      </c>
      <c r="I391" s="102"/>
      <c r="J391" s="102">
        <f t="shared" si="23"/>
        <v>7.7500000000000124E-2</v>
      </c>
      <c r="K391" s="102"/>
      <c r="L391" s="102">
        <v>2.1114479211218993</v>
      </c>
      <c r="M391" s="102"/>
      <c r="N391" s="102">
        <v>1.8752058651882488</v>
      </c>
      <c r="O391" s="102"/>
      <c r="P391" s="102">
        <v>0.23624205593365008</v>
      </c>
      <c r="Q391" s="136"/>
      <c r="R391" s="104"/>
      <c r="S391" s="104"/>
      <c r="T391" s="136"/>
    </row>
    <row r="392" spans="1:20">
      <c r="A392" s="6">
        <f>MAX(A$245:A391)+1</f>
        <v>172</v>
      </c>
      <c r="B392" s="136"/>
      <c r="C392" s="136"/>
      <c r="D392" s="13" t="s">
        <v>603</v>
      </c>
      <c r="E392" s="136"/>
      <c r="F392" s="51" t="s">
        <v>525</v>
      </c>
      <c r="G392" s="136"/>
      <c r="H392" s="102">
        <v>0.87250000000000005</v>
      </c>
      <c r="I392" s="102"/>
      <c r="J392" s="102">
        <f t="shared" si="23"/>
        <v>1.7899999999999916E-2</v>
      </c>
      <c r="K392" s="102"/>
      <c r="L392" s="275">
        <v>0.89039806268338662</v>
      </c>
      <c r="M392" s="275"/>
      <c r="N392" s="275">
        <v>0.67289806268338659</v>
      </c>
      <c r="O392" s="275"/>
      <c r="P392" s="275">
        <v>0.2175</v>
      </c>
      <c r="Q392" s="136"/>
      <c r="R392" s="104"/>
      <c r="S392" s="104"/>
      <c r="T392" s="136"/>
    </row>
    <row r="393" spans="1:20">
      <c r="A393" s="6"/>
      <c r="B393" s="136"/>
      <c r="C393" s="136"/>
      <c r="E393" s="136"/>
      <c r="F393" s="136"/>
      <c r="G393" s="136"/>
      <c r="H393" s="144"/>
      <c r="I393" s="136"/>
      <c r="J393" s="104"/>
      <c r="K393" s="136"/>
      <c r="L393" s="144"/>
      <c r="M393" s="136"/>
      <c r="N393" s="145"/>
      <c r="O393" s="136"/>
      <c r="P393" s="145"/>
      <c r="Q393" s="136"/>
      <c r="R393" s="104"/>
      <c r="S393" s="104"/>
      <c r="T393" s="136"/>
    </row>
    <row r="394" spans="1:20">
      <c r="A394" s="6">
        <f>MAX(A$245:A393)+1</f>
        <v>173</v>
      </c>
      <c r="B394" s="136"/>
      <c r="C394" s="136"/>
      <c r="D394" s="136" t="s">
        <v>351</v>
      </c>
      <c r="E394" s="136"/>
      <c r="F394" s="51" t="s">
        <v>525</v>
      </c>
      <c r="G394" s="136"/>
      <c r="H394" s="102">
        <v>2.2423999999999999</v>
      </c>
      <c r="I394" s="102"/>
      <c r="J394" s="102">
        <f t="shared" si="23"/>
        <v>8.329999999999993E-2</v>
      </c>
      <c r="K394" s="102"/>
      <c r="L394" s="102">
        <v>2.3256563106047916</v>
      </c>
      <c r="M394" s="102"/>
      <c r="N394" s="102">
        <v>2.0894031874317385</v>
      </c>
      <c r="O394" s="102"/>
      <c r="P394" s="102">
        <v>0.23624205593365008</v>
      </c>
      <c r="Q394" s="136"/>
      <c r="R394" s="104"/>
      <c r="S394" s="104"/>
      <c r="T394" s="136"/>
    </row>
    <row r="395" spans="1:20">
      <c r="A395" s="6"/>
      <c r="B395" s="136"/>
      <c r="C395" s="136"/>
      <c r="D395" s="136"/>
      <c r="E395" s="136"/>
      <c r="F395" s="51"/>
      <c r="G395" s="136"/>
      <c r="H395" s="102"/>
      <c r="I395" s="102"/>
      <c r="J395" s="102"/>
      <c r="K395" s="102"/>
      <c r="L395" s="102"/>
      <c r="M395" s="102"/>
      <c r="N395" s="102"/>
      <c r="O395" s="102"/>
      <c r="P395" s="102"/>
      <c r="Q395" s="136"/>
      <c r="R395" s="104"/>
      <c r="S395" s="104"/>
      <c r="T395" s="136"/>
    </row>
    <row r="396" spans="1:20">
      <c r="A396" s="6"/>
      <c r="B396" s="136"/>
      <c r="C396" s="136"/>
      <c r="D396" s="136" t="s">
        <v>354</v>
      </c>
      <c r="E396" s="136"/>
      <c r="F396" s="136"/>
      <c r="G396" s="136"/>
      <c r="H396" s="144"/>
      <c r="I396" s="136"/>
      <c r="J396" s="104"/>
      <c r="K396" s="136"/>
      <c r="L396" s="144"/>
      <c r="M396" s="136"/>
      <c r="N396" s="145"/>
      <c r="O396" s="136"/>
      <c r="P396" s="145"/>
      <c r="Q396" s="136"/>
      <c r="R396" s="104"/>
      <c r="S396" s="104"/>
      <c r="T396" s="136"/>
    </row>
    <row r="397" spans="1:20">
      <c r="A397" s="6">
        <f>MAX(A$245:A396)+1</f>
        <v>174</v>
      </c>
      <c r="B397" s="136"/>
      <c r="C397" s="136"/>
      <c r="D397" s="142" t="s">
        <v>604</v>
      </c>
      <c r="E397" s="136"/>
      <c r="F397" s="51" t="s">
        <v>523</v>
      </c>
      <c r="G397" s="136"/>
      <c r="H397" s="99">
        <v>755.88</v>
      </c>
      <c r="I397" s="136"/>
      <c r="J397" s="99">
        <f t="shared" ref="J397:J402" si="24">ROUND(L397,4)-ROUND(H397,4)</f>
        <v>20.654599999999959</v>
      </c>
      <c r="K397" s="136"/>
      <c r="L397" s="99">
        <v>776.53463758949351</v>
      </c>
      <c r="M397" s="136"/>
      <c r="N397" s="99">
        <v>776.53463758949351</v>
      </c>
      <c r="O397" s="136"/>
      <c r="P397" s="149">
        <v>0</v>
      </c>
      <c r="Q397" s="136"/>
      <c r="R397" s="104"/>
      <c r="S397" s="104"/>
      <c r="T397" s="136"/>
    </row>
    <row r="398" spans="1:20">
      <c r="A398" s="6">
        <f>MAX(A$245:A397)+1</f>
        <v>175</v>
      </c>
      <c r="B398" s="136"/>
      <c r="C398" s="136"/>
      <c r="D398" s="142" t="s">
        <v>605</v>
      </c>
      <c r="E398" s="136"/>
      <c r="F398" s="51" t="s">
        <v>525</v>
      </c>
      <c r="G398" s="136"/>
      <c r="H398" s="102">
        <v>3.2833000000000001</v>
      </c>
      <c r="I398" s="102"/>
      <c r="J398" s="102">
        <f t="shared" si="24"/>
        <v>-1.1400000000000077E-2</v>
      </c>
      <c r="K398" s="102"/>
      <c r="L398" s="102">
        <v>3.2719052054076672</v>
      </c>
      <c r="M398" s="102"/>
      <c r="N398" s="102">
        <v>3.1122513795327795</v>
      </c>
      <c r="O398" s="102"/>
      <c r="P398" s="102">
        <v>0.15965382587488777</v>
      </c>
      <c r="Q398" s="136"/>
      <c r="R398" s="104"/>
      <c r="S398" s="104"/>
      <c r="T398" s="136"/>
    </row>
    <row r="399" spans="1:20">
      <c r="A399" s="6">
        <f>MAX(A$245:A398)+1</f>
        <v>176</v>
      </c>
      <c r="B399" s="136"/>
      <c r="C399" s="136"/>
      <c r="D399" s="136" t="s">
        <v>355</v>
      </c>
      <c r="E399" s="136"/>
      <c r="F399" s="51" t="s">
        <v>525</v>
      </c>
      <c r="G399" s="136"/>
      <c r="H399" s="102">
        <v>3.7970999999999999</v>
      </c>
      <c r="I399" s="102"/>
      <c r="J399" s="102">
        <f t="shared" si="24"/>
        <v>-0.17010000000000014</v>
      </c>
      <c r="K399" s="102"/>
      <c r="L399" s="102">
        <v>3.6270483792677659</v>
      </c>
      <c r="M399" s="102"/>
      <c r="N399" s="102">
        <v>3.4836483792677662</v>
      </c>
      <c r="O399" s="102"/>
      <c r="P399" s="102">
        <v>0.14340000000000003</v>
      </c>
      <c r="Q399" s="136"/>
      <c r="R399" s="104"/>
      <c r="S399" s="104"/>
      <c r="T399" s="136"/>
    </row>
    <row r="400" spans="1:20">
      <c r="A400" s="6"/>
      <c r="B400" s="136"/>
      <c r="C400" s="136"/>
      <c r="D400" s="136"/>
      <c r="E400" s="136"/>
      <c r="F400" s="136"/>
      <c r="G400" s="136"/>
      <c r="H400" s="102"/>
      <c r="I400" s="102"/>
      <c r="J400" s="102"/>
      <c r="K400" s="102"/>
      <c r="L400" s="102"/>
      <c r="M400" s="102"/>
      <c r="N400" s="102"/>
      <c r="O400" s="102"/>
      <c r="P400" s="102"/>
      <c r="Q400" s="136"/>
      <c r="R400" s="104"/>
      <c r="S400" s="104"/>
      <c r="T400" s="136"/>
    </row>
    <row r="401" spans="1:20">
      <c r="A401" s="6">
        <f>MAX(A$245:A400)+1</f>
        <v>177</v>
      </c>
      <c r="B401" s="136"/>
      <c r="C401" s="136"/>
      <c r="D401" s="136" t="s">
        <v>606</v>
      </c>
      <c r="E401" s="136"/>
      <c r="F401" s="51" t="s">
        <v>525</v>
      </c>
      <c r="G401" s="136"/>
      <c r="H401" s="102">
        <v>0.20849999999999999</v>
      </c>
      <c r="I401" s="102"/>
      <c r="J401" s="102">
        <f t="shared" si="24"/>
        <v>5.7000000000000106E-3</v>
      </c>
      <c r="K401" s="102"/>
      <c r="L401" s="102">
        <v>0.21419732224349022</v>
      </c>
      <c r="M401" s="102"/>
      <c r="N401" s="102">
        <v>0.21419732224349022</v>
      </c>
      <c r="O401" s="102"/>
      <c r="P401" s="149">
        <v>0</v>
      </c>
      <c r="Q401" s="136"/>
      <c r="R401" s="104"/>
      <c r="S401" s="104"/>
      <c r="T401" s="136"/>
    </row>
    <row r="402" spans="1:20">
      <c r="A402" s="6">
        <f>MAX(A$245:A401)+1</f>
        <v>178</v>
      </c>
      <c r="B402" s="136"/>
      <c r="C402" s="136"/>
      <c r="D402" s="136" t="s">
        <v>270</v>
      </c>
      <c r="E402" s="136"/>
      <c r="F402" s="51" t="s">
        <v>525</v>
      </c>
      <c r="G402" s="136"/>
      <c r="H402" s="102">
        <v>20.538400000000003</v>
      </c>
      <c r="I402" s="102"/>
      <c r="J402" s="102">
        <f t="shared" si="24"/>
        <v>-1.9999999999988916E-3</v>
      </c>
      <c r="K402" s="102"/>
      <c r="L402" s="102">
        <v>20.536380661324731</v>
      </c>
      <c r="M402" s="102"/>
      <c r="N402" s="102">
        <v>-7.5919338675270634E-2</v>
      </c>
      <c r="O402" s="102"/>
      <c r="P402" s="102">
        <v>20.612300000000001</v>
      </c>
      <c r="Q402" s="136"/>
      <c r="R402" s="104"/>
      <c r="S402" s="104"/>
      <c r="T402" s="136"/>
    </row>
    <row r="403" spans="1:20">
      <c r="A403" s="6"/>
      <c r="B403" s="136"/>
      <c r="C403" s="136"/>
      <c r="E403" s="136"/>
      <c r="F403" s="136"/>
      <c r="G403" s="136"/>
      <c r="H403" s="144"/>
      <c r="I403" s="136"/>
      <c r="J403" s="104"/>
      <c r="K403" s="136"/>
      <c r="L403" s="144"/>
      <c r="M403" s="136"/>
      <c r="N403" s="145"/>
      <c r="O403" s="136"/>
      <c r="P403" s="136"/>
      <c r="Q403" s="136"/>
      <c r="R403" s="136"/>
      <c r="S403" s="136"/>
      <c r="T403" s="136"/>
    </row>
    <row r="404" spans="1:20">
      <c r="A404" s="6"/>
      <c r="B404" s="136"/>
      <c r="C404" s="136"/>
      <c r="E404" s="136"/>
      <c r="F404" s="136"/>
      <c r="G404" s="136"/>
      <c r="H404" s="144"/>
      <c r="I404" s="136"/>
      <c r="J404" s="104"/>
      <c r="K404" s="136"/>
      <c r="L404" s="144"/>
      <c r="M404" s="136"/>
      <c r="N404" s="145"/>
      <c r="O404" s="136"/>
      <c r="P404" s="136"/>
      <c r="Q404" s="136"/>
      <c r="R404" s="136"/>
      <c r="S404" s="136"/>
      <c r="T404" s="136"/>
    </row>
    <row r="405" spans="1:20">
      <c r="A405" s="6"/>
      <c r="B405" s="136"/>
      <c r="C405" s="136"/>
      <c r="E405" s="136"/>
      <c r="F405" s="136"/>
      <c r="G405" s="136"/>
      <c r="H405" s="144"/>
      <c r="I405" s="136"/>
      <c r="J405" s="104"/>
      <c r="K405" s="136"/>
      <c r="L405" s="144"/>
      <c r="M405" s="136"/>
      <c r="N405" s="145"/>
      <c r="O405" s="136"/>
      <c r="P405" s="136"/>
      <c r="Q405" s="136"/>
      <c r="R405" s="136"/>
      <c r="S405" s="136"/>
      <c r="T405" s="136"/>
    </row>
    <row r="406" spans="1:20">
      <c r="A406" s="6"/>
      <c r="B406" s="136"/>
      <c r="C406" s="136"/>
      <c r="E406" s="136"/>
      <c r="F406" s="136"/>
      <c r="G406" s="136"/>
      <c r="H406" s="144"/>
      <c r="I406" s="136"/>
      <c r="J406" s="104"/>
      <c r="K406" s="136"/>
      <c r="L406" s="144"/>
      <c r="M406" s="136"/>
      <c r="N406" s="145"/>
      <c r="O406" s="136"/>
      <c r="P406" s="136"/>
      <c r="Q406" s="136"/>
      <c r="R406" s="136"/>
      <c r="S406" s="136"/>
      <c r="T406" s="136"/>
    </row>
    <row r="407" spans="1:20">
      <c r="A407" s="6"/>
      <c r="B407" s="136"/>
      <c r="C407" s="136"/>
      <c r="E407" s="136"/>
      <c r="F407" s="136"/>
      <c r="G407" s="136"/>
      <c r="H407" s="144"/>
      <c r="I407" s="136"/>
      <c r="J407" s="104"/>
      <c r="K407" s="136"/>
      <c r="L407" s="144"/>
      <c r="M407" s="136"/>
      <c r="N407" s="145"/>
      <c r="O407" s="136"/>
      <c r="P407" s="136"/>
      <c r="Q407" s="136"/>
      <c r="R407" s="136"/>
      <c r="S407" s="136"/>
      <c r="T407" s="136"/>
    </row>
    <row r="408" spans="1:20">
      <c r="A408" s="1163"/>
      <c r="B408" s="1163"/>
      <c r="C408" s="1163"/>
      <c r="D408" s="1206"/>
      <c r="E408" s="1206"/>
      <c r="F408" s="1206"/>
      <c r="G408" s="1206"/>
      <c r="H408" s="1206"/>
      <c r="I408" s="1206"/>
      <c r="J408" s="1206"/>
      <c r="K408" s="1206"/>
      <c r="L408" s="1206"/>
      <c r="M408" s="1206"/>
      <c r="N408" s="1206"/>
      <c r="O408" s="1206"/>
      <c r="P408" s="1206"/>
      <c r="Q408" s="136"/>
      <c r="R408" s="136"/>
      <c r="S408" s="136"/>
      <c r="T408" s="136"/>
    </row>
    <row r="409" spans="1:20">
      <c r="A409" s="1163" t="s">
        <v>543</v>
      </c>
      <c r="B409" s="1163"/>
      <c r="C409" s="1163"/>
      <c r="D409" s="1206"/>
      <c r="E409" s="1206"/>
      <c r="F409" s="1206"/>
      <c r="G409" s="1206"/>
      <c r="H409" s="1206"/>
      <c r="I409" s="1206"/>
      <c r="J409" s="1206"/>
      <c r="K409" s="1206"/>
      <c r="L409" s="1206"/>
      <c r="M409" s="1206"/>
      <c r="N409" s="1206"/>
      <c r="O409" s="1206"/>
      <c r="P409" s="1206"/>
      <c r="Q409" s="136"/>
      <c r="R409" s="136"/>
      <c r="S409" s="136"/>
      <c r="T409" s="136"/>
    </row>
    <row r="410" spans="1:20">
      <c r="A410" s="1162" t="s">
        <v>145</v>
      </c>
      <c r="B410" s="1206"/>
      <c r="C410" s="1206"/>
      <c r="D410" s="1206"/>
      <c r="E410" s="1206"/>
      <c r="F410" s="1206"/>
      <c r="G410" s="1206"/>
      <c r="H410" s="1206"/>
      <c r="I410" s="1206"/>
      <c r="J410" s="1206"/>
      <c r="K410" s="1206"/>
      <c r="L410" s="1206"/>
      <c r="M410" s="1206"/>
      <c r="N410" s="1206"/>
      <c r="O410" s="1206"/>
      <c r="P410" s="1206"/>
      <c r="Q410" s="136"/>
      <c r="R410" s="136"/>
      <c r="S410" s="136"/>
      <c r="T410" s="136"/>
    </row>
    <row r="411" spans="1:20">
      <c r="A411" s="6"/>
      <c r="B411" s="52"/>
      <c r="Q411" s="136"/>
      <c r="R411" s="136"/>
      <c r="S411" s="136"/>
      <c r="T411" s="136"/>
    </row>
    <row r="412" spans="1:20" ht="12.75" customHeight="1">
      <c r="A412" s="6"/>
      <c r="G412" s="55"/>
      <c r="H412" s="2"/>
      <c r="I412" s="2"/>
      <c r="J412" s="2"/>
      <c r="K412" s="2"/>
      <c r="L412" s="2"/>
      <c r="M412" s="2"/>
      <c r="N412" s="1160" t="s">
        <v>514</v>
      </c>
      <c r="O412" s="1160"/>
      <c r="P412" s="1160"/>
      <c r="Q412" s="136"/>
      <c r="R412" s="136"/>
      <c r="S412" s="136"/>
      <c r="T412" s="136"/>
    </row>
    <row r="413" spans="1:20">
      <c r="A413" s="6"/>
      <c r="G413" s="282"/>
      <c r="H413" s="6"/>
      <c r="I413" s="57"/>
      <c r="J413" s="1164" t="s">
        <v>515</v>
      </c>
      <c r="K413" s="1164"/>
      <c r="L413" s="1164"/>
      <c r="N413" s="1161"/>
      <c r="O413" s="1161"/>
      <c r="P413" s="1161"/>
      <c r="Q413" s="136"/>
      <c r="R413" s="136"/>
      <c r="S413" s="136"/>
      <c r="T413" s="136"/>
    </row>
    <row r="414" spans="1:20">
      <c r="A414" s="6" t="s">
        <v>56</v>
      </c>
      <c r="C414" s="52"/>
      <c r="F414" s="55"/>
      <c r="G414" s="51"/>
      <c r="H414" s="6" t="s">
        <v>93</v>
      </c>
      <c r="I414" s="57"/>
      <c r="J414" s="1" t="s">
        <v>516</v>
      </c>
      <c r="K414" s="4"/>
      <c r="L414" s="6" t="s">
        <v>102</v>
      </c>
      <c r="N414" s="17"/>
      <c r="O414" s="17"/>
      <c r="P414" s="17"/>
      <c r="Q414" s="136"/>
      <c r="R414" s="136"/>
      <c r="S414" s="136"/>
      <c r="T414" s="136"/>
    </row>
    <row r="415" spans="1:20">
      <c r="A415" s="53" t="s">
        <v>57</v>
      </c>
      <c r="B415" s="55"/>
      <c r="C415" s="56"/>
      <c r="D415" s="54" t="s">
        <v>194</v>
      </c>
      <c r="F415" s="271" t="s">
        <v>245</v>
      </c>
      <c r="G415" s="55"/>
      <c r="H415" s="356" t="s">
        <v>235</v>
      </c>
      <c r="I415" s="17"/>
      <c r="J415" s="237" t="s">
        <v>517</v>
      </c>
      <c r="L415" s="356" t="s">
        <v>518</v>
      </c>
      <c r="N415" s="7" t="s">
        <v>6</v>
      </c>
      <c r="O415" s="1"/>
      <c r="P415" s="7" t="s">
        <v>519</v>
      </c>
      <c r="Q415" s="136"/>
      <c r="R415" s="136"/>
      <c r="S415" s="136"/>
      <c r="T415" s="136"/>
    </row>
    <row r="416" spans="1:20">
      <c r="A416" s="6"/>
      <c r="F416" s="283"/>
      <c r="G416" s="55"/>
      <c r="H416" s="6" t="s">
        <v>520</v>
      </c>
      <c r="I416" s="6"/>
      <c r="J416" s="123" t="s">
        <v>521</v>
      </c>
      <c r="L416" s="6" t="s">
        <v>522</v>
      </c>
      <c r="N416" s="8" t="s">
        <v>12</v>
      </c>
      <c r="O416" s="1"/>
      <c r="P416" s="8" t="s">
        <v>13</v>
      </c>
      <c r="Q416" s="136"/>
      <c r="R416" s="136"/>
      <c r="S416" s="136"/>
      <c r="T416" s="136"/>
    </row>
    <row r="417" spans="1:20">
      <c r="A417" s="6"/>
      <c r="D417" s="301" t="s">
        <v>149</v>
      </c>
      <c r="F417" s="283"/>
      <c r="G417" s="55"/>
      <c r="H417" s="6"/>
      <c r="I417" s="6"/>
      <c r="J417" s="123"/>
      <c r="L417" s="6"/>
      <c r="N417" s="8"/>
      <c r="O417" s="1"/>
      <c r="P417" s="8"/>
      <c r="Q417" s="136"/>
      <c r="R417" s="136"/>
      <c r="S417" s="136"/>
      <c r="T417" s="136"/>
    </row>
    <row r="418" spans="1:20">
      <c r="A418" s="6"/>
      <c r="B418" s="136"/>
      <c r="C418" s="136"/>
      <c r="D418" s="136" t="s">
        <v>361</v>
      </c>
      <c r="E418" s="136"/>
      <c r="F418" s="136"/>
      <c r="G418" s="136"/>
      <c r="H418" s="144"/>
      <c r="I418" s="136"/>
      <c r="J418" s="104"/>
      <c r="K418" s="136"/>
      <c r="L418" s="144"/>
      <c r="M418" s="136"/>
      <c r="N418" s="145"/>
      <c r="O418" s="136"/>
      <c r="P418" s="136"/>
      <c r="Q418" s="136"/>
      <c r="R418" s="136"/>
      <c r="S418" s="136"/>
      <c r="T418" s="136"/>
    </row>
    <row r="419" spans="1:20">
      <c r="A419" s="6">
        <f>MAX(A$245:A418)+1</f>
        <v>179</v>
      </c>
      <c r="B419" s="136"/>
      <c r="C419" s="136"/>
      <c r="D419" s="146" t="s">
        <v>280</v>
      </c>
      <c r="E419" s="136"/>
      <c r="F419" s="273" t="s">
        <v>540</v>
      </c>
      <c r="G419" s="136"/>
      <c r="H419" s="102">
        <v>41.215699999999998</v>
      </c>
      <c r="I419" s="102"/>
      <c r="J419" s="102">
        <f t="shared" ref="J419:J420" si="25">ROUND(L419,4)-ROUND(H419,4)</f>
        <v>1.6281000000000034</v>
      </c>
      <c r="K419" s="102"/>
      <c r="L419" s="102">
        <v>42.843837284773997</v>
      </c>
      <c r="M419" s="102"/>
      <c r="N419" s="102">
        <v>42.843837284773997</v>
      </c>
      <c r="O419" s="102"/>
      <c r="P419" s="275">
        <v>0</v>
      </c>
      <c r="Q419" s="136"/>
      <c r="R419" s="104"/>
      <c r="S419" s="104"/>
      <c r="T419" s="136"/>
    </row>
    <row r="420" spans="1:20">
      <c r="A420" s="6">
        <f>MAX(A$245:A419)+1</f>
        <v>180</v>
      </c>
      <c r="B420" s="136"/>
      <c r="C420" s="136"/>
      <c r="D420" s="146" t="s">
        <v>260</v>
      </c>
      <c r="E420" s="136"/>
      <c r="F420" s="273" t="s">
        <v>525</v>
      </c>
      <c r="G420" s="136"/>
      <c r="H420" s="102">
        <v>3.5497469625757372</v>
      </c>
      <c r="I420" s="102"/>
      <c r="J420" s="102">
        <f t="shared" si="25"/>
        <v>-6.1100000000000154E-2</v>
      </c>
      <c r="K420" s="102"/>
      <c r="L420" s="102">
        <v>3.4886437388688232</v>
      </c>
      <c r="M420" s="102"/>
      <c r="N420" s="102">
        <v>3.3007458558344269</v>
      </c>
      <c r="O420" s="102"/>
      <c r="P420" s="102">
        <v>0.18789788303439781</v>
      </c>
      <c r="Q420" s="136"/>
      <c r="R420" s="104"/>
      <c r="S420" s="104"/>
      <c r="T420" s="136"/>
    </row>
    <row r="421" spans="1:20">
      <c r="A421" s="6"/>
      <c r="B421" s="136"/>
      <c r="C421" s="136"/>
      <c r="D421" s="136"/>
      <c r="E421" s="136"/>
      <c r="F421" s="136"/>
      <c r="G421" s="136"/>
      <c r="H421" s="102"/>
      <c r="I421" s="102"/>
      <c r="J421" s="102"/>
      <c r="K421" s="102"/>
      <c r="L421" s="102"/>
      <c r="M421" s="102"/>
      <c r="N421" s="102"/>
      <c r="O421" s="102"/>
      <c r="P421" s="102"/>
      <c r="Q421" s="136"/>
      <c r="R421" s="104"/>
      <c r="S421" s="104"/>
      <c r="T421" s="136"/>
    </row>
    <row r="422" spans="1:20">
      <c r="A422" s="6"/>
      <c r="B422" s="136"/>
      <c r="C422" s="136"/>
      <c r="D422" s="136" t="s">
        <v>354</v>
      </c>
      <c r="E422" s="136"/>
      <c r="F422" s="136"/>
      <c r="G422" s="136"/>
      <c r="H422" s="145"/>
      <c r="I422" s="136"/>
      <c r="J422" s="104"/>
      <c r="K422" s="136"/>
      <c r="L422" s="145"/>
      <c r="M422" s="136"/>
      <c r="N422" s="145"/>
      <c r="O422" s="136"/>
      <c r="P422" s="145"/>
      <c r="Q422" s="136"/>
      <c r="R422" s="104"/>
      <c r="S422" s="104"/>
      <c r="T422" s="136"/>
    </row>
    <row r="423" spans="1:20">
      <c r="A423" s="6">
        <f>MAX(A$245:A422)+1</f>
        <v>181</v>
      </c>
      <c r="B423" s="136"/>
      <c r="C423" s="136"/>
      <c r="D423" s="146" t="s">
        <v>604</v>
      </c>
      <c r="E423" s="136"/>
      <c r="F423" s="51" t="s">
        <v>523</v>
      </c>
      <c r="G423" s="136"/>
      <c r="H423" s="99">
        <v>755.88</v>
      </c>
      <c r="I423" s="136"/>
      <c r="J423" s="99">
        <f t="shared" ref="J423" si="26">ROUND(L423,4)-ROUND(H423,4)</f>
        <v>20.654599999999959</v>
      </c>
      <c r="K423" s="136"/>
      <c r="L423" s="99">
        <v>776.53463758949363</v>
      </c>
      <c r="M423" s="136"/>
      <c r="N423" s="99">
        <v>776.53463758949363</v>
      </c>
      <c r="O423" s="136"/>
      <c r="P423" s="275">
        <v>0</v>
      </c>
      <c r="Q423" s="136"/>
      <c r="R423" s="104"/>
      <c r="S423" s="104"/>
      <c r="T423" s="136"/>
    </row>
    <row r="424" spans="1:20">
      <c r="A424" s="6">
        <f>MAX(A$245:A423)+1</f>
        <v>182</v>
      </c>
      <c r="B424" s="136"/>
      <c r="C424" s="136"/>
      <c r="D424" s="146" t="s">
        <v>333</v>
      </c>
      <c r="E424" s="136"/>
      <c r="F424" s="273" t="s">
        <v>525</v>
      </c>
      <c r="G424" s="136"/>
      <c r="H424" s="102">
        <v>3.2833000000000001</v>
      </c>
      <c r="I424" s="102"/>
      <c r="J424" s="102">
        <f t="shared" ref="J424:J426" si="27">ROUND(L424,4)-ROUND(H424,4)</f>
        <v>-1.1400000000000077E-2</v>
      </c>
      <c r="K424" s="102"/>
      <c r="L424" s="102">
        <v>3.2719052054076672</v>
      </c>
      <c r="M424" s="102"/>
      <c r="N424" s="102">
        <v>3.1122513795327795</v>
      </c>
      <c r="O424" s="102"/>
      <c r="P424" s="102">
        <v>0.15965382587488777</v>
      </c>
      <c r="Q424" s="136"/>
      <c r="R424" s="104"/>
      <c r="S424" s="104"/>
      <c r="T424" s="136"/>
    </row>
    <row r="425" spans="1:20">
      <c r="A425" s="6"/>
      <c r="B425" s="136"/>
      <c r="C425" s="136"/>
      <c r="D425" s="136"/>
      <c r="E425" s="136"/>
      <c r="F425" s="136"/>
      <c r="G425" s="136"/>
      <c r="H425" s="102"/>
      <c r="I425" s="102"/>
      <c r="J425" s="102"/>
      <c r="K425" s="102"/>
      <c r="L425" s="102"/>
      <c r="M425" s="102"/>
      <c r="N425" s="102"/>
      <c r="O425" s="102"/>
      <c r="P425" s="102"/>
      <c r="Q425" s="136"/>
      <c r="R425" s="104"/>
      <c r="S425" s="104"/>
      <c r="T425" s="136"/>
    </row>
    <row r="426" spans="1:20">
      <c r="A426" s="6">
        <f>MAX(A$245:A425)+1</f>
        <v>183</v>
      </c>
      <c r="B426" s="136"/>
      <c r="C426" s="136"/>
      <c r="D426" s="136" t="s">
        <v>355</v>
      </c>
      <c r="E426" s="136"/>
      <c r="F426" s="273" t="s">
        <v>525</v>
      </c>
      <c r="G426" s="136"/>
      <c r="H426" s="102">
        <v>3.7970999999999999</v>
      </c>
      <c r="I426" s="102"/>
      <c r="J426" s="102">
        <f t="shared" si="27"/>
        <v>-0.31099999999999994</v>
      </c>
      <c r="K426" s="102"/>
      <c r="L426" s="102">
        <v>3.4861135948905595</v>
      </c>
      <c r="M426" s="102"/>
      <c r="N426" s="102">
        <v>3.3264597690156719</v>
      </c>
      <c r="O426" s="102"/>
      <c r="P426" s="102">
        <f>L426-N426</f>
        <v>0.15965382587488763</v>
      </c>
      <c r="Q426" s="136"/>
      <c r="R426" s="104"/>
      <c r="S426" s="104"/>
      <c r="T426" s="136"/>
    </row>
    <row r="427" spans="1:20">
      <c r="A427" s="6"/>
      <c r="B427" s="136"/>
      <c r="C427" s="136"/>
      <c r="E427" s="136"/>
      <c r="F427" s="136"/>
      <c r="G427" s="136"/>
      <c r="H427" s="102"/>
      <c r="I427" s="102"/>
      <c r="J427" s="102"/>
      <c r="K427" s="102"/>
      <c r="L427" s="102"/>
      <c r="M427" s="102"/>
      <c r="N427" s="102"/>
      <c r="O427" s="102"/>
      <c r="P427" s="275"/>
      <c r="Q427" s="136"/>
      <c r="R427" s="104"/>
      <c r="S427" s="104"/>
      <c r="T427" s="136"/>
    </row>
    <row r="428" spans="1:20">
      <c r="A428" s="6">
        <f>MAX(A$245:A427)+1</f>
        <v>184</v>
      </c>
      <c r="B428" s="136"/>
      <c r="C428" s="136"/>
      <c r="D428" s="136" t="s">
        <v>606</v>
      </c>
      <c r="E428" s="136"/>
      <c r="F428" s="273" t="s">
        <v>525</v>
      </c>
      <c r="G428" s="136"/>
      <c r="H428" s="102">
        <v>0.20849999999999999</v>
      </c>
      <c r="I428" s="102"/>
      <c r="J428" s="102">
        <f t="shared" ref="J428:J429" si="28">ROUND(L428,4)-ROUND(H428,4)</f>
        <v>5.7000000000000106E-3</v>
      </c>
      <c r="K428" s="102"/>
      <c r="L428" s="102">
        <v>0.21419732224349022</v>
      </c>
      <c r="M428" s="102"/>
      <c r="N428" s="102">
        <v>0.21419732224349022</v>
      </c>
      <c r="O428" s="102"/>
      <c r="P428" s="275">
        <v>0</v>
      </c>
      <c r="Q428" s="136"/>
      <c r="R428" s="104"/>
      <c r="S428" s="104"/>
      <c r="T428" s="136"/>
    </row>
    <row r="429" spans="1:20">
      <c r="A429" s="6">
        <f>MAX(A$245:A428)+1</f>
        <v>185</v>
      </c>
      <c r="B429" s="136"/>
      <c r="C429" s="136"/>
      <c r="D429" s="136" t="s">
        <v>270</v>
      </c>
      <c r="E429" s="136"/>
      <c r="F429" s="273" t="s">
        <v>525</v>
      </c>
      <c r="G429" s="136"/>
      <c r="H429" s="102">
        <v>20.538400000000003</v>
      </c>
      <c r="I429" s="102"/>
      <c r="J429" s="102">
        <f t="shared" si="28"/>
        <v>-1.9999999999988916E-3</v>
      </c>
      <c r="K429" s="102"/>
      <c r="L429" s="102">
        <v>20.536380661324731</v>
      </c>
      <c r="M429" s="102"/>
      <c r="N429" s="102">
        <v>-7.5919338675270634E-2</v>
      </c>
      <c r="O429" s="102"/>
      <c r="P429" s="102">
        <v>20.612300000000001</v>
      </c>
      <c r="Q429" s="136"/>
      <c r="R429" s="104"/>
      <c r="S429" s="104"/>
      <c r="T429" s="136"/>
    </row>
    <row r="430" spans="1:20">
      <c r="A430" s="6"/>
      <c r="B430" s="136"/>
      <c r="C430" s="136"/>
      <c r="D430" s="136"/>
      <c r="E430" s="136"/>
      <c r="F430" s="136"/>
      <c r="G430" s="136"/>
      <c r="H430" s="145"/>
      <c r="I430" s="136"/>
      <c r="J430" s="104"/>
      <c r="K430" s="136"/>
      <c r="L430" s="145"/>
      <c r="M430" s="136"/>
      <c r="N430" s="145"/>
      <c r="O430" s="136"/>
      <c r="P430" s="136"/>
      <c r="Q430" s="136"/>
      <c r="R430" s="136"/>
      <c r="S430" s="136"/>
      <c r="T430" s="136"/>
    </row>
    <row r="431" spans="1:20">
      <c r="A431" s="6"/>
      <c r="B431" s="136"/>
      <c r="C431" s="136"/>
      <c r="D431" s="301" t="s">
        <v>150</v>
      </c>
      <c r="E431" s="136"/>
      <c r="F431" s="136"/>
      <c r="G431" s="136"/>
      <c r="H431" s="145"/>
      <c r="I431" s="136"/>
      <c r="J431" s="104"/>
      <c r="K431" s="136"/>
      <c r="L431" s="145"/>
      <c r="M431" s="136"/>
      <c r="N431" s="145"/>
      <c r="O431" s="136"/>
      <c r="P431" s="136"/>
      <c r="Q431" s="136"/>
      <c r="R431" s="136"/>
      <c r="S431" s="136"/>
      <c r="T431" s="136"/>
    </row>
    <row r="432" spans="1:20">
      <c r="A432" s="6"/>
      <c r="B432" s="136"/>
      <c r="C432" s="136"/>
      <c r="D432" s="136" t="s">
        <v>607</v>
      </c>
      <c r="E432" s="136"/>
      <c r="F432" s="136"/>
      <c r="G432" s="136"/>
      <c r="H432" s="145"/>
      <c r="I432" s="136"/>
      <c r="J432" s="104"/>
      <c r="K432" s="136"/>
      <c r="L432" s="145"/>
      <c r="M432" s="136"/>
      <c r="N432" s="145"/>
      <c r="O432" s="136"/>
      <c r="P432" s="136"/>
      <c r="Q432" s="136"/>
      <c r="R432" s="136"/>
      <c r="S432" s="136"/>
      <c r="T432" s="136"/>
    </row>
    <row r="433" spans="1:20">
      <c r="A433" s="6">
        <f>MAX(A$245:A432)+1</f>
        <v>186</v>
      </c>
      <c r="B433" s="136"/>
      <c r="C433" s="136"/>
      <c r="D433" s="146" t="s">
        <v>280</v>
      </c>
      <c r="E433" s="136"/>
      <c r="F433" s="273" t="s">
        <v>540</v>
      </c>
      <c r="G433" s="136"/>
      <c r="H433" s="102">
        <v>34.034500000000001</v>
      </c>
      <c r="I433" s="102"/>
      <c r="J433" s="102">
        <f t="shared" ref="J433:J434" si="29">ROUND(L433,4)-ROUND(H433,4)</f>
        <v>3.1495999999999995</v>
      </c>
      <c r="K433" s="102"/>
      <c r="L433" s="102">
        <v>37.184126254854291</v>
      </c>
      <c r="M433" s="102"/>
      <c r="N433" s="102">
        <v>37.184126254854291</v>
      </c>
      <c r="O433" s="102"/>
      <c r="P433" s="275">
        <v>0</v>
      </c>
      <c r="Q433" s="136"/>
      <c r="R433" s="104"/>
      <c r="S433" s="104"/>
      <c r="T433" s="136"/>
    </row>
    <row r="434" spans="1:20">
      <c r="A434" s="6">
        <f>MAX(A$245:A433)+1</f>
        <v>187</v>
      </c>
      <c r="B434" s="136"/>
      <c r="C434" s="136"/>
      <c r="D434" s="146" t="s">
        <v>260</v>
      </c>
      <c r="E434" s="136"/>
      <c r="F434" s="273" t="s">
        <v>525</v>
      </c>
      <c r="G434" s="136"/>
      <c r="H434" s="102">
        <v>0.45379999999999998</v>
      </c>
      <c r="I434" s="102"/>
      <c r="J434" s="102">
        <f t="shared" si="29"/>
        <v>1.6000000000000014E-2</v>
      </c>
      <c r="K434" s="102"/>
      <c r="L434" s="102">
        <v>0.46984452849414055</v>
      </c>
      <c r="M434" s="102"/>
      <c r="N434" s="102">
        <v>0.23311938692825809</v>
      </c>
      <c r="O434" s="102"/>
      <c r="P434" s="102">
        <v>0.23672514156588242</v>
      </c>
      <c r="Q434" s="136"/>
      <c r="R434" s="104"/>
      <c r="S434" s="104"/>
      <c r="T434" s="136"/>
    </row>
    <row r="435" spans="1:20">
      <c r="A435" s="6"/>
      <c r="B435" s="136"/>
      <c r="C435" s="136"/>
      <c r="D435" s="136"/>
      <c r="E435" s="136"/>
      <c r="F435" s="136"/>
      <c r="G435" s="136"/>
      <c r="H435" s="102"/>
      <c r="I435" s="102"/>
      <c r="J435" s="102"/>
      <c r="K435" s="102"/>
      <c r="L435" s="102"/>
      <c r="M435" s="102"/>
      <c r="N435" s="102"/>
      <c r="O435" s="102"/>
      <c r="P435" s="102"/>
      <c r="Q435" s="136"/>
      <c r="R435" s="104"/>
      <c r="S435" s="104"/>
      <c r="T435" s="136"/>
    </row>
    <row r="436" spans="1:20">
      <c r="A436" s="6"/>
      <c r="B436" s="136"/>
      <c r="C436" s="136"/>
      <c r="D436" s="136" t="s">
        <v>608</v>
      </c>
      <c r="E436" s="136"/>
      <c r="F436" s="136"/>
      <c r="G436" s="136"/>
      <c r="H436" s="102"/>
      <c r="I436" s="102"/>
      <c r="J436" s="102"/>
      <c r="K436" s="102"/>
      <c r="L436" s="102"/>
      <c r="M436" s="102"/>
      <c r="N436" s="102"/>
      <c r="O436" s="102"/>
      <c r="P436" s="102"/>
      <c r="Q436" s="136"/>
      <c r="R436" s="104"/>
      <c r="S436" s="104"/>
      <c r="T436" s="136"/>
    </row>
    <row r="437" spans="1:20">
      <c r="A437" s="6">
        <f>MAX(A$245:A436)+1</f>
        <v>188</v>
      </c>
      <c r="B437" s="136"/>
      <c r="C437" s="136"/>
      <c r="D437" s="146" t="s">
        <v>333</v>
      </c>
      <c r="E437" s="136"/>
      <c r="F437" s="273" t="s">
        <v>525</v>
      </c>
      <c r="G437" s="136"/>
      <c r="H437" s="102">
        <v>2.4513716001416475</v>
      </c>
      <c r="I437" s="102"/>
      <c r="J437" s="102">
        <f t="shared" ref="J437:J439" si="30">ROUND(L437,4)-ROUND(H437,4)</f>
        <v>0.34109999999999996</v>
      </c>
      <c r="K437" s="102"/>
      <c r="L437" s="102">
        <v>2.792516869579234</v>
      </c>
      <c r="M437" s="102"/>
      <c r="N437" s="102">
        <v>2.5557917280133515</v>
      </c>
      <c r="O437" s="102"/>
      <c r="P437" s="102">
        <v>0.23672514156588231</v>
      </c>
      <c r="Q437" s="136"/>
      <c r="R437" s="104"/>
      <c r="S437" s="104"/>
      <c r="T437" s="136"/>
    </row>
    <row r="438" spans="1:20">
      <c r="A438" s="6"/>
      <c r="B438" s="136"/>
      <c r="C438" s="136"/>
      <c r="D438" s="136"/>
      <c r="E438" s="136"/>
      <c r="F438" s="136"/>
      <c r="G438" s="136"/>
      <c r="H438" s="102"/>
      <c r="I438" s="102"/>
      <c r="J438" s="102"/>
      <c r="K438" s="102"/>
      <c r="L438" s="102"/>
      <c r="M438" s="102"/>
      <c r="N438" s="102"/>
      <c r="O438" s="102"/>
      <c r="P438" s="102"/>
      <c r="Q438" s="136"/>
      <c r="R438" s="104"/>
      <c r="S438" s="104"/>
      <c r="T438" s="136"/>
    </row>
    <row r="439" spans="1:20">
      <c r="A439" s="6">
        <f>MAX(A$245:A438)+1</f>
        <v>189</v>
      </c>
      <c r="B439" s="136"/>
      <c r="C439" s="136"/>
      <c r="D439" s="136" t="s">
        <v>270</v>
      </c>
      <c r="E439" s="136"/>
      <c r="F439" s="273" t="s">
        <v>525</v>
      </c>
      <c r="G439" s="136"/>
      <c r="H439" s="102">
        <v>20.538400000000003</v>
      </c>
      <c r="I439" s="102"/>
      <c r="J439" s="102">
        <f t="shared" si="30"/>
        <v>-1.9999999999988916E-3</v>
      </c>
      <c r="K439" s="102"/>
      <c r="L439" s="102">
        <v>20.536380661324731</v>
      </c>
      <c r="M439" s="102"/>
      <c r="N439" s="102">
        <v>-7.5919338675270634E-2</v>
      </c>
      <c r="O439" s="102"/>
      <c r="P439" s="102">
        <v>20.612300000000001</v>
      </c>
      <c r="Q439" s="136"/>
      <c r="R439" s="104"/>
      <c r="S439" s="104"/>
      <c r="T439" s="136"/>
    </row>
    <row r="440" spans="1:20">
      <c r="A440" s="6"/>
      <c r="B440" s="136"/>
      <c r="C440" s="136"/>
      <c r="D440" s="143"/>
      <c r="E440" s="136"/>
      <c r="F440" s="136"/>
      <c r="G440" s="136"/>
      <c r="H440" s="145"/>
      <c r="I440" s="136"/>
      <c r="J440" s="104"/>
      <c r="K440" s="136"/>
      <c r="L440" s="145"/>
      <c r="M440" s="136"/>
      <c r="N440" s="145"/>
      <c r="O440" s="136"/>
      <c r="P440" s="136"/>
      <c r="Q440" s="136"/>
      <c r="R440" s="104"/>
      <c r="S440" s="104"/>
      <c r="T440" s="136"/>
    </row>
    <row r="441" spans="1:20">
      <c r="A441" s="6"/>
      <c r="B441" s="136"/>
      <c r="C441" s="136"/>
      <c r="D441" s="301" t="s">
        <v>151</v>
      </c>
      <c r="E441" s="136"/>
      <c r="F441" s="136"/>
      <c r="G441" s="136"/>
      <c r="H441" s="136"/>
      <c r="I441" s="136"/>
      <c r="J441" s="104"/>
      <c r="K441" s="136"/>
      <c r="L441" s="136"/>
      <c r="M441" s="136"/>
      <c r="N441" s="145"/>
      <c r="O441" s="136"/>
      <c r="P441" s="136"/>
      <c r="Q441" s="136"/>
      <c r="R441" s="104"/>
      <c r="S441" s="104"/>
      <c r="T441" s="136"/>
    </row>
    <row r="442" spans="1:20">
      <c r="A442" s="6">
        <f>MAX(A$245:A441)+1</f>
        <v>190</v>
      </c>
      <c r="B442" s="136"/>
      <c r="C442" s="136"/>
      <c r="D442" s="143" t="s">
        <v>280</v>
      </c>
      <c r="E442" s="136"/>
      <c r="F442" s="273" t="s">
        <v>540</v>
      </c>
      <c r="G442" s="136"/>
      <c r="H442" s="102">
        <v>27.228400000000001</v>
      </c>
      <c r="I442" s="102"/>
      <c r="J442" s="102">
        <f t="shared" ref="J442:J445" si="31">ROUND(L442,4)-ROUND(H442,4)</f>
        <v>0.7502999999999993</v>
      </c>
      <c r="K442" s="102"/>
      <c r="L442" s="102">
        <v>27.978651514597903</v>
      </c>
      <c r="M442" s="102"/>
      <c r="N442" s="102">
        <v>27.978651514597903</v>
      </c>
      <c r="O442" s="102"/>
      <c r="P442" s="275">
        <v>0</v>
      </c>
      <c r="Q442" s="136"/>
      <c r="R442" s="104"/>
      <c r="S442" s="104"/>
      <c r="T442" s="136"/>
    </row>
    <row r="443" spans="1:20">
      <c r="A443" s="6">
        <f>MAX(A$245:A442)+1</f>
        <v>191</v>
      </c>
      <c r="B443" s="136"/>
      <c r="C443" s="136"/>
      <c r="D443" s="143" t="s">
        <v>260</v>
      </c>
      <c r="E443" s="136"/>
      <c r="F443" s="273" t="s">
        <v>525</v>
      </c>
      <c r="G443" s="136"/>
      <c r="H443" s="102">
        <v>0.30399999999999999</v>
      </c>
      <c r="I443" s="102"/>
      <c r="J443" s="102">
        <f t="shared" si="31"/>
        <v>1.3800000000000034E-2</v>
      </c>
      <c r="K443" s="102"/>
      <c r="L443" s="102">
        <v>0.31775517164662925</v>
      </c>
      <c r="M443" s="102"/>
      <c r="N443" s="102">
        <v>0.15728022871799779</v>
      </c>
      <c r="O443" s="102"/>
      <c r="P443" s="102">
        <v>0.16047494292863149</v>
      </c>
      <c r="Q443" s="136"/>
      <c r="R443" s="104"/>
      <c r="S443" s="104"/>
      <c r="T443" s="136"/>
    </row>
    <row r="444" spans="1:20">
      <c r="A444" s="6"/>
      <c r="B444" s="136"/>
      <c r="C444" s="136"/>
      <c r="D444" s="136"/>
      <c r="E444" s="136"/>
      <c r="F444" s="136"/>
      <c r="G444" s="136"/>
      <c r="H444" s="102"/>
      <c r="I444" s="102"/>
      <c r="J444" s="102"/>
      <c r="K444" s="102"/>
      <c r="L444" s="102"/>
      <c r="M444" s="102"/>
      <c r="N444" s="102"/>
      <c r="O444" s="102"/>
      <c r="P444" s="102"/>
      <c r="Q444" s="136"/>
      <c r="R444" s="104"/>
      <c r="S444" s="104"/>
      <c r="T444" s="136"/>
    </row>
    <row r="445" spans="1:20">
      <c r="A445" s="6">
        <f>MAX(A$245:A444)+1</f>
        <v>192</v>
      </c>
      <c r="B445" s="136"/>
      <c r="C445" s="136"/>
      <c r="D445" s="136" t="s">
        <v>270</v>
      </c>
      <c r="E445" s="136"/>
      <c r="F445" s="273" t="s">
        <v>525</v>
      </c>
      <c r="G445" s="136"/>
      <c r="H445" s="102">
        <v>20.538400000000003</v>
      </c>
      <c r="I445" s="102"/>
      <c r="J445" s="102">
        <f t="shared" si="31"/>
        <v>-1.9999999999988916E-3</v>
      </c>
      <c r="K445" s="102"/>
      <c r="L445" s="102">
        <v>20.536380661324735</v>
      </c>
      <c r="M445" s="102"/>
      <c r="N445" s="102">
        <v>-7.591933867527062E-2</v>
      </c>
      <c r="O445" s="102"/>
      <c r="P445" s="102">
        <v>20.612300000000001</v>
      </c>
      <c r="Q445" s="136"/>
      <c r="R445" s="104"/>
      <c r="S445" s="104"/>
      <c r="T445" s="136"/>
    </row>
    <row r="446" spans="1:20">
      <c r="A446" s="6"/>
      <c r="B446" s="136"/>
      <c r="C446" s="136"/>
      <c r="D446" s="136"/>
      <c r="E446" s="136"/>
      <c r="F446" s="136"/>
      <c r="G446" s="136"/>
      <c r="H446" s="136"/>
      <c r="I446" s="136"/>
      <c r="J446" s="104"/>
      <c r="K446" s="136"/>
      <c r="L446" s="145"/>
      <c r="M446" s="136"/>
      <c r="N446" s="145"/>
      <c r="O446" s="136"/>
      <c r="P446" s="136"/>
      <c r="Q446" s="136"/>
      <c r="R446" s="104"/>
      <c r="S446" s="104"/>
      <c r="T446" s="136"/>
    </row>
    <row r="447" spans="1:20">
      <c r="A447" s="6"/>
      <c r="B447" s="136"/>
      <c r="C447" s="136"/>
      <c r="G447" s="136"/>
      <c r="H447" s="136"/>
      <c r="I447" s="136"/>
      <c r="J447" s="104"/>
      <c r="K447" s="136"/>
      <c r="L447" s="145"/>
      <c r="M447" s="136"/>
      <c r="N447" s="145"/>
      <c r="O447" s="136"/>
      <c r="P447" s="136"/>
      <c r="Q447" s="136"/>
      <c r="R447" s="104"/>
      <c r="S447" s="104"/>
      <c r="T447" s="136"/>
    </row>
    <row r="448" spans="1:20">
      <c r="A448" s="6"/>
      <c r="B448" s="136"/>
      <c r="C448" s="136"/>
      <c r="D448" s="136"/>
      <c r="E448" s="136"/>
      <c r="F448" s="136"/>
      <c r="G448" s="136"/>
      <c r="H448" s="136"/>
      <c r="I448" s="136"/>
      <c r="J448" s="104"/>
      <c r="K448" s="136"/>
      <c r="L448" s="145"/>
      <c r="M448" s="136"/>
      <c r="N448" s="145"/>
      <c r="O448" s="136"/>
      <c r="P448" s="136"/>
      <c r="Q448" s="136"/>
      <c r="R448" s="104"/>
      <c r="S448" s="104"/>
      <c r="T448" s="136"/>
    </row>
    <row r="449" spans="1:20">
      <c r="A449" s="6"/>
      <c r="B449" s="136"/>
      <c r="C449" s="136"/>
      <c r="D449" s="136"/>
      <c r="E449" s="136"/>
      <c r="F449" s="136"/>
      <c r="G449" s="136"/>
      <c r="H449" s="136"/>
      <c r="I449" s="136"/>
      <c r="J449" s="104"/>
      <c r="K449" s="136"/>
      <c r="L449" s="145"/>
      <c r="M449" s="136"/>
      <c r="N449" s="145"/>
      <c r="O449" s="136"/>
      <c r="P449" s="136"/>
      <c r="Q449" s="136"/>
      <c r="R449" s="104"/>
      <c r="S449" s="104"/>
      <c r="T449" s="136"/>
    </row>
    <row r="450" spans="1:20">
      <c r="A450" s="6"/>
      <c r="B450" s="136"/>
      <c r="C450" s="136"/>
      <c r="D450" s="136"/>
      <c r="E450" s="136"/>
      <c r="F450" s="136"/>
      <c r="G450" s="136"/>
      <c r="H450" s="136"/>
      <c r="I450" s="136"/>
      <c r="J450" s="104"/>
      <c r="K450" s="136"/>
      <c r="L450" s="145"/>
      <c r="M450" s="136"/>
      <c r="N450" s="145"/>
      <c r="O450" s="136"/>
      <c r="P450" s="136"/>
      <c r="Q450" s="136"/>
      <c r="R450" s="104"/>
      <c r="S450" s="104"/>
      <c r="T450" s="136"/>
    </row>
    <row r="451" spans="1:20">
      <c r="A451" s="6"/>
      <c r="B451" s="136"/>
      <c r="C451" s="136"/>
      <c r="D451" s="136"/>
      <c r="E451" s="136"/>
      <c r="F451" s="136"/>
      <c r="G451" s="136"/>
      <c r="H451" s="136"/>
      <c r="I451" s="136"/>
      <c r="J451" s="104"/>
      <c r="K451" s="136"/>
      <c r="L451" s="145"/>
      <c r="M451" s="136"/>
      <c r="N451" s="145"/>
      <c r="O451" s="136"/>
      <c r="P451" s="136"/>
      <c r="Q451" s="136"/>
      <c r="R451" s="104"/>
      <c r="S451" s="104"/>
      <c r="T451" s="136"/>
    </row>
    <row r="452" spans="1:20">
      <c r="A452" s="1163"/>
      <c r="B452" s="1163"/>
      <c r="C452" s="1163"/>
      <c r="D452" s="1206"/>
      <c r="E452" s="1206"/>
      <c r="F452" s="1206"/>
      <c r="G452" s="1206"/>
      <c r="H452" s="1206"/>
      <c r="I452" s="1206"/>
      <c r="J452" s="1206"/>
      <c r="K452" s="1206"/>
      <c r="L452" s="1206"/>
      <c r="M452" s="1206"/>
      <c r="N452" s="1206"/>
      <c r="O452" s="1206"/>
      <c r="P452" s="1206"/>
      <c r="Q452" s="136"/>
      <c r="R452" s="104"/>
      <c r="S452" s="104"/>
      <c r="T452" s="136"/>
    </row>
    <row r="453" spans="1:20">
      <c r="A453" s="1163" t="s">
        <v>543</v>
      </c>
      <c r="B453" s="1163"/>
      <c r="C453" s="1163"/>
      <c r="D453" s="1206"/>
      <c r="E453" s="1206"/>
      <c r="F453" s="1206"/>
      <c r="G453" s="1206"/>
      <c r="H453" s="1206"/>
      <c r="I453" s="1206"/>
      <c r="J453" s="1206"/>
      <c r="K453" s="1206"/>
      <c r="L453" s="1206"/>
      <c r="M453" s="1206"/>
      <c r="N453" s="1206"/>
      <c r="O453" s="1206"/>
      <c r="P453" s="1206"/>
      <c r="Q453" s="136"/>
      <c r="R453" s="104"/>
      <c r="S453" s="104"/>
      <c r="T453" s="136"/>
    </row>
    <row r="454" spans="1:20">
      <c r="A454" s="1162" t="s">
        <v>145</v>
      </c>
      <c r="B454" s="1206"/>
      <c r="C454" s="1206"/>
      <c r="D454" s="1206"/>
      <c r="E454" s="1206"/>
      <c r="F454" s="1206"/>
      <c r="G454" s="1206"/>
      <c r="H454" s="1206"/>
      <c r="I454" s="1206"/>
      <c r="J454" s="1206"/>
      <c r="K454" s="1206"/>
      <c r="L454" s="1206"/>
      <c r="M454" s="1206"/>
      <c r="N454" s="1206"/>
      <c r="O454" s="1206"/>
      <c r="P454" s="1206"/>
      <c r="Q454" s="136"/>
      <c r="R454" s="104"/>
      <c r="S454" s="104"/>
      <c r="T454" s="136"/>
    </row>
    <row r="455" spans="1:20">
      <c r="A455" s="6"/>
      <c r="B455" s="52"/>
      <c r="Q455" s="136"/>
      <c r="R455" s="104"/>
      <c r="S455" s="104"/>
      <c r="T455" s="136"/>
    </row>
    <row r="456" spans="1:20" ht="12.75" customHeight="1">
      <c r="A456" s="6"/>
      <c r="G456" s="55"/>
      <c r="H456" s="2"/>
      <c r="I456" s="2"/>
      <c r="J456" s="2"/>
      <c r="K456" s="2"/>
      <c r="L456" s="2"/>
      <c r="M456" s="2"/>
      <c r="N456" s="1160" t="s">
        <v>514</v>
      </c>
      <c r="O456" s="1160"/>
      <c r="P456" s="1160"/>
      <c r="Q456" s="136"/>
      <c r="R456" s="104"/>
      <c r="S456" s="104"/>
      <c r="T456" s="136"/>
    </row>
    <row r="457" spans="1:20">
      <c r="A457" s="6"/>
      <c r="G457" s="282"/>
      <c r="H457" s="6"/>
      <c r="I457" s="57"/>
      <c r="J457" s="1164" t="s">
        <v>515</v>
      </c>
      <c r="K457" s="1164"/>
      <c r="L457" s="1164"/>
      <c r="N457" s="1161"/>
      <c r="O457" s="1161"/>
      <c r="P457" s="1161"/>
      <c r="Q457" s="136"/>
      <c r="R457" s="104"/>
      <c r="S457" s="104"/>
      <c r="T457" s="136"/>
    </row>
    <row r="458" spans="1:20">
      <c r="A458" s="6" t="s">
        <v>56</v>
      </c>
      <c r="C458" s="52"/>
      <c r="F458" s="55"/>
      <c r="G458" s="51"/>
      <c r="H458" s="6" t="s">
        <v>93</v>
      </c>
      <c r="I458" s="57"/>
      <c r="J458" s="1" t="s">
        <v>516</v>
      </c>
      <c r="K458" s="4"/>
      <c r="L458" s="6" t="s">
        <v>102</v>
      </c>
      <c r="N458" s="17"/>
      <c r="O458" s="17"/>
      <c r="P458" s="17"/>
      <c r="Q458" s="136"/>
      <c r="R458" s="104"/>
      <c r="S458" s="104"/>
      <c r="T458" s="136"/>
    </row>
    <row r="459" spans="1:20">
      <c r="A459" s="53" t="s">
        <v>57</v>
      </c>
      <c r="B459" s="55"/>
      <c r="C459" s="56"/>
      <c r="D459" s="54" t="s">
        <v>194</v>
      </c>
      <c r="F459" s="271" t="s">
        <v>245</v>
      </c>
      <c r="G459" s="55"/>
      <c r="H459" s="356" t="s">
        <v>235</v>
      </c>
      <c r="I459" s="17"/>
      <c r="J459" s="237" t="s">
        <v>517</v>
      </c>
      <c r="L459" s="356" t="s">
        <v>518</v>
      </c>
      <c r="N459" s="7" t="s">
        <v>6</v>
      </c>
      <c r="O459" s="1"/>
      <c r="P459" s="7" t="s">
        <v>519</v>
      </c>
      <c r="Q459" s="136"/>
      <c r="R459" s="104"/>
      <c r="S459" s="104"/>
      <c r="T459" s="136"/>
    </row>
    <row r="460" spans="1:20">
      <c r="A460" s="6"/>
      <c r="F460" s="283"/>
      <c r="G460" s="55"/>
      <c r="H460" s="6" t="s">
        <v>520</v>
      </c>
      <c r="I460" s="6"/>
      <c r="J460" s="123" t="s">
        <v>521</v>
      </c>
      <c r="L460" s="6" t="s">
        <v>522</v>
      </c>
      <c r="N460" s="8" t="s">
        <v>12</v>
      </c>
      <c r="O460" s="1"/>
      <c r="P460" s="8" t="s">
        <v>13</v>
      </c>
      <c r="Q460" s="136"/>
      <c r="R460" s="104"/>
      <c r="S460" s="104"/>
      <c r="T460" s="136"/>
    </row>
    <row r="461" spans="1:20">
      <c r="A461" s="6"/>
      <c r="B461" s="136"/>
      <c r="C461" s="136"/>
      <c r="D461" s="301" t="s">
        <v>152</v>
      </c>
      <c r="E461" s="136"/>
      <c r="F461" s="136"/>
      <c r="G461" s="136"/>
      <c r="H461" s="136"/>
      <c r="I461" s="136"/>
      <c r="J461" s="104"/>
      <c r="K461" s="136"/>
      <c r="L461" s="145"/>
      <c r="M461" s="136"/>
      <c r="N461" s="145"/>
      <c r="O461" s="136"/>
      <c r="P461" s="136"/>
      <c r="Q461" s="136"/>
      <c r="R461" s="104"/>
      <c r="S461" s="104"/>
      <c r="T461" s="136"/>
    </row>
    <row r="462" spans="1:20">
      <c r="A462" s="6"/>
      <c r="B462" s="136"/>
      <c r="C462" s="136"/>
      <c r="D462" s="136" t="s">
        <v>609</v>
      </c>
      <c r="E462" s="136"/>
      <c r="F462" s="136"/>
      <c r="G462" s="136"/>
      <c r="H462" s="136"/>
      <c r="I462" s="136"/>
      <c r="J462" s="104"/>
      <c r="K462" s="136"/>
      <c r="L462" s="145"/>
      <c r="M462" s="136"/>
      <c r="N462" s="145"/>
      <c r="O462" s="136"/>
      <c r="P462" s="136"/>
      <c r="Q462" s="136"/>
      <c r="R462" s="104"/>
      <c r="S462" s="104"/>
      <c r="T462" s="136"/>
    </row>
    <row r="463" spans="1:20">
      <c r="A463" s="6"/>
      <c r="B463" s="136"/>
      <c r="C463" s="136"/>
      <c r="D463" s="146" t="s">
        <v>380</v>
      </c>
      <c r="E463" s="136"/>
      <c r="F463" s="136"/>
      <c r="G463" s="136"/>
      <c r="H463" s="136"/>
      <c r="I463" s="136"/>
      <c r="J463" s="104"/>
      <c r="K463" s="136"/>
      <c r="L463" s="145"/>
      <c r="M463" s="136"/>
      <c r="N463" s="145"/>
      <c r="O463" s="136"/>
      <c r="P463" s="136"/>
      <c r="Q463" s="136"/>
      <c r="R463" s="104"/>
      <c r="S463" s="104"/>
      <c r="T463" s="136"/>
    </row>
    <row r="464" spans="1:20">
      <c r="A464" s="6">
        <f>MAX(A$245:A463)+1</f>
        <v>193</v>
      </c>
      <c r="B464" s="136"/>
      <c r="C464" s="136"/>
      <c r="D464" s="147" t="s">
        <v>381</v>
      </c>
      <c r="E464" s="136"/>
      <c r="F464" s="1" t="s">
        <v>582</v>
      </c>
      <c r="G464" s="136"/>
      <c r="H464" s="246">
        <v>1.2E-2</v>
      </c>
      <c r="I464" s="246"/>
      <c r="J464" s="246">
        <f t="shared" ref="J464:J471" si="32">ROUND(L464,4)-ROUND(H464,4)</f>
        <v>2.9999999999999992E-4</v>
      </c>
      <c r="K464" s="246"/>
      <c r="L464" s="246">
        <v>1.2327903438474258E-2</v>
      </c>
      <c r="M464" s="246"/>
      <c r="N464" s="246">
        <v>1.2327903438474258E-2</v>
      </c>
      <c r="O464" s="102"/>
      <c r="P464" s="275">
        <v>0</v>
      </c>
      <c r="Q464" s="136"/>
      <c r="R464" s="104"/>
      <c r="S464" s="104"/>
      <c r="T464" s="136"/>
    </row>
    <row r="465" spans="1:20">
      <c r="A465" s="6"/>
      <c r="B465" s="136"/>
      <c r="C465" s="136"/>
      <c r="D465" s="146" t="s">
        <v>383</v>
      </c>
      <c r="E465" s="136"/>
      <c r="F465" s="136"/>
      <c r="G465" s="136"/>
      <c r="H465" s="246"/>
      <c r="I465" s="246"/>
      <c r="J465" s="246"/>
      <c r="K465" s="246"/>
      <c r="L465" s="246"/>
      <c r="M465" s="246"/>
      <c r="N465" s="246"/>
      <c r="O465" s="102"/>
      <c r="P465" s="275"/>
      <c r="Q465" s="136"/>
      <c r="R465" s="104"/>
      <c r="S465" s="104"/>
      <c r="T465" s="136"/>
    </row>
    <row r="466" spans="1:20">
      <c r="A466" s="6">
        <f>MAX(A$245:A465)+1</f>
        <v>194</v>
      </c>
      <c r="B466" s="136"/>
      <c r="C466" s="136"/>
      <c r="D466" s="147" t="s">
        <v>384</v>
      </c>
      <c r="E466" s="136"/>
      <c r="F466" s="1" t="s">
        <v>582</v>
      </c>
      <c r="G466" s="136"/>
      <c r="H466" s="246">
        <v>1.8779999999999999</v>
      </c>
      <c r="I466" s="246"/>
      <c r="J466" s="246">
        <f t="shared" si="32"/>
        <v>4.9000000000000155E-2</v>
      </c>
      <c r="K466" s="246"/>
      <c r="L466" s="246">
        <v>1.927</v>
      </c>
      <c r="M466" s="246"/>
      <c r="N466" s="246">
        <v>1.927</v>
      </c>
      <c r="O466" s="102"/>
      <c r="P466" s="275">
        <v>0</v>
      </c>
      <c r="Q466" s="136"/>
      <c r="R466" s="104"/>
      <c r="S466" s="104"/>
      <c r="T466" s="136"/>
    </row>
    <row r="467" spans="1:20">
      <c r="A467" s="6">
        <f>MAX(A$245:A466)+1</f>
        <v>195</v>
      </c>
      <c r="B467" s="136"/>
      <c r="C467" s="136"/>
      <c r="D467" s="147" t="s">
        <v>385</v>
      </c>
      <c r="E467" s="136"/>
      <c r="F467" s="1" t="s">
        <v>582</v>
      </c>
      <c r="G467" s="136"/>
      <c r="H467" s="246">
        <v>1.4730000000000001</v>
      </c>
      <c r="I467" s="246"/>
      <c r="J467" s="246">
        <f t="shared" si="32"/>
        <v>4.5799999999999841E-2</v>
      </c>
      <c r="K467" s="246"/>
      <c r="L467" s="246">
        <v>1.5187525197395906</v>
      </c>
      <c r="M467" s="246"/>
      <c r="N467" s="246">
        <v>1.5187525197395906</v>
      </c>
      <c r="O467" s="102"/>
      <c r="P467" s="275">
        <v>0</v>
      </c>
      <c r="Q467" s="136"/>
      <c r="R467" s="104"/>
      <c r="S467" s="104"/>
      <c r="T467" s="136"/>
    </row>
    <row r="468" spans="1:20">
      <c r="A468" s="6">
        <f>MAX(A$245:A467)+1</f>
        <v>196</v>
      </c>
      <c r="B468" s="136"/>
      <c r="C468" s="136"/>
      <c r="D468" s="147" t="s">
        <v>386</v>
      </c>
      <c r="E468" s="136"/>
      <c r="F468" s="1" t="s">
        <v>582</v>
      </c>
      <c r="G468" s="136"/>
      <c r="H468" s="246">
        <v>1.4730000000000001</v>
      </c>
      <c r="I468" s="246"/>
      <c r="J468" s="246">
        <f t="shared" si="32"/>
        <v>4.5799999999999841E-2</v>
      </c>
      <c r="K468" s="246"/>
      <c r="L468" s="246">
        <v>1.5187525197395906</v>
      </c>
      <c r="M468" s="246"/>
      <c r="N468" s="246">
        <v>1.5187525197395906</v>
      </c>
      <c r="O468" s="102"/>
      <c r="P468" s="275">
        <v>0</v>
      </c>
      <c r="Q468" s="136"/>
      <c r="R468" s="104"/>
      <c r="S468" s="104"/>
      <c r="T468" s="136"/>
    </row>
    <row r="469" spans="1:20">
      <c r="A469" s="6">
        <f>MAX(A$245:A468)+1</f>
        <v>197</v>
      </c>
      <c r="B469" s="136"/>
      <c r="C469" s="136"/>
      <c r="D469" s="147" t="s">
        <v>387</v>
      </c>
      <c r="E469" s="136"/>
      <c r="F469" s="1" t="s">
        <v>582</v>
      </c>
      <c r="G469" s="136"/>
      <c r="H469" s="246">
        <v>1.4730000000000001</v>
      </c>
      <c r="I469" s="246"/>
      <c r="J469" s="246">
        <f t="shared" si="32"/>
        <v>4.5799999999999841E-2</v>
      </c>
      <c r="K469" s="246"/>
      <c r="L469" s="246">
        <v>1.5187525197395906</v>
      </c>
      <c r="M469" s="246"/>
      <c r="N469" s="246">
        <v>1.5187525197395906</v>
      </c>
      <c r="O469" s="102"/>
      <c r="P469" s="275">
        <v>0</v>
      </c>
      <c r="Q469" s="136"/>
      <c r="R469" s="104"/>
      <c r="S469" s="104"/>
      <c r="T469" s="136"/>
    </row>
    <row r="470" spans="1:20">
      <c r="A470" s="6"/>
      <c r="B470" s="136"/>
      <c r="C470" s="136"/>
      <c r="D470" s="146" t="s">
        <v>388</v>
      </c>
      <c r="E470" s="136"/>
      <c r="F470" s="136"/>
      <c r="G470" s="136"/>
      <c r="H470" s="246"/>
      <c r="I470" s="246"/>
      <c r="J470" s="246"/>
      <c r="K470" s="246"/>
      <c r="L470" s="246"/>
      <c r="M470" s="246"/>
      <c r="N470" s="246"/>
      <c r="O470" s="102"/>
      <c r="P470" s="275"/>
      <c r="Q470" s="136"/>
      <c r="R470" s="104"/>
      <c r="S470" s="104"/>
      <c r="T470" s="136"/>
    </row>
    <row r="471" spans="1:20">
      <c r="A471" s="6">
        <f>MAX(A$245:A470)+1</f>
        <v>198</v>
      </c>
      <c r="B471" s="136"/>
      <c r="C471" s="136"/>
      <c r="D471" s="147" t="s">
        <v>389</v>
      </c>
      <c r="E471" s="136"/>
      <c r="F471" s="1" t="s">
        <v>584</v>
      </c>
      <c r="G471" s="136"/>
      <c r="H471" s="246">
        <v>1.2E-2</v>
      </c>
      <c r="I471" s="246"/>
      <c r="J471" s="246">
        <f t="shared" si="32"/>
        <v>2.9999999999999992E-4</v>
      </c>
      <c r="K471" s="246"/>
      <c r="L471" s="246">
        <v>1.2327903438474258E-2</v>
      </c>
      <c r="M471" s="246"/>
      <c r="N471" s="246">
        <v>1.2327903438474258E-2</v>
      </c>
      <c r="O471" s="102"/>
      <c r="P471" s="275">
        <v>0</v>
      </c>
      <c r="Q471" s="136"/>
      <c r="R471" s="104"/>
      <c r="S471" s="104"/>
      <c r="T471" s="136"/>
    </row>
    <row r="472" spans="1:20">
      <c r="A472" s="6">
        <f>MAX(A$245:A471)+1</f>
        <v>199</v>
      </c>
      <c r="B472" s="136"/>
      <c r="C472" s="136"/>
      <c r="D472" s="143" t="s">
        <v>610</v>
      </c>
      <c r="E472" s="136"/>
      <c r="F472" s="273" t="s">
        <v>611</v>
      </c>
      <c r="G472" s="136"/>
      <c r="H472" s="268">
        <v>4.45E-3</v>
      </c>
      <c r="I472" s="102"/>
      <c r="J472" s="268">
        <f>ROUND(L472,8)-ROUND(H472,8)</f>
        <v>5.1148999999999986E-4</v>
      </c>
      <c r="K472" s="102"/>
      <c r="L472" s="268">
        <v>4.9614910854222875E-3</v>
      </c>
      <c r="M472" s="102"/>
      <c r="N472" s="275">
        <v>0</v>
      </c>
      <c r="O472" s="102"/>
      <c r="P472" s="268">
        <v>4.9614910854222875E-3</v>
      </c>
      <c r="Q472" s="136"/>
      <c r="R472" s="104"/>
      <c r="S472" s="104"/>
      <c r="T472" s="136"/>
    </row>
    <row r="473" spans="1:20">
      <c r="A473" s="6"/>
      <c r="B473" s="136"/>
      <c r="C473" s="136"/>
      <c r="D473" s="136"/>
      <c r="E473" s="136"/>
      <c r="F473" s="136"/>
      <c r="G473" s="136"/>
      <c r="H473" s="102"/>
      <c r="I473" s="102"/>
      <c r="J473" s="102"/>
      <c r="K473" s="102"/>
      <c r="L473" s="102"/>
      <c r="M473" s="102"/>
      <c r="N473" s="102"/>
      <c r="O473" s="102"/>
      <c r="P473" s="102"/>
      <c r="Q473" s="136"/>
      <c r="R473" s="104"/>
      <c r="S473" s="104"/>
      <c r="T473" s="136"/>
    </row>
    <row r="474" spans="1:20">
      <c r="A474" s="6"/>
      <c r="B474" s="136"/>
      <c r="C474" s="136"/>
      <c r="D474" s="136" t="s">
        <v>612</v>
      </c>
      <c r="E474" s="136"/>
      <c r="F474" s="136"/>
      <c r="G474" s="136"/>
      <c r="H474" s="102"/>
      <c r="I474" s="102"/>
      <c r="J474" s="102"/>
      <c r="K474" s="102"/>
      <c r="L474" s="102"/>
      <c r="M474" s="102"/>
      <c r="N474" s="102"/>
      <c r="O474" s="102"/>
      <c r="P474" s="102"/>
      <c r="Q474" s="136"/>
      <c r="R474" s="104"/>
      <c r="S474" s="104"/>
      <c r="T474" s="136"/>
    </row>
    <row r="475" spans="1:20">
      <c r="A475" s="6"/>
      <c r="B475" s="136"/>
      <c r="C475" s="136"/>
      <c r="D475" s="146" t="s">
        <v>613</v>
      </c>
      <c r="E475" s="136"/>
      <c r="F475" s="136"/>
      <c r="G475" s="136"/>
      <c r="H475" s="102"/>
      <c r="I475" s="102"/>
      <c r="J475" s="102"/>
      <c r="K475" s="102"/>
      <c r="L475" s="102"/>
      <c r="M475" s="102"/>
      <c r="N475" s="102"/>
      <c r="O475" s="102"/>
      <c r="P475" s="102"/>
      <c r="Q475" s="136"/>
      <c r="R475" s="104"/>
      <c r="S475" s="104"/>
      <c r="T475" s="136"/>
    </row>
    <row r="476" spans="1:20">
      <c r="A476" s="6">
        <f>MAX(A$245:A475)+1</f>
        <v>200</v>
      </c>
      <c r="B476" s="136"/>
      <c r="C476" s="136"/>
      <c r="D476" s="147" t="s">
        <v>614</v>
      </c>
      <c r="E476" s="136"/>
      <c r="F476" s="273" t="s">
        <v>540</v>
      </c>
      <c r="G476" s="136"/>
      <c r="H476" s="102">
        <v>44.595399999999998</v>
      </c>
      <c r="I476" s="102"/>
      <c r="J476" s="102">
        <f t="shared" ref="J476:J482" si="33">ROUND(L476,4)-ROUND(H476,4)</f>
        <v>-1.8086999999999946</v>
      </c>
      <c r="K476" s="102"/>
      <c r="L476" s="102">
        <v>42.786710154204144</v>
      </c>
      <c r="M476" s="102"/>
      <c r="N476" s="102">
        <v>42.786710154204144</v>
      </c>
      <c r="O476" s="102"/>
      <c r="P476" s="275">
        <v>0</v>
      </c>
      <c r="Q476" s="136"/>
      <c r="R476" s="104"/>
      <c r="S476" s="104"/>
      <c r="T476" s="136"/>
    </row>
    <row r="477" spans="1:20">
      <c r="A477" s="6">
        <f>MAX(A$245:A476)+1</f>
        <v>201</v>
      </c>
      <c r="B477" s="136"/>
      <c r="C477" s="136"/>
      <c r="D477" s="147" t="s">
        <v>615</v>
      </c>
      <c r="E477" s="136"/>
      <c r="F477" s="273" t="s">
        <v>540</v>
      </c>
      <c r="G477" s="136"/>
      <c r="H477" s="102">
        <v>31.676299999999998</v>
      </c>
      <c r="I477" s="102"/>
      <c r="J477" s="102">
        <f t="shared" si="33"/>
        <v>-1.1375000000000028</v>
      </c>
      <c r="K477" s="102"/>
      <c r="L477" s="102">
        <v>30.538782414930214</v>
      </c>
      <c r="M477" s="102"/>
      <c r="N477" s="102">
        <v>30.538782414930214</v>
      </c>
      <c r="O477" s="102"/>
      <c r="P477" s="275">
        <v>0</v>
      </c>
      <c r="Q477" s="136"/>
      <c r="R477" s="104"/>
      <c r="S477" s="104"/>
      <c r="T477" s="136"/>
    </row>
    <row r="478" spans="1:20">
      <c r="A478" s="6"/>
      <c r="B478" s="136"/>
      <c r="C478" s="136"/>
      <c r="D478" s="146" t="s">
        <v>389</v>
      </c>
      <c r="E478" s="136"/>
      <c r="F478" s="136"/>
      <c r="G478" s="136"/>
      <c r="H478" s="102"/>
      <c r="I478" s="102"/>
      <c r="J478" s="102"/>
      <c r="K478" s="102"/>
      <c r="L478" s="102"/>
      <c r="M478" s="102"/>
      <c r="N478" s="102"/>
      <c r="O478" s="102"/>
      <c r="P478" s="102"/>
      <c r="Q478" s="136"/>
      <c r="R478" s="104"/>
      <c r="S478" s="104"/>
      <c r="T478" s="136"/>
    </row>
    <row r="479" spans="1:20">
      <c r="A479" s="6">
        <f>MAX(A$245:A478)+1</f>
        <v>202</v>
      </c>
      <c r="B479" s="136"/>
      <c r="C479" s="136"/>
      <c r="D479" s="147" t="s">
        <v>616</v>
      </c>
      <c r="E479" s="136"/>
      <c r="F479" s="273" t="s">
        <v>525</v>
      </c>
      <c r="G479" s="136"/>
      <c r="H479" s="102">
        <v>0.14000000000000001</v>
      </c>
      <c r="I479" s="102"/>
      <c r="J479" s="102">
        <f t="shared" si="33"/>
        <v>-4.0000000000000036E-3</v>
      </c>
      <c r="K479" s="102"/>
      <c r="L479" s="102">
        <v>0.13604659196531985</v>
      </c>
      <c r="M479" s="102"/>
      <c r="N479" s="102">
        <v>0.12410089461397421</v>
      </c>
      <c r="O479" s="102"/>
      <c r="P479" s="102">
        <v>1.1945697351345645E-2</v>
      </c>
      <c r="Q479" s="136"/>
      <c r="R479" s="104"/>
      <c r="S479" s="104"/>
      <c r="T479" s="136"/>
    </row>
    <row r="480" spans="1:20">
      <c r="A480" s="6">
        <f>MAX(A$245:A479)+1</f>
        <v>203</v>
      </c>
      <c r="B480" s="136"/>
      <c r="C480" s="136"/>
      <c r="D480" s="147" t="s">
        <v>617</v>
      </c>
      <c r="E480" s="136"/>
      <c r="F480" s="273" t="s">
        <v>525</v>
      </c>
      <c r="G480" s="136"/>
      <c r="H480" s="102">
        <v>2.1870000000000003</v>
      </c>
      <c r="I480" s="102"/>
      <c r="J480" s="102">
        <f t="shared" si="33"/>
        <v>-4.1699999999999626E-2</v>
      </c>
      <c r="K480" s="102"/>
      <c r="L480" s="102">
        <v>2.1452905513755893</v>
      </c>
      <c r="M480" s="102"/>
      <c r="N480" s="102">
        <v>2.133344854024243</v>
      </c>
      <c r="O480" s="102"/>
      <c r="P480" s="102">
        <v>1.1945697351345643E-2</v>
      </c>
      <c r="Q480" s="136"/>
      <c r="R480" s="104"/>
      <c r="S480" s="104"/>
      <c r="T480" s="136"/>
    </row>
    <row r="481" spans="1:20">
      <c r="A481" s="6"/>
      <c r="B481" s="136"/>
      <c r="C481" s="136"/>
      <c r="D481" s="147"/>
      <c r="E481" s="136"/>
      <c r="F481" s="136"/>
      <c r="G481" s="136"/>
      <c r="H481" s="102"/>
      <c r="I481" s="102"/>
      <c r="J481" s="102"/>
      <c r="K481" s="102"/>
      <c r="L481" s="102"/>
      <c r="M481" s="102"/>
      <c r="N481" s="102"/>
      <c r="O481" s="102"/>
      <c r="P481" s="102"/>
      <c r="Q481" s="136"/>
      <c r="R481" s="104"/>
      <c r="S481" s="104"/>
      <c r="T481" s="136"/>
    </row>
    <row r="482" spans="1:20">
      <c r="A482" s="6">
        <f>MAX(A$245:A481)+1</f>
        <v>204</v>
      </c>
      <c r="B482" s="136"/>
      <c r="C482" s="136"/>
      <c r="D482" s="136" t="s">
        <v>618</v>
      </c>
      <c r="E482" s="136"/>
      <c r="F482" s="1" t="s">
        <v>523</v>
      </c>
      <c r="G482" s="136"/>
      <c r="H482" s="99">
        <v>2155.61</v>
      </c>
      <c r="I482" s="136"/>
      <c r="J482" s="99">
        <f t="shared" si="33"/>
        <v>58.902700000000095</v>
      </c>
      <c r="K482" s="136"/>
      <c r="L482" s="99">
        <v>2214.5126609174581</v>
      </c>
      <c r="M482" s="148"/>
      <c r="N482" s="99">
        <v>2214.5126609174581</v>
      </c>
      <c r="O482" s="136"/>
      <c r="P482" s="149">
        <v>0</v>
      </c>
      <c r="Q482" s="136"/>
      <c r="S482" s="104"/>
      <c r="T482" s="136"/>
    </row>
    <row r="483" spans="1:20">
      <c r="A483" s="6">
        <f>MAX(A$245:A482)+1</f>
        <v>205</v>
      </c>
      <c r="B483" s="136"/>
      <c r="C483" s="136"/>
      <c r="D483" s="143" t="s">
        <v>619</v>
      </c>
      <c r="E483" s="136"/>
      <c r="F483" s="273" t="s">
        <v>611</v>
      </c>
      <c r="G483" s="136"/>
      <c r="H483" s="268">
        <v>3.5799999999999998E-3</v>
      </c>
      <c r="I483" s="102"/>
      <c r="J483" s="268">
        <f>ROUND(L483,8)-ROUND(H483,8)</f>
        <v>6.1417999999999976E-4</v>
      </c>
      <c r="K483" s="102"/>
      <c r="L483" s="268">
        <v>4.1941789342021703E-3</v>
      </c>
      <c r="M483" s="102"/>
      <c r="N483" s="268">
        <v>0</v>
      </c>
      <c r="O483" s="102"/>
      <c r="P483" s="268">
        <v>4.1941789342021703E-3</v>
      </c>
      <c r="Q483" s="136"/>
      <c r="R483" s="104"/>
      <c r="S483" s="104"/>
      <c r="T483" s="136"/>
    </row>
    <row r="484" spans="1:20">
      <c r="A484" s="6"/>
      <c r="B484" s="136"/>
      <c r="C484" s="136"/>
      <c r="D484" s="136"/>
      <c r="E484" s="136"/>
      <c r="F484" s="136"/>
      <c r="G484" s="136"/>
      <c r="H484" s="136"/>
      <c r="I484" s="136"/>
      <c r="J484" s="104"/>
      <c r="K484" s="136"/>
      <c r="L484" s="145"/>
      <c r="M484" s="136"/>
      <c r="N484" s="145"/>
      <c r="O484" s="136"/>
      <c r="P484" s="136"/>
      <c r="Q484" s="136"/>
      <c r="R484" s="104"/>
      <c r="S484" s="104"/>
      <c r="T484" s="136"/>
    </row>
    <row r="485" spans="1:20">
      <c r="A485" s="6"/>
      <c r="B485" s="136"/>
      <c r="C485" s="136"/>
      <c r="D485" s="136"/>
      <c r="E485" s="136"/>
      <c r="F485" s="136"/>
      <c r="G485" s="136"/>
      <c r="H485" s="136"/>
      <c r="I485" s="136"/>
      <c r="J485" s="104"/>
      <c r="K485" s="136"/>
      <c r="L485" s="145"/>
      <c r="M485" s="136"/>
      <c r="N485" s="145"/>
      <c r="O485" s="136"/>
      <c r="P485" s="136"/>
      <c r="Q485" s="136"/>
      <c r="R485" s="104"/>
      <c r="S485" s="104"/>
      <c r="T485" s="136"/>
    </row>
    <row r="486" spans="1:20">
      <c r="A486" s="6"/>
      <c r="B486" s="136"/>
      <c r="C486" s="136"/>
      <c r="D486" s="301" t="s">
        <v>153</v>
      </c>
      <c r="E486" s="136"/>
      <c r="F486" s="136"/>
      <c r="G486" s="136"/>
      <c r="H486" s="136"/>
      <c r="I486" s="136"/>
      <c r="J486" s="104"/>
      <c r="K486" s="136"/>
      <c r="L486" s="145"/>
      <c r="M486" s="136"/>
      <c r="N486" s="145"/>
      <c r="O486" s="136"/>
      <c r="P486" s="136"/>
      <c r="Q486" s="136"/>
      <c r="R486" s="104"/>
      <c r="S486" s="104"/>
      <c r="T486" s="136"/>
    </row>
    <row r="487" spans="1:20">
      <c r="A487" s="6"/>
      <c r="B487" s="136"/>
      <c r="C487" s="136"/>
      <c r="D487" s="136" t="s">
        <v>620</v>
      </c>
      <c r="E487" s="136"/>
      <c r="F487" s="136"/>
      <c r="G487" s="136"/>
      <c r="H487" s="136"/>
      <c r="I487" s="136"/>
      <c r="J487" s="104"/>
      <c r="K487" s="136"/>
      <c r="L487" s="145"/>
      <c r="M487" s="136"/>
      <c r="N487" s="145"/>
      <c r="O487" s="136"/>
      <c r="P487" s="136"/>
      <c r="Q487" s="136"/>
      <c r="R487" s="104"/>
      <c r="S487" s="104"/>
      <c r="T487" s="136"/>
    </row>
    <row r="488" spans="1:20">
      <c r="A488" s="6"/>
      <c r="B488" s="136"/>
      <c r="C488" s="136"/>
      <c r="D488" s="146" t="s">
        <v>380</v>
      </c>
      <c r="E488" s="136"/>
      <c r="F488" s="136"/>
      <c r="G488" s="136"/>
      <c r="H488" s="136"/>
      <c r="I488" s="136"/>
      <c r="J488" s="104"/>
      <c r="K488" s="136"/>
      <c r="L488" s="145"/>
      <c r="M488" s="136"/>
      <c r="N488" s="145"/>
      <c r="O488" s="136"/>
      <c r="P488" s="136"/>
      <c r="Q488" s="136"/>
      <c r="R488" s="104"/>
      <c r="S488" s="104"/>
      <c r="T488" s="136"/>
    </row>
    <row r="489" spans="1:20">
      <c r="A489" s="6">
        <f>MAX(A$245:A488)+1</f>
        <v>206</v>
      </c>
      <c r="B489" s="136"/>
      <c r="C489" s="136"/>
      <c r="D489" s="147" t="s">
        <v>381</v>
      </c>
      <c r="E489" s="136"/>
      <c r="F489" s="1" t="s">
        <v>582</v>
      </c>
      <c r="G489" s="136"/>
      <c r="H489" s="246">
        <v>1.2E-2</v>
      </c>
      <c r="I489" s="246"/>
      <c r="J489" s="246">
        <f t="shared" ref="J489:J496" si="34">ROUND(L489,4)-ROUND(H489,4)</f>
        <v>2.9999999999999992E-4</v>
      </c>
      <c r="K489" s="246"/>
      <c r="L489" s="246">
        <v>1.2327903438474258E-2</v>
      </c>
      <c r="M489" s="246"/>
      <c r="N489" s="246">
        <v>1.2327903438474258E-2</v>
      </c>
      <c r="O489" s="102"/>
      <c r="P489" s="275">
        <v>0</v>
      </c>
      <c r="Q489" s="136"/>
      <c r="R489" s="104"/>
      <c r="S489" s="104"/>
      <c r="T489" s="136"/>
    </row>
    <row r="490" spans="1:20">
      <c r="A490" s="6"/>
      <c r="B490" s="136"/>
      <c r="C490" s="136"/>
      <c r="D490" s="146" t="s">
        <v>383</v>
      </c>
      <c r="E490" s="136"/>
      <c r="F490" s="136"/>
      <c r="G490" s="136"/>
      <c r="H490" s="246"/>
      <c r="I490" s="246"/>
      <c r="J490" s="246"/>
      <c r="K490" s="246"/>
      <c r="L490" s="246"/>
      <c r="M490" s="246"/>
      <c r="N490" s="246"/>
      <c r="O490" s="102"/>
      <c r="P490" s="275"/>
      <c r="Q490" s="136"/>
      <c r="R490" s="104"/>
      <c r="S490" s="104"/>
      <c r="T490" s="136"/>
    </row>
    <row r="491" spans="1:20">
      <c r="A491" s="6">
        <f>MAX(A$245:A490)+1</f>
        <v>207</v>
      </c>
      <c r="B491" s="136"/>
      <c r="C491" s="136"/>
      <c r="D491" s="147" t="s">
        <v>384</v>
      </c>
      <c r="E491" s="136"/>
      <c r="F491" s="1" t="s">
        <v>582</v>
      </c>
      <c r="G491" s="136"/>
      <c r="H491" s="246">
        <v>1.8779999999999999</v>
      </c>
      <c r="I491" s="246"/>
      <c r="J491" s="246">
        <f t="shared" si="34"/>
        <v>4.9000000000000155E-2</v>
      </c>
      <c r="K491" s="246"/>
      <c r="L491" s="246">
        <v>1.927</v>
      </c>
      <c r="M491" s="246"/>
      <c r="N491" s="246">
        <v>1.927</v>
      </c>
      <c r="O491" s="102"/>
      <c r="P491" s="275">
        <v>0</v>
      </c>
      <c r="Q491" s="136"/>
      <c r="R491" s="104"/>
      <c r="S491" s="104"/>
      <c r="T491" s="136"/>
    </row>
    <row r="492" spans="1:20">
      <c r="A492" s="6">
        <f>MAX(A$245:A491)+1</f>
        <v>208</v>
      </c>
      <c r="B492" s="136"/>
      <c r="C492" s="136"/>
      <c r="D492" s="147" t="s">
        <v>385</v>
      </c>
      <c r="E492" s="136"/>
      <c r="F492" s="1" t="s">
        <v>582</v>
      </c>
      <c r="G492" s="136"/>
      <c r="H492" s="246">
        <v>1.4730000000000001</v>
      </c>
      <c r="I492" s="246"/>
      <c r="J492" s="246">
        <f t="shared" si="34"/>
        <v>4.5799999999999841E-2</v>
      </c>
      <c r="K492" s="246"/>
      <c r="L492" s="246">
        <v>1.5187525197395906</v>
      </c>
      <c r="M492" s="246"/>
      <c r="N492" s="246">
        <v>1.5187525197395906</v>
      </c>
      <c r="O492" s="102"/>
      <c r="P492" s="275">
        <v>0</v>
      </c>
      <c r="Q492" s="136"/>
      <c r="R492" s="104"/>
      <c r="S492" s="104"/>
      <c r="T492" s="136"/>
    </row>
    <row r="493" spans="1:20">
      <c r="A493" s="6">
        <f>MAX(A$245:A492)+1</f>
        <v>209</v>
      </c>
      <c r="B493" s="136"/>
      <c r="C493" s="136"/>
      <c r="D493" s="147" t="s">
        <v>386</v>
      </c>
      <c r="E493" s="136"/>
      <c r="F493" s="1" t="s">
        <v>582</v>
      </c>
      <c r="G493" s="136"/>
      <c r="H493" s="246">
        <v>1.4730000000000001</v>
      </c>
      <c r="I493" s="246"/>
      <c r="J493" s="246">
        <f t="shared" si="34"/>
        <v>4.5799999999999841E-2</v>
      </c>
      <c r="K493" s="246"/>
      <c r="L493" s="246">
        <v>1.5187525197395906</v>
      </c>
      <c r="M493" s="246"/>
      <c r="N493" s="246">
        <v>1.5187525197395906</v>
      </c>
      <c r="O493" s="102"/>
      <c r="P493" s="275">
        <v>0</v>
      </c>
      <c r="Q493" s="136"/>
      <c r="R493" s="104"/>
      <c r="S493" s="104"/>
      <c r="T493" s="136"/>
    </row>
    <row r="494" spans="1:20">
      <c r="A494" s="6">
        <f>MAX(A$245:A493)+1</f>
        <v>210</v>
      </c>
      <c r="B494" s="136"/>
      <c r="C494" s="136"/>
      <c r="D494" s="147" t="s">
        <v>387</v>
      </c>
      <c r="E494" s="136"/>
      <c r="F494" s="1" t="s">
        <v>582</v>
      </c>
      <c r="G494" s="136"/>
      <c r="H494" s="246">
        <v>1.4730000000000001</v>
      </c>
      <c r="I494" s="246"/>
      <c r="J494" s="246">
        <f t="shared" si="34"/>
        <v>4.5799999999999841E-2</v>
      </c>
      <c r="K494" s="246"/>
      <c r="L494" s="246">
        <v>1.5187525197395906</v>
      </c>
      <c r="M494" s="246"/>
      <c r="N494" s="246">
        <v>1.5187525197395906</v>
      </c>
      <c r="O494" s="102"/>
      <c r="P494" s="275">
        <v>0</v>
      </c>
      <c r="Q494" s="136"/>
      <c r="R494" s="104"/>
      <c r="S494" s="104"/>
      <c r="T494" s="136"/>
    </row>
    <row r="495" spans="1:20">
      <c r="A495" s="6"/>
      <c r="B495" s="136"/>
      <c r="C495" s="136"/>
      <c r="D495" s="146" t="s">
        <v>388</v>
      </c>
      <c r="E495" s="136"/>
      <c r="F495" s="136"/>
      <c r="G495" s="136"/>
      <c r="H495" s="246"/>
      <c r="I495" s="246"/>
      <c r="J495" s="246"/>
      <c r="K495" s="246"/>
      <c r="L495" s="246"/>
      <c r="M495" s="246"/>
      <c r="N495" s="246"/>
      <c r="O495" s="102"/>
      <c r="P495" s="275"/>
      <c r="Q495" s="136"/>
      <c r="R495" s="104"/>
      <c r="S495" s="104"/>
      <c r="T495" s="136"/>
    </row>
    <row r="496" spans="1:20">
      <c r="A496" s="6">
        <f>MAX(A$245:A495)+1</f>
        <v>211</v>
      </c>
      <c r="B496" s="136"/>
      <c r="C496" s="136"/>
      <c r="D496" s="147" t="s">
        <v>389</v>
      </c>
      <c r="E496" s="136"/>
      <c r="F496" s="1" t="s">
        <v>584</v>
      </c>
      <c r="G496" s="136"/>
      <c r="H496" s="246">
        <v>1.2E-2</v>
      </c>
      <c r="I496" s="246"/>
      <c r="J496" s="246">
        <f t="shared" si="34"/>
        <v>2.9999999999999992E-4</v>
      </c>
      <c r="K496" s="246"/>
      <c r="L496" s="246">
        <v>1.232790343847426E-2</v>
      </c>
      <c r="M496" s="246"/>
      <c r="N496" s="246">
        <v>1.232790343847426E-2</v>
      </c>
      <c r="O496" s="102"/>
      <c r="P496" s="275">
        <v>0</v>
      </c>
      <c r="Q496" s="136"/>
      <c r="R496" s="104"/>
      <c r="S496" s="104"/>
      <c r="T496" s="136"/>
    </row>
    <row r="497" spans="1:20">
      <c r="A497" s="6">
        <f>MAX(A$245:A496)+1</f>
        <v>212</v>
      </c>
      <c r="B497" s="136"/>
      <c r="C497" s="136"/>
      <c r="D497" s="143" t="s">
        <v>610</v>
      </c>
      <c r="E497" s="136"/>
      <c r="F497" s="273" t="s">
        <v>611</v>
      </c>
      <c r="G497" s="136"/>
      <c r="H497" s="268">
        <v>4.45E-3</v>
      </c>
      <c r="I497" s="102"/>
      <c r="J497" s="268">
        <f>ROUND(L497,8)-ROUND(H497,8)</f>
        <v>5.1148999999999986E-4</v>
      </c>
      <c r="K497" s="102"/>
      <c r="L497" s="268">
        <v>4.9614910854222875E-3</v>
      </c>
      <c r="M497" s="102"/>
      <c r="N497" s="275">
        <v>0</v>
      </c>
      <c r="O497" s="102"/>
      <c r="P497" s="268">
        <v>4.9614910854222875E-3</v>
      </c>
      <c r="Q497" s="136"/>
      <c r="R497" s="104"/>
      <c r="S497" s="104"/>
      <c r="T497" s="136"/>
    </row>
    <row r="498" spans="1:20" ht="12" customHeight="1">
      <c r="A498" s="6"/>
      <c r="B498" s="136"/>
      <c r="C498" s="136"/>
      <c r="D498" s="136"/>
      <c r="E498" s="136"/>
      <c r="F498" s="136"/>
      <c r="G498" s="136"/>
      <c r="H498" s="102"/>
      <c r="I498" s="102"/>
      <c r="J498" s="102"/>
      <c r="K498" s="102"/>
      <c r="L498" s="102"/>
      <c r="M498" s="102"/>
      <c r="N498" s="102"/>
      <c r="O498" s="102"/>
      <c r="P498" s="102"/>
      <c r="Q498" s="136"/>
      <c r="R498" s="104"/>
      <c r="S498" s="104"/>
      <c r="T498" s="136"/>
    </row>
    <row r="499" spans="1:20">
      <c r="A499" s="6"/>
      <c r="B499" s="136"/>
      <c r="C499" s="136"/>
      <c r="D499" s="136" t="s">
        <v>22</v>
      </c>
      <c r="E499" s="136"/>
      <c r="F499" s="136"/>
      <c r="G499" s="136"/>
      <c r="H499" s="102"/>
      <c r="I499" s="102"/>
      <c r="J499" s="102"/>
      <c r="K499" s="102"/>
      <c r="L499" s="102"/>
      <c r="M499" s="102"/>
      <c r="N499" s="102"/>
      <c r="O499" s="102"/>
      <c r="P499" s="102"/>
      <c r="Q499" s="136"/>
      <c r="R499" s="104"/>
      <c r="S499" s="104"/>
      <c r="T499" s="136"/>
    </row>
    <row r="500" spans="1:20">
      <c r="A500" s="6"/>
      <c r="B500" s="136"/>
      <c r="C500" s="136"/>
      <c r="D500" s="146" t="s">
        <v>613</v>
      </c>
      <c r="E500" s="136"/>
      <c r="F500" s="136"/>
      <c r="G500" s="136"/>
      <c r="H500" s="102"/>
      <c r="I500" s="102"/>
      <c r="J500" s="102"/>
      <c r="K500" s="102"/>
      <c r="L500" s="102"/>
      <c r="M500" s="102"/>
      <c r="N500" s="102"/>
      <c r="O500" s="102"/>
      <c r="P500" s="102"/>
      <c r="Q500" s="136"/>
      <c r="R500" s="104"/>
      <c r="S500" s="104"/>
      <c r="T500" s="136"/>
    </row>
    <row r="501" spans="1:20">
      <c r="A501" s="6">
        <f>MAX(A$245:A500)+1</f>
        <v>213</v>
      </c>
      <c r="B501" s="136"/>
      <c r="C501" s="136"/>
      <c r="D501" s="147" t="s">
        <v>621</v>
      </c>
      <c r="E501" s="136"/>
      <c r="F501" s="273" t="s">
        <v>540</v>
      </c>
      <c r="G501" s="136"/>
      <c r="H501" s="102">
        <v>33.160600000000002</v>
      </c>
      <c r="I501" s="102"/>
      <c r="J501" s="102">
        <f t="shared" ref="J501:J507" si="35">ROUND(L501,4)-ROUND(H501,4)</f>
        <v>9.9999999999994316E-2</v>
      </c>
      <c r="K501" s="102"/>
      <c r="L501" s="102">
        <v>33.260634803794325</v>
      </c>
      <c r="M501" s="102"/>
      <c r="N501" s="102">
        <v>33.260634803794325</v>
      </c>
      <c r="O501" s="102"/>
      <c r="P501" s="275">
        <v>0</v>
      </c>
      <c r="Q501" s="136"/>
      <c r="R501" s="104"/>
      <c r="S501" s="104"/>
      <c r="T501" s="136"/>
    </row>
    <row r="502" spans="1:20">
      <c r="A502" s="6">
        <f>MAX(A$245:A501)+1</f>
        <v>214</v>
      </c>
      <c r="B502" s="136"/>
      <c r="C502" s="136"/>
      <c r="D502" s="147" t="s">
        <v>622</v>
      </c>
      <c r="E502" s="136"/>
      <c r="F502" s="273" t="s">
        <v>540</v>
      </c>
      <c r="G502" s="136"/>
      <c r="H502" s="102">
        <v>18.477399999999999</v>
      </c>
      <c r="I502" s="102"/>
      <c r="J502" s="102">
        <f t="shared" si="35"/>
        <v>0.13180000000000192</v>
      </c>
      <c r="K502" s="102"/>
      <c r="L502" s="102">
        <v>18.609194259488817</v>
      </c>
      <c r="M502" s="102"/>
      <c r="N502" s="102">
        <v>18.609194259488817</v>
      </c>
      <c r="O502" s="102"/>
      <c r="P502" s="275">
        <v>0</v>
      </c>
      <c r="Q502" s="136"/>
      <c r="R502" s="104"/>
      <c r="S502" s="104"/>
      <c r="T502" s="136"/>
    </row>
    <row r="503" spans="1:20">
      <c r="A503" s="6"/>
      <c r="B503" s="136"/>
      <c r="C503" s="136"/>
      <c r="D503" s="146" t="s">
        <v>389</v>
      </c>
      <c r="E503" s="136"/>
      <c r="F503" s="136"/>
      <c r="G503" s="136"/>
      <c r="H503" s="102"/>
      <c r="I503" s="102"/>
      <c r="J503" s="102"/>
      <c r="K503" s="102"/>
      <c r="L503" s="102"/>
      <c r="M503" s="102"/>
      <c r="N503" s="102"/>
      <c r="O503" s="102"/>
      <c r="P503" s="102"/>
      <c r="Q503" s="136"/>
      <c r="R503" s="104"/>
      <c r="S503" s="104"/>
      <c r="T503" s="136"/>
    </row>
    <row r="504" spans="1:20">
      <c r="A504" s="6">
        <f>MAX(A$245:A503)+1</f>
        <v>215</v>
      </c>
      <c r="B504" s="136"/>
      <c r="C504" s="136"/>
      <c r="D504" s="147" t="s">
        <v>616</v>
      </c>
      <c r="E504" s="136"/>
      <c r="F504" s="273" t="s">
        <v>525</v>
      </c>
      <c r="G504" s="136"/>
      <c r="H504" s="102">
        <v>3.0599999999999999E-2</v>
      </c>
      <c r="I504" s="102"/>
      <c r="J504" s="102">
        <f t="shared" si="35"/>
        <v>-1.7000000000000001E-3</v>
      </c>
      <c r="K504" s="102"/>
      <c r="L504" s="102">
        <v>2.8906566429391087E-2</v>
      </c>
      <c r="M504" s="102"/>
      <c r="N504" s="102">
        <v>1.8491855157711384E-2</v>
      </c>
      <c r="O504" s="102"/>
      <c r="P504" s="102">
        <v>1.04147112716797E-2</v>
      </c>
      <c r="Q504" s="136"/>
      <c r="R504" s="104"/>
      <c r="S504" s="104"/>
      <c r="T504" s="136"/>
    </row>
    <row r="505" spans="1:20">
      <c r="A505" s="6">
        <f>MAX(A$245:A504)+1</f>
        <v>216</v>
      </c>
      <c r="B505" s="136"/>
      <c r="C505" s="136"/>
      <c r="D505" s="147" t="s">
        <v>617</v>
      </c>
      <c r="E505" s="136"/>
      <c r="F505" s="273" t="s">
        <v>525</v>
      </c>
      <c r="G505" s="136"/>
      <c r="H505" s="102">
        <v>2.7176999999999998</v>
      </c>
      <c r="I505" s="102"/>
      <c r="J505" s="102">
        <f t="shared" si="35"/>
        <v>0.11800000000000033</v>
      </c>
      <c r="K505" s="102"/>
      <c r="L505" s="102">
        <v>2.8356637323953287</v>
      </c>
      <c r="M505" s="102"/>
      <c r="N505" s="102">
        <v>2.8252484456659634</v>
      </c>
      <c r="O505" s="102"/>
      <c r="P505" s="102">
        <v>1.0414711271679701E-2</v>
      </c>
      <c r="Q505" s="136"/>
      <c r="R505" s="104"/>
      <c r="S505" s="104"/>
      <c r="T505" s="136"/>
    </row>
    <row r="506" spans="1:20">
      <c r="A506" s="6"/>
      <c r="B506" s="136"/>
      <c r="C506" s="136"/>
      <c r="D506" s="147"/>
      <c r="E506" s="136"/>
      <c r="F506" s="136"/>
      <c r="G506" s="136"/>
      <c r="H506" s="102"/>
      <c r="I506" s="102"/>
      <c r="J506" s="102"/>
      <c r="K506" s="102"/>
      <c r="L506" s="102"/>
      <c r="M506" s="102"/>
      <c r="N506" s="102"/>
      <c r="O506" s="102"/>
      <c r="P506" s="102"/>
      <c r="Q506" s="136"/>
      <c r="R506" s="104"/>
      <c r="S506" s="104"/>
      <c r="T506" s="136"/>
    </row>
    <row r="507" spans="1:20">
      <c r="A507" s="6">
        <f>MAX(A$245:A506)+1</f>
        <v>217</v>
      </c>
      <c r="B507" s="136"/>
      <c r="C507" s="136"/>
      <c r="D507" s="136" t="s">
        <v>618</v>
      </c>
      <c r="E507" s="136"/>
      <c r="F507" s="1" t="s">
        <v>523</v>
      </c>
      <c r="G507" s="136"/>
      <c r="H507" s="99">
        <v>6803.81</v>
      </c>
      <c r="I507" s="136"/>
      <c r="J507" s="99">
        <f t="shared" si="35"/>
        <v>185.91609999999946</v>
      </c>
      <c r="K507" s="136"/>
      <c r="L507" s="99">
        <v>6989.7260578104624</v>
      </c>
      <c r="M507" s="136"/>
      <c r="N507" s="99">
        <v>6989.7260578104624</v>
      </c>
      <c r="O507" s="136"/>
      <c r="P507" s="149">
        <v>0</v>
      </c>
      <c r="Q507" s="136"/>
      <c r="R507" s="104"/>
      <c r="S507" s="104"/>
      <c r="T507" s="136"/>
    </row>
    <row r="508" spans="1:20">
      <c r="A508" s="6">
        <f>MAX(A$245:A507)+1</f>
        <v>218</v>
      </c>
      <c r="B508" s="136"/>
      <c r="C508" s="136"/>
      <c r="D508" s="143" t="s">
        <v>377</v>
      </c>
      <c r="E508" s="136"/>
      <c r="F508" s="273" t="s">
        <v>611</v>
      </c>
      <c r="G508" s="136"/>
      <c r="H508" s="268">
        <v>3.0899999999999999E-3</v>
      </c>
      <c r="I508" s="268"/>
      <c r="J508" s="268">
        <f>ROUND(L508,8)-ROUND(H508,8)</f>
        <v>5.4630999999999994E-4</v>
      </c>
      <c r="K508" s="268"/>
      <c r="L508" s="268">
        <v>3.6363108297250506E-3</v>
      </c>
      <c r="M508" s="268"/>
      <c r="N508" s="268">
        <v>0</v>
      </c>
      <c r="O508" s="268"/>
      <c r="P508" s="268">
        <v>3.6363108297250506E-3</v>
      </c>
      <c r="Q508" s="136"/>
      <c r="R508" s="104"/>
      <c r="S508" s="104"/>
      <c r="T508" s="136"/>
    </row>
    <row r="509" spans="1:20">
      <c r="A509" s="6"/>
      <c r="B509" s="136"/>
      <c r="C509" s="136"/>
      <c r="D509" s="136"/>
      <c r="E509" s="136"/>
      <c r="F509" s="136"/>
      <c r="G509" s="136"/>
      <c r="H509" s="136"/>
      <c r="I509" s="136"/>
      <c r="J509" s="104"/>
      <c r="K509" s="136"/>
      <c r="L509" s="145"/>
      <c r="M509" s="136"/>
      <c r="N509" s="145"/>
      <c r="O509" s="136"/>
      <c r="P509" s="136"/>
      <c r="Q509" s="136"/>
      <c r="R509" s="104"/>
      <c r="S509" s="104"/>
      <c r="T509" s="136"/>
    </row>
    <row r="510" spans="1:20">
      <c r="A510" s="6"/>
      <c r="B510" s="136"/>
      <c r="C510" s="136"/>
      <c r="D510" s="136"/>
      <c r="E510" s="136"/>
      <c r="F510" s="136"/>
      <c r="G510" s="136"/>
      <c r="H510" s="136"/>
      <c r="I510" s="136"/>
      <c r="J510" s="104"/>
      <c r="K510" s="136"/>
      <c r="L510" s="145"/>
      <c r="M510" s="136"/>
      <c r="N510" s="145"/>
      <c r="O510" s="136"/>
      <c r="P510" s="136"/>
      <c r="Q510" s="136"/>
      <c r="R510" s="104"/>
      <c r="S510" s="104"/>
      <c r="T510" s="136"/>
    </row>
    <row r="511" spans="1:20">
      <c r="A511" s="6"/>
      <c r="B511" s="136"/>
      <c r="C511" s="136"/>
      <c r="D511" s="136"/>
      <c r="E511" s="136"/>
      <c r="F511" s="136"/>
      <c r="G511" s="136"/>
      <c r="H511" s="136"/>
      <c r="I511" s="136"/>
      <c r="J511" s="104"/>
      <c r="K511" s="136"/>
      <c r="L511" s="145"/>
      <c r="M511" s="136"/>
      <c r="N511" s="145"/>
      <c r="O511" s="136"/>
      <c r="P511" s="136"/>
      <c r="Q511" s="136"/>
      <c r="R511" s="104"/>
      <c r="S511" s="104"/>
      <c r="T511" s="136"/>
    </row>
    <row r="512" spans="1:20">
      <c r="A512" s="6"/>
      <c r="B512" s="136"/>
      <c r="C512" s="136"/>
      <c r="D512" s="136"/>
      <c r="E512" s="136"/>
      <c r="F512" s="136"/>
      <c r="G512" s="136"/>
      <c r="H512" s="136"/>
      <c r="I512" s="136"/>
      <c r="J512" s="104"/>
      <c r="K512" s="136"/>
      <c r="L512" s="145"/>
      <c r="M512" s="136"/>
      <c r="N512" s="145"/>
      <c r="O512" s="136"/>
      <c r="P512" s="136"/>
      <c r="Q512" s="136"/>
      <c r="R512" s="104"/>
      <c r="S512" s="104"/>
      <c r="T512" s="136"/>
    </row>
    <row r="513" spans="1:20">
      <c r="A513" s="6"/>
      <c r="B513" s="136"/>
      <c r="C513" s="136"/>
      <c r="D513" s="136"/>
      <c r="E513" s="136"/>
      <c r="F513" s="136"/>
      <c r="G513" s="136"/>
      <c r="H513" s="136"/>
      <c r="I513" s="136"/>
      <c r="J513" s="104"/>
      <c r="K513" s="136"/>
      <c r="L513" s="145"/>
      <c r="M513" s="136"/>
      <c r="N513" s="145"/>
      <c r="O513" s="136"/>
      <c r="P513" s="136"/>
      <c r="Q513" s="136"/>
      <c r="R513" s="104"/>
      <c r="S513" s="104"/>
      <c r="T513" s="136"/>
    </row>
    <row r="514" spans="1:20">
      <c r="A514" s="6"/>
      <c r="B514" s="136"/>
      <c r="C514" s="136"/>
      <c r="D514" s="136"/>
      <c r="E514" s="136"/>
      <c r="F514" s="136"/>
      <c r="G514" s="136"/>
      <c r="H514" s="136"/>
      <c r="I514" s="136"/>
      <c r="J514" s="104"/>
      <c r="K514" s="136"/>
      <c r="L514" s="145"/>
      <c r="M514" s="136"/>
      <c r="N514" s="145"/>
      <c r="O514" s="136"/>
      <c r="P514" s="136"/>
      <c r="Q514" s="136"/>
      <c r="R514" s="104"/>
      <c r="S514" s="104"/>
      <c r="T514" s="136"/>
    </row>
    <row r="515" spans="1:20">
      <c r="A515" s="1163"/>
      <c r="B515" s="1163"/>
      <c r="C515" s="1163"/>
      <c r="D515" s="1206"/>
      <c r="E515" s="1206"/>
      <c r="F515" s="1206"/>
      <c r="G515" s="1206"/>
      <c r="H515" s="1206"/>
      <c r="I515" s="1206"/>
      <c r="J515" s="1206"/>
      <c r="K515" s="1206"/>
      <c r="L515" s="1206"/>
      <c r="M515" s="1206"/>
      <c r="N515" s="1206"/>
      <c r="O515" s="1206"/>
      <c r="P515" s="1206"/>
      <c r="Q515" s="136"/>
      <c r="R515" s="104"/>
      <c r="S515" s="104"/>
      <c r="T515" s="136"/>
    </row>
    <row r="516" spans="1:20">
      <c r="A516" s="1163" t="s">
        <v>543</v>
      </c>
      <c r="B516" s="1163"/>
      <c r="C516" s="1163"/>
      <c r="D516" s="1206"/>
      <c r="E516" s="1206"/>
      <c r="F516" s="1206"/>
      <c r="G516" s="1206"/>
      <c r="H516" s="1206"/>
      <c r="I516" s="1206"/>
      <c r="J516" s="1206"/>
      <c r="K516" s="1206"/>
      <c r="L516" s="1206"/>
      <c r="M516" s="1206"/>
      <c r="N516" s="1206"/>
      <c r="O516" s="1206"/>
      <c r="P516" s="1206"/>
      <c r="Q516" s="136"/>
      <c r="R516" s="104"/>
      <c r="S516" s="104"/>
      <c r="T516" s="136"/>
    </row>
    <row r="517" spans="1:20">
      <c r="A517" s="1162" t="s">
        <v>145</v>
      </c>
      <c r="B517" s="1206"/>
      <c r="C517" s="1206"/>
      <c r="D517" s="1206"/>
      <c r="E517" s="1206"/>
      <c r="F517" s="1206"/>
      <c r="G517" s="1206"/>
      <c r="H517" s="1206"/>
      <c r="I517" s="1206"/>
      <c r="J517" s="1206"/>
      <c r="K517" s="1206"/>
      <c r="L517" s="1206"/>
      <c r="M517" s="1206"/>
      <c r="N517" s="1206"/>
      <c r="O517" s="1206"/>
      <c r="P517" s="1206"/>
      <c r="Q517" s="136"/>
      <c r="R517" s="104"/>
      <c r="S517" s="104"/>
      <c r="T517" s="136"/>
    </row>
    <row r="518" spans="1:20">
      <c r="A518" s="6"/>
      <c r="B518" s="52"/>
      <c r="Q518" s="136"/>
      <c r="R518" s="104"/>
      <c r="S518" s="104"/>
      <c r="T518" s="136"/>
    </row>
    <row r="519" spans="1:20" ht="12.75" customHeight="1">
      <c r="A519" s="6"/>
      <c r="G519" s="55"/>
      <c r="H519" s="2"/>
      <c r="I519" s="2"/>
      <c r="J519" s="2"/>
      <c r="K519" s="2"/>
      <c r="L519" s="2"/>
      <c r="M519" s="2"/>
      <c r="N519" s="1160" t="s">
        <v>514</v>
      </c>
      <c r="O519" s="1160"/>
      <c r="P519" s="1160"/>
      <c r="Q519" s="136"/>
      <c r="R519" s="104"/>
      <c r="S519" s="104"/>
      <c r="T519" s="136"/>
    </row>
    <row r="520" spans="1:20">
      <c r="A520" s="6"/>
      <c r="G520" s="282"/>
      <c r="H520" s="6"/>
      <c r="I520" s="57"/>
      <c r="J520" s="1164" t="s">
        <v>515</v>
      </c>
      <c r="K520" s="1164"/>
      <c r="L520" s="1164"/>
      <c r="N520" s="1161"/>
      <c r="O520" s="1161"/>
      <c r="P520" s="1161"/>
      <c r="Q520" s="136"/>
      <c r="R520" s="104"/>
      <c r="S520" s="104"/>
      <c r="T520" s="136"/>
    </row>
    <row r="521" spans="1:20">
      <c r="A521" s="6" t="s">
        <v>56</v>
      </c>
      <c r="C521" s="52"/>
      <c r="F521" s="55"/>
      <c r="G521" s="51"/>
      <c r="H521" s="6" t="s">
        <v>93</v>
      </c>
      <c r="I521" s="57"/>
      <c r="J521" s="1" t="s">
        <v>516</v>
      </c>
      <c r="K521" s="4"/>
      <c r="L521" s="6" t="s">
        <v>102</v>
      </c>
      <c r="N521" s="17"/>
      <c r="O521" s="17"/>
      <c r="P521" s="17"/>
      <c r="Q521" s="136"/>
      <c r="R521" s="104"/>
      <c r="S521" s="104"/>
      <c r="T521" s="136"/>
    </row>
    <row r="522" spans="1:20">
      <c r="A522" s="53" t="s">
        <v>57</v>
      </c>
      <c r="B522" s="55"/>
      <c r="C522" s="56"/>
      <c r="D522" s="54" t="s">
        <v>194</v>
      </c>
      <c r="F522" s="271" t="s">
        <v>245</v>
      </c>
      <c r="G522" s="55"/>
      <c r="H522" s="356" t="s">
        <v>235</v>
      </c>
      <c r="I522" s="17"/>
      <c r="J522" s="237" t="s">
        <v>517</v>
      </c>
      <c r="L522" s="356" t="s">
        <v>518</v>
      </c>
      <c r="N522" s="7" t="s">
        <v>6</v>
      </c>
      <c r="O522" s="1"/>
      <c r="P522" s="7" t="s">
        <v>519</v>
      </c>
      <c r="Q522" s="136"/>
      <c r="R522" s="104"/>
      <c r="S522" s="104"/>
      <c r="T522" s="136"/>
    </row>
    <row r="523" spans="1:20">
      <c r="A523" s="6"/>
      <c r="F523" s="283"/>
      <c r="G523" s="55"/>
      <c r="H523" s="6" t="s">
        <v>520</v>
      </c>
      <c r="I523" s="6"/>
      <c r="J523" s="123" t="s">
        <v>521</v>
      </c>
      <c r="L523" s="6" t="s">
        <v>522</v>
      </c>
      <c r="N523" s="8" t="s">
        <v>12</v>
      </c>
      <c r="O523" s="1"/>
      <c r="P523" s="8" t="s">
        <v>13</v>
      </c>
      <c r="Q523" s="136"/>
      <c r="R523" s="104"/>
      <c r="S523" s="104"/>
      <c r="T523" s="136"/>
    </row>
    <row r="524" spans="1:20">
      <c r="A524" s="6"/>
      <c r="B524" s="136"/>
      <c r="C524" s="136"/>
      <c r="D524" s="301" t="s">
        <v>154</v>
      </c>
      <c r="E524" s="136"/>
      <c r="F524" s="136"/>
      <c r="G524" s="136"/>
      <c r="H524" s="136"/>
      <c r="I524" s="136"/>
      <c r="J524" s="104"/>
      <c r="K524" s="136"/>
      <c r="L524" s="145"/>
      <c r="M524" s="136"/>
      <c r="N524" s="145"/>
      <c r="O524" s="136"/>
      <c r="P524" s="136"/>
      <c r="Q524" s="136"/>
      <c r="R524" s="104"/>
      <c r="S524" s="104"/>
      <c r="T524" s="136"/>
    </row>
    <row r="525" spans="1:20">
      <c r="A525" s="6"/>
      <c r="B525" s="136"/>
      <c r="C525" s="136"/>
      <c r="D525" s="136" t="s">
        <v>620</v>
      </c>
      <c r="E525" s="136"/>
      <c r="F525" s="136"/>
      <c r="G525" s="136"/>
      <c r="H525" s="136"/>
      <c r="I525" s="136"/>
      <c r="J525" s="104"/>
      <c r="K525" s="136"/>
      <c r="L525" s="145"/>
      <c r="M525" s="136"/>
      <c r="N525" s="145"/>
      <c r="O525" s="136"/>
      <c r="P525" s="136"/>
      <c r="Q525" s="136"/>
      <c r="R525" s="104"/>
      <c r="S525" s="104"/>
      <c r="T525" s="136"/>
    </row>
    <row r="526" spans="1:20">
      <c r="A526" s="6"/>
      <c r="B526" s="136"/>
      <c r="C526" s="136"/>
      <c r="D526" s="146" t="s">
        <v>380</v>
      </c>
      <c r="E526" s="136"/>
      <c r="F526" s="136"/>
      <c r="G526" s="136"/>
      <c r="H526" s="136"/>
      <c r="I526" s="136"/>
      <c r="J526" s="104"/>
      <c r="K526" s="136"/>
      <c r="L526" s="145"/>
      <c r="M526" s="136"/>
      <c r="N526" s="145"/>
      <c r="O526" s="136"/>
      <c r="P526" s="136"/>
      <c r="Q526" s="136"/>
      <c r="R526" s="104"/>
      <c r="S526" s="104"/>
      <c r="T526" s="136"/>
    </row>
    <row r="527" spans="1:20">
      <c r="A527" s="6">
        <f>MAX(A$245:A526)+1</f>
        <v>219</v>
      </c>
      <c r="B527" s="136"/>
      <c r="C527" s="136"/>
      <c r="D527" s="147" t="s">
        <v>381</v>
      </c>
      <c r="E527" s="136"/>
      <c r="F527" s="1" t="s">
        <v>582</v>
      </c>
      <c r="G527" s="136"/>
      <c r="H527" s="246">
        <v>1.2E-2</v>
      </c>
      <c r="I527" s="246"/>
      <c r="J527" s="246">
        <f t="shared" ref="J527:J534" si="36">ROUND(L527,4)-ROUND(H527,4)</f>
        <v>2.9999999999999992E-4</v>
      </c>
      <c r="K527" s="246"/>
      <c r="L527" s="246">
        <v>1.2327903438474258E-2</v>
      </c>
      <c r="M527" s="246"/>
      <c r="N527" s="246">
        <v>1.2327903438474258E-2</v>
      </c>
      <c r="O527" s="102"/>
      <c r="P527" s="275">
        <v>0</v>
      </c>
      <c r="Q527" s="136"/>
      <c r="R527" s="104"/>
      <c r="S527" s="104"/>
      <c r="T527" s="136"/>
    </row>
    <row r="528" spans="1:20">
      <c r="A528" s="6"/>
      <c r="B528" s="136"/>
      <c r="C528" s="136"/>
      <c r="D528" s="146" t="s">
        <v>383</v>
      </c>
      <c r="E528" s="136"/>
      <c r="F528" s="136"/>
      <c r="G528" s="136"/>
      <c r="H528" s="246"/>
      <c r="I528" s="246"/>
      <c r="J528" s="246"/>
      <c r="K528" s="246"/>
      <c r="L528" s="246"/>
      <c r="M528" s="246"/>
      <c r="N528" s="246"/>
      <c r="O528" s="102"/>
      <c r="P528" s="275">
        <v>0</v>
      </c>
      <c r="Q528" s="136"/>
      <c r="R528" s="104"/>
      <c r="S528" s="104"/>
      <c r="T528" s="136"/>
    </row>
    <row r="529" spans="1:20">
      <c r="A529" s="6">
        <f>MAX(A$245:A528)+1</f>
        <v>220</v>
      </c>
      <c r="B529" s="136"/>
      <c r="C529" s="136"/>
      <c r="D529" s="147" t="s">
        <v>384</v>
      </c>
      <c r="E529" s="136"/>
      <c r="F529" s="1" t="s">
        <v>582</v>
      </c>
      <c r="G529" s="136"/>
      <c r="H529" s="246">
        <v>1.8779999999999999</v>
      </c>
      <c r="I529" s="246"/>
      <c r="J529" s="246">
        <f t="shared" si="36"/>
        <v>4.9000000000000155E-2</v>
      </c>
      <c r="K529" s="246"/>
      <c r="L529" s="246">
        <v>1.927</v>
      </c>
      <c r="M529" s="246"/>
      <c r="N529" s="246">
        <v>1.927</v>
      </c>
      <c r="O529" s="102"/>
      <c r="P529" s="275">
        <v>0</v>
      </c>
      <c r="Q529" s="136"/>
      <c r="R529" s="104"/>
      <c r="S529" s="104"/>
      <c r="T529" s="136"/>
    </row>
    <row r="530" spans="1:20">
      <c r="A530" s="6">
        <f>MAX(A$245:A529)+1</f>
        <v>221</v>
      </c>
      <c r="B530" s="136"/>
      <c r="C530" s="136"/>
      <c r="D530" s="147" t="s">
        <v>385</v>
      </c>
      <c r="E530" s="136"/>
      <c r="F530" s="1" t="s">
        <v>582</v>
      </c>
      <c r="G530" s="136"/>
      <c r="H530" s="246">
        <v>1.4730000000000001</v>
      </c>
      <c r="I530" s="246"/>
      <c r="J530" s="246">
        <f t="shared" si="36"/>
        <v>4.5799999999999841E-2</v>
      </c>
      <c r="K530" s="246"/>
      <c r="L530" s="246">
        <v>1.5187525197395906</v>
      </c>
      <c r="M530" s="246"/>
      <c r="N530" s="246">
        <v>1.5187525197395906</v>
      </c>
      <c r="O530" s="102"/>
      <c r="P530" s="275">
        <v>0</v>
      </c>
      <c r="Q530" s="136"/>
      <c r="R530" s="104"/>
      <c r="S530" s="104"/>
      <c r="T530" s="136"/>
    </row>
    <row r="531" spans="1:20">
      <c r="A531" s="6">
        <f>MAX(A$245:A530)+1</f>
        <v>222</v>
      </c>
      <c r="B531" s="136"/>
      <c r="C531" s="136"/>
      <c r="D531" s="147" t="s">
        <v>386</v>
      </c>
      <c r="E531" s="136"/>
      <c r="F531" s="1" t="s">
        <v>582</v>
      </c>
      <c r="G531" s="136"/>
      <c r="H531" s="246">
        <v>1.4730000000000001</v>
      </c>
      <c r="I531" s="246"/>
      <c r="J531" s="246">
        <f t="shared" si="36"/>
        <v>4.5799999999999841E-2</v>
      </c>
      <c r="K531" s="246"/>
      <c r="L531" s="246">
        <v>1.5187525197395906</v>
      </c>
      <c r="M531" s="246"/>
      <c r="N531" s="246">
        <v>1.5187525197395906</v>
      </c>
      <c r="O531" s="102"/>
      <c r="P531" s="275">
        <v>0</v>
      </c>
      <c r="Q531" s="136"/>
      <c r="R531" s="104"/>
      <c r="S531" s="104"/>
      <c r="T531" s="136"/>
    </row>
    <row r="532" spans="1:20">
      <c r="A532" s="6">
        <f>MAX(A$245:A531)+1</f>
        <v>223</v>
      </c>
      <c r="B532" s="136"/>
      <c r="C532" s="136"/>
      <c r="D532" s="147" t="s">
        <v>387</v>
      </c>
      <c r="E532" s="136"/>
      <c r="F532" s="1" t="s">
        <v>582</v>
      </c>
      <c r="G532" s="136"/>
      <c r="H532" s="246">
        <v>1.4730000000000001</v>
      </c>
      <c r="I532" s="246"/>
      <c r="J532" s="246">
        <f t="shared" si="36"/>
        <v>4.5799999999999841E-2</v>
      </c>
      <c r="K532" s="246"/>
      <c r="L532" s="246">
        <v>1.5187525197395906</v>
      </c>
      <c r="M532" s="246"/>
      <c r="N532" s="246">
        <v>1.5187525197395906</v>
      </c>
      <c r="O532" s="102"/>
      <c r="P532" s="275">
        <v>0</v>
      </c>
      <c r="Q532" s="136"/>
      <c r="R532" s="104"/>
      <c r="S532" s="104"/>
      <c r="T532" s="136"/>
    </row>
    <row r="533" spans="1:20">
      <c r="A533" s="6"/>
      <c r="B533" s="136"/>
      <c r="C533" s="136"/>
      <c r="D533" s="146" t="s">
        <v>388</v>
      </c>
      <c r="E533" s="136"/>
      <c r="F533" s="136"/>
      <c r="G533" s="136"/>
      <c r="H533" s="246"/>
      <c r="I533" s="246"/>
      <c r="J533" s="246"/>
      <c r="K533" s="246"/>
      <c r="L533" s="246"/>
      <c r="M533" s="246"/>
      <c r="N533" s="246"/>
      <c r="O533" s="102"/>
      <c r="P533" s="275">
        <v>0</v>
      </c>
      <c r="Q533" s="136"/>
      <c r="R533" s="104"/>
      <c r="S533" s="104"/>
      <c r="T533" s="136"/>
    </row>
    <row r="534" spans="1:20">
      <c r="A534" s="6">
        <f>MAX(A$245:A533)+1</f>
        <v>224</v>
      </c>
      <c r="B534" s="136"/>
      <c r="C534" s="136"/>
      <c r="D534" s="147" t="s">
        <v>389</v>
      </c>
      <c r="E534" s="136"/>
      <c r="F534" s="273" t="s">
        <v>525</v>
      </c>
      <c r="G534" s="136"/>
      <c r="H534" s="246">
        <v>1.2E-2</v>
      </c>
      <c r="I534" s="246"/>
      <c r="J534" s="246">
        <f t="shared" si="36"/>
        <v>2.9999999999999992E-4</v>
      </c>
      <c r="K534" s="246"/>
      <c r="L534" s="246">
        <v>1.2327903438474256E-2</v>
      </c>
      <c r="M534" s="246"/>
      <c r="N534" s="246">
        <v>1.2327903438474256E-2</v>
      </c>
      <c r="O534" s="102"/>
      <c r="P534" s="275">
        <v>0</v>
      </c>
      <c r="Q534" s="136"/>
      <c r="R534" s="104"/>
      <c r="S534" s="104"/>
      <c r="T534" s="136"/>
    </row>
    <row r="535" spans="1:20">
      <c r="A535" s="6">
        <f>MAX(A$245:A534)+1</f>
        <v>225</v>
      </c>
      <c r="B535" s="136"/>
      <c r="C535" s="136"/>
      <c r="D535" s="143" t="s">
        <v>610</v>
      </c>
      <c r="E535" s="136"/>
      <c r="F535" s="273" t="s">
        <v>611</v>
      </c>
      <c r="G535" s="136"/>
      <c r="H535" s="268">
        <v>4.45E-3</v>
      </c>
      <c r="I535" s="102"/>
      <c r="J535" s="268">
        <f>ROUND(L535,8)-ROUND(H535,8)</f>
        <v>5.1148999999999986E-4</v>
      </c>
      <c r="K535" s="102"/>
      <c r="L535" s="268">
        <v>4.9614910854222875E-3</v>
      </c>
      <c r="M535" s="102"/>
      <c r="N535" s="275">
        <v>0</v>
      </c>
      <c r="O535" s="102"/>
      <c r="P535" s="268">
        <v>4.9614910854222875E-3</v>
      </c>
      <c r="Q535" s="136"/>
      <c r="R535" s="104"/>
      <c r="S535" s="104"/>
      <c r="T535" s="136"/>
    </row>
    <row r="536" spans="1:20">
      <c r="A536" s="6"/>
      <c r="B536" s="136"/>
      <c r="C536" s="136"/>
      <c r="D536" s="136"/>
      <c r="E536" s="136"/>
      <c r="F536" s="136"/>
      <c r="G536" s="136"/>
      <c r="H536" s="102"/>
      <c r="I536" s="102"/>
      <c r="J536" s="102"/>
      <c r="K536" s="102"/>
      <c r="L536" s="102"/>
      <c r="M536" s="102"/>
      <c r="N536" s="102"/>
      <c r="O536" s="102"/>
      <c r="P536" s="102"/>
      <c r="Q536" s="136"/>
      <c r="R536" s="104"/>
      <c r="S536" s="104"/>
      <c r="T536" s="136"/>
    </row>
    <row r="537" spans="1:20">
      <c r="A537" s="6"/>
      <c r="B537" s="136"/>
      <c r="C537" s="136"/>
      <c r="D537" s="136" t="s">
        <v>22</v>
      </c>
      <c r="E537" s="136"/>
      <c r="F537" s="136"/>
      <c r="G537" s="136"/>
      <c r="H537" s="102"/>
      <c r="I537" s="102"/>
      <c r="J537" s="102"/>
      <c r="K537" s="102"/>
      <c r="L537" s="102"/>
      <c r="M537" s="102"/>
      <c r="N537" s="102"/>
      <c r="O537" s="102"/>
      <c r="P537" s="102"/>
      <c r="Q537" s="136"/>
      <c r="R537" s="104"/>
      <c r="S537" s="104"/>
      <c r="T537" s="136"/>
    </row>
    <row r="538" spans="1:20">
      <c r="A538" s="6">
        <f>MAX(A$245:A537)+1</f>
        <v>226</v>
      </c>
      <c r="B538" s="136"/>
      <c r="C538" s="136"/>
      <c r="D538" s="142" t="s">
        <v>613</v>
      </c>
      <c r="E538" s="136"/>
      <c r="F538" s="273" t="s">
        <v>540</v>
      </c>
      <c r="G538" s="136"/>
      <c r="H538" s="102">
        <v>20.7133</v>
      </c>
      <c r="I538" s="102"/>
      <c r="J538" s="102">
        <f t="shared" ref="J538:J540" si="37">ROUND(L538,4)-ROUND(H538,4)</f>
        <v>0.57430000000000092</v>
      </c>
      <c r="K538" s="102"/>
      <c r="L538" s="102">
        <v>21.287604412392756</v>
      </c>
      <c r="M538" s="102"/>
      <c r="N538" s="102">
        <v>21.287604412392756</v>
      </c>
      <c r="O538" s="102"/>
      <c r="P538" s="275">
        <v>0</v>
      </c>
      <c r="Q538" s="136"/>
      <c r="R538" s="104"/>
      <c r="S538" s="104"/>
      <c r="T538" s="136"/>
    </row>
    <row r="539" spans="1:20">
      <c r="A539" s="6">
        <f>MAX(A$245:A538)+1</f>
        <v>227</v>
      </c>
      <c r="B539" s="136"/>
      <c r="C539" s="136"/>
      <c r="D539" s="142" t="s">
        <v>623</v>
      </c>
      <c r="E539" s="136"/>
      <c r="F539" s="273" t="s">
        <v>525</v>
      </c>
      <c r="G539" s="136"/>
      <c r="H539" s="102">
        <v>8.2100000000000006E-2</v>
      </c>
      <c r="I539" s="102"/>
      <c r="J539" s="102">
        <f t="shared" si="37"/>
        <v>-2.0000000000000018E-3</v>
      </c>
      <c r="K539" s="102"/>
      <c r="L539" s="102">
        <v>8.0131372350082677E-2</v>
      </c>
      <c r="M539" s="102"/>
      <c r="N539" s="102">
        <v>8.0131372350082677E-2</v>
      </c>
      <c r="O539" s="102"/>
      <c r="P539" s="275">
        <v>0</v>
      </c>
      <c r="Q539" s="136"/>
      <c r="R539" s="104"/>
      <c r="S539" s="104"/>
      <c r="T539" s="136"/>
    </row>
    <row r="540" spans="1:20">
      <c r="A540" s="6">
        <f>MAX(A$245:A539)+1</f>
        <v>228</v>
      </c>
      <c r="B540" s="136"/>
      <c r="C540" s="136"/>
      <c r="D540" s="142" t="s">
        <v>618</v>
      </c>
      <c r="E540" s="136"/>
      <c r="F540" s="1" t="s">
        <v>523</v>
      </c>
      <c r="G540" s="136"/>
      <c r="H540" s="99">
        <v>22703.73</v>
      </c>
      <c r="I540" s="136"/>
      <c r="J540" s="99">
        <f t="shared" si="37"/>
        <v>620.38590000000113</v>
      </c>
      <c r="K540" s="136"/>
      <c r="L540" s="99">
        <v>23324.115927765928</v>
      </c>
      <c r="M540" s="136"/>
      <c r="N540" s="99">
        <v>23324.115927765928</v>
      </c>
      <c r="O540" s="136"/>
      <c r="P540" s="275">
        <v>0</v>
      </c>
      <c r="Q540" s="136"/>
      <c r="R540" s="149"/>
      <c r="S540" s="104"/>
      <c r="T540" s="136"/>
    </row>
    <row r="541" spans="1:20">
      <c r="A541" s="6">
        <f>MAX(A$245:A540)+1</f>
        <v>229</v>
      </c>
      <c r="B541" s="136"/>
      <c r="C541" s="136"/>
      <c r="D541" s="143" t="s">
        <v>619</v>
      </c>
      <c r="E541" s="136"/>
      <c r="F541" s="273" t="s">
        <v>611</v>
      </c>
      <c r="G541" s="136"/>
      <c r="H541" s="268">
        <v>4.1900000000000001E-3</v>
      </c>
      <c r="I541" s="268"/>
      <c r="J541" s="268">
        <f>ROUND(L541,8)-ROUND(H541,8)</f>
        <v>6.2005999999999954E-4</v>
      </c>
      <c r="K541" s="268"/>
      <c r="L541" s="268">
        <v>4.8100636621914127E-3</v>
      </c>
      <c r="M541" s="268"/>
      <c r="N541" s="275">
        <v>0</v>
      </c>
      <c r="O541" s="268"/>
      <c r="P541" s="268">
        <f>L541</f>
        <v>4.8100636621914127E-3</v>
      </c>
      <c r="Q541" s="136"/>
      <c r="R541" s="104"/>
      <c r="S541" s="104"/>
      <c r="T541" s="136"/>
    </row>
    <row r="542" spans="1:20">
      <c r="A542" s="6"/>
      <c r="B542" s="136"/>
      <c r="C542" s="136"/>
      <c r="D542" s="136"/>
      <c r="E542" s="136"/>
      <c r="F542" s="136"/>
      <c r="G542" s="136"/>
      <c r="H542" s="145"/>
      <c r="I542" s="136"/>
      <c r="J542" s="104"/>
      <c r="K542" s="136"/>
      <c r="L542" s="145"/>
      <c r="M542" s="136"/>
      <c r="N542" s="145"/>
      <c r="O542" s="136"/>
      <c r="P542" s="136"/>
      <c r="Q542" s="136"/>
      <c r="R542" s="136"/>
      <c r="S542" s="136"/>
      <c r="T542" s="136"/>
    </row>
    <row r="543" spans="1:20">
      <c r="A543" s="6"/>
      <c r="B543" s="136"/>
      <c r="C543" s="136"/>
      <c r="D543" s="136"/>
      <c r="E543" s="136"/>
      <c r="F543" s="136"/>
      <c r="G543" s="136"/>
      <c r="H543" s="145"/>
      <c r="I543" s="136"/>
      <c r="J543" s="104"/>
      <c r="K543" s="136"/>
      <c r="L543" s="145"/>
      <c r="M543" s="136"/>
      <c r="N543" s="145"/>
      <c r="O543" s="136"/>
      <c r="P543" s="136"/>
      <c r="Q543" s="136"/>
      <c r="R543" s="136"/>
      <c r="S543" s="136"/>
      <c r="T543" s="136"/>
    </row>
    <row r="544" spans="1:20">
      <c r="A544" s="6"/>
      <c r="B544" s="136"/>
      <c r="C544" s="136"/>
      <c r="D544" s="136"/>
      <c r="E544" s="136"/>
      <c r="F544" s="136"/>
      <c r="G544" s="136"/>
      <c r="H544" s="145"/>
      <c r="I544" s="136"/>
      <c r="J544" s="104"/>
      <c r="K544" s="136"/>
      <c r="L544" s="145"/>
      <c r="M544" s="136"/>
      <c r="N544" s="145"/>
      <c r="O544" s="136"/>
      <c r="P544" s="136"/>
      <c r="Q544" s="136"/>
      <c r="R544" s="136"/>
      <c r="S544" s="136"/>
      <c r="T544" s="136"/>
    </row>
    <row r="545" spans="1:20">
      <c r="A545" s="6"/>
      <c r="B545" s="136"/>
      <c r="C545" s="136"/>
      <c r="D545" s="136"/>
      <c r="E545" s="136"/>
      <c r="F545" s="136"/>
      <c r="G545" s="136"/>
      <c r="H545" s="145"/>
      <c r="I545" s="136"/>
      <c r="J545" s="104"/>
      <c r="K545" s="136"/>
      <c r="L545" s="145"/>
      <c r="M545" s="136"/>
      <c r="N545" s="145"/>
      <c r="O545" s="136"/>
      <c r="P545" s="136"/>
      <c r="Q545" s="136"/>
      <c r="R545" s="136"/>
      <c r="S545" s="136"/>
      <c r="T545" s="136"/>
    </row>
    <row r="546" spans="1:20">
      <c r="A546" s="6"/>
      <c r="B546" s="136"/>
      <c r="C546" s="136"/>
      <c r="D546" s="136"/>
      <c r="E546" s="136"/>
      <c r="F546" s="136"/>
      <c r="G546" s="136"/>
      <c r="H546" s="145"/>
      <c r="I546" s="136"/>
      <c r="J546" s="104"/>
      <c r="K546" s="136"/>
      <c r="L546" s="145"/>
      <c r="M546" s="136"/>
      <c r="N546" s="145"/>
      <c r="O546" s="136"/>
      <c r="P546" s="136"/>
      <c r="Q546" s="136"/>
      <c r="R546" s="136"/>
      <c r="S546" s="136"/>
      <c r="T546" s="136"/>
    </row>
    <row r="547" spans="1:20">
      <c r="A547" s="6"/>
      <c r="B547" s="136"/>
      <c r="C547" s="136"/>
      <c r="D547" s="136"/>
      <c r="E547" s="136"/>
      <c r="F547" s="136"/>
      <c r="G547" s="136"/>
      <c r="H547" s="145"/>
      <c r="I547" s="136"/>
      <c r="J547" s="104"/>
      <c r="K547" s="136"/>
      <c r="L547" s="145"/>
      <c r="M547" s="136"/>
      <c r="N547" s="145"/>
      <c r="O547" s="136"/>
      <c r="P547" s="136"/>
      <c r="Q547" s="136"/>
      <c r="R547" s="136"/>
      <c r="S547" s="136"/>
      <c r="T547" s="136"/>
    </row>
    <row r="548" spans="1:20">
      <c r="A548" s="6"/>
      <c r="B548" s="136"/>
      <c r="C548" s="136"/>
      <c r="D548" s="136"/>
      <c r="E548" s="136"/>
      <c r="F548" s="136"/>
      <c r="G548" s="136"/>
      <c r="H548" s="145"/>
      <c r="I548" s="136"/>
      <c r="J548" s="104"/>
      <c r="K548" s="136"/>
      <c r="L548" s="145"/>
      <c r="M548" s="136"/>
      <c r="N548" s="145"/>
      <c r="O548" s="136"/>
      <c r="P548" s="136"/>
      <c r="Q548" s="136"/>
      <c r="R548" s="136"/>
      <c r="S548" s="136"/>
      <c r="T548" s="136"/>
    </row>
    <row r="549" spans="1:20">
      <c r="A549" s="6"/>
      <c r="B549" s="136"/>
      <c r="C549" s="136"/>
      <c r="D549" s="136"/>
      <c r="E549" s="136"/>
      <c r="F549" s="136"/>
      <c r="G549" s="136"/>
      <c r="H549" s="145"/>
      <c r="I549" s="136"/>
      <c r="J549" s="104"/>
      <c r="K549" s="136"/>
      <c r="L549" s="145"/>
      <c r="M549" s="136"/>
      <c r="N549" s="145"/>
      <c r="O549" s="136"/>
      <c r="P549" s="136"/>
      <c r="Q549" s="136"/>
      <c r="R549" s="136"/>
      <c r="S549" s="136"/>
      <c r="T549" s="136"/>
    </row>
    <row r="550" spans="1:20">
      <c r="A550" s="6"/>
      <c r="B550" s="136"/>
      <c r="C550" s="136"/>
      <c r="D550" s="136"/>
      <c r="E550" s="136"/>
      <c r="F550" s="136"/>
      <c r="G550" s="136"/>
      <c r="H550" s="145"/>
      <c r="I550" s="136"/>
      <c r="J550" s="104"/>
      <c r="K550" s="136"/>
      <c r="L550" s="145"/>
      <c r="M550" s="136"/>
      <c r="N550" s="145"/>
      <c r="O550" s="136"/>
      <c r="P550" s="136"/>
      <c r="Q550" s="136"/>
      <c r="R550" s="136"/>
      <c r="S550" s="136"/>
      <c r="T550" s="136"/>
    </row>
    <row r="551" spans="1:20">
      <c r="A551" s="6"/>
      <c r="B551" s="136"/>
      <c r="C551" s="136"/>
      <c r="D551" s="136"/>
      <c r="E551" s="136"/>
      <c r="F551" s="136"/>
      <c r="G551" s="136"/>
      <c r="H551" s="145"/>
      <c r="I551" s="136"/>
      <c r="J551" s="104"/>
      <c r="K551" s="136"/>
      <c r="L551" s="145"/>
      <c r="M551" s="136"/>
      <c r="N551" s="145"/>
      <c r="O551" s="136"/>
      <c r="P551" s="136"/>
      <c r="Q551" s="136"/>
      <c r="R551" s="136"/>
      <c r="S551" s="136"/>
      <c r="T551" s="136"/>
    </row>
    <row r="552" spans="1:20">
      <c r="A552" s="6"/>
      <c r="B552" s="136"/>
      <c r="C552" s="136"/>
      <c r="D552" s="136"/>
      <c r="E552" s="136"/>
      <c r="F552" s="136"/>
      <c r="G552" s="136"/>
      <c r="H552" s="145"/>
      <c r="I552" s="136"/>
      <c r="J552" s="104"/>
      <c r="K552" s="136"/>
      <c r="L552" s="145"/>
      <c r="M552" s="136"/>
      <c r="N552" s="145"/>
      <c r="O552" s="136"/>
      <c r="P552" s="136"/>
      <c r="Q552" s="136"/>
      <c r="R552" s="136"/>
      <c r="S552" s="136"/>
      <c r="T552" s="136"/>
    </row>
    <row r="553" spans="1:20">
      <c r="A553" s="6"/>
      <c r="B553" s="136"/>
      <c r="C553" s="136"/>
      <c r="D553" s="136"/>
      <c r="E553" s="136"/>
      <c r="F553" s="136"/>
      <c r="G553" s="136"/>
      <c r="H553" s="145"/>
      <c r="I553" s="136"/>
      <c r="J553" s="104"/>
      <c r="K553" s="136"/>
      <c r="L553" s="145"/>
      <c r="M553" s="136"/>
      <c r="N553" s="145"/>
      <c r="O553" s="136"/>
      <c r="P553" s="136"/>
      <c r="Q553" s="136"/>
      <c r="R553" s="136"/>
      <c r="S553" s="136"/>
      <c r="T553" s="136"/>
    </row>
    <row r="554" spans="1:20">
      <c r="A554" s="6"/>
      <c r="B554" s="136"/>
      <c r="C554" s="136"/>
      <c r="D554" s="136"/>
      <c r="E554" s="136"/>
      <c r="F554" s="136"/>
      <c r="G554" s="136"/>
      <c r="H554" s="145"/>
      <c r="I554" s="136"/>
      <c r="J554" s="104"/>
      <c r="K554" s="136"/>
      <c r="L554" s="145"/>
      <c r="M554" s="136"/>
      <c r="N554" s="145"/>
      <c r="O554" s="136"/>
      <c r="P554" s="136"/>
      <c r="Q554" s="136"/>
      <c r="R554" s="136"/>
      <c r="S554" s="136"/>
      <c r="T554" s="136"/>
    </row>
    <row r="555" spans="1:20">
      <c r="A555" s="6"/>
      <c r="B555" s="136"/>
      <c r="C555" s="136"/>
      <c r="D555" s="136"/>
      <c r="E555" s="136"/>
      <c r="F555" s="136"/>
      <c r="G555" s="136"/>
      <c r="H555" s="145"/>
      <c r="I555" s="136"/>
      <c r="J555" s="104"/>
      <c r="K555" s="136"/>
      <c r="L555" s="145"/>
      <c r="M555" s="136"/>
      <c r="N555" s="145"/>
      <c r="O555" s="136"/>
      <c r="P555" s="136"/>
      <c r="Q555" s="136"/>
      <c r="R555" s="136"/>
      <c r="S555" s="136"/>
      <c r="T555" s="136"/>
    </row>
    <row r="556" spans="1:20">
      <c r="A556" s="6"/>
      <c r="B556" s="136"/>
      <c r="C556" s="136"/>
      <c r="D556" s="136"/>
      <c r="E556" s="136"/>
      <c r="F556" s="136"/>
      <c r="G556" s="136"/>
      <c r="H556" s="145"/>
      <c r="I556" s="136"/>
      <c r="J556" s="104"/>
      <c r="K556" s="136"/>
      <c r="L556" s="145"/>
      <c r="M556" s="136"/>
      <c r="N556" s="145"/>
      <c r="O556" s="136"/>
      <c r="P556" s="136"/>
      <c r="Q556" s="136"/>
      <c r="R556" s="136"/>
      <c r="S556" s="136"/>
      <c r="T556" s="136"/>
    </row>
    <row r="557" spans="1:20">
      <c r="A557" s="6"/>
      <c r="B557" s="136"/>
      <c r="C557" s="136"/>
      <c r="D557" s="136"/>
      <c r="E557" s="136"/>
      <c r="F557" s="136"/>
      <c r="G557" s="136"/>
      <c r="H557" s="145"/>
      <c r="I557" s="136"/>
      <c r="J557" s="104"/>
      <c r="K557" s="136"/>
      <c r="L557" s="145"/>
      <c r="M557" s="136"/>
      <c r="N557" s="145"/>
      <c r="O557" s="136"/>
      <c r="P557" s="136"/>
      <c r="Q557" s="136"/>
      <c r="R557" s="136"/>
      <c r="S557" s="136"/>
      <c r="T557" s="136"/>
    </row>
    <row r="558" spans="1:20">
      <c r="A558" s="6"/>
      <c r="B558" s="136"/>
      <c r="C558" s="136"/>
      <c r="D558" s="136"/>
      <c r="E558" s="136"/>
      <c r="F558" s="136"/>
      <c r="G558" s="136"/>
      <c r="H558" s="145"/>
      <c r="I558" s="136"/>
      <c r="J558" s="104"/>
      <c r="K558" s="136"/>
      <c r="L558" s="145"/>
      <c r="M558" s="136"/>
      <c r="N558" s="145"/>
      <c r="O558" s="136"/>
      <c r="P558" s="136"/>
      <c r="Q558" s="136"/>
      <c r="R558" s="136"/>
      <c r="S558" s="136"/>
      <c r="T558" s="136"/>
    </row>
    <row r="559" spans="1:20">
      <c r="A559" s="6"/>
      <c r="B559" s="136"/>
      <c r="C559" s="136"/>
      <c r="D559" s="136"/>
      <c r="E559" s="136"/>
      <c r="F559" s="136"/>
      <c r="G559" s="136"/>
      <c r="H559" s="145"/>
      <c r="I559" s="136"/>
      <c r="J559" s="104"/>
      <c r="K559" s="136"/>
      <c r="L559" s="145"/>
      <c r="M559" s="136"/>
      <c r="N559" s="145"/>
      <c r="O559" s="136"/>
      <c r="P559" s="136"/>
      <c r="Q559" s="136"/>
      <c r="R559" s="136"/>
      <c r="S559" s="136"/>
      <c r="T559" s="136"/>
    </row>
    <row r="560" spans="1:20">
      <c r="A560" s="6"/>
      <c r="B560" s="136"/>
      <c r="C560" s="136"/>
      <c r="D560" s="136"/>
      <c r="E560" s="136"/>
      <c r="F560" s="136"/>
      <c r="G560" s="136"/>
      <c r="H560" s="145"/>
      <c r="I560" s="136"/>
      <c r="J560" s="104"/>
      <c r="K560" s="136"/>
      <c r="L560" s="145"/>
      <c r="M560" s="136"/>
      <c r="N560" s="145"/>
      <c r="O560" s="136"/>
      <c r="P560" s="136"/>
      <c r="Q560" s="136"/>
      <c r="R560" s="136"/>
      <c r="S560" s="136"/>
      <c r="T560" s="136"/>
    </row>
    <row r="561" spans="1:20">
      <c r="A561" s="6"/>
      <c r="B561" s="136"/>
      <c r="C561" s="136"/>
      <c r="D561" s="136"/>
      <c r="E561" s="136"/>
      <c r="F561" s="136"/>
      <c r="G561" s="136"/>
      <c r="H561" s="145"/>
      <c r="I561" s="136"/>
      <c r="J561" s="104"/>
      <c r="K561" s="136"/>
      <c r="L561" s="145"/>
      <c r="M561" s="136"/>
      <c r="N561" s="145"/>
      <c r="O561" s="136"/>
      <c r="P561" s="136"/>
      <c r="Q561" s="136"/>
      <c r="R561" s="136"/>
      <c r="S561" s="136"/>
      <c r="T561" s="136"/>
    </row>
    <row r="562" spans="1:20">
      <c r="A562" s="6"/>
      <c r="B562" s="136"/>
      <c r="C562" s="136"/>
      <c r="D562" s="136"/>
      <c r="E562" s="136"/>
      <c r="F562" s="136"/>
      <c r="G562" s="136"/>
      <c r="H562" s="145"/>
      <c r="I562" s="136"/>
      <c r="J562" s="104"/>
      <c r="K562" s="136"/>
      <c r="L562" s="145"/>
      <c r="M562" s="136"/>
      <c r="N562" s="145"/>
      <c r="O562" s="136"/>
      <c r="P562" s="136"/>
      <c r="Q562" s="136"/>
      <c r="R562" s="136"/>
      <c r="S562" s="136"/>
      <c r="T562" s="136"/>
    </row>
    <row r="563" spans="1:20">
      <c r="A563" s="6"/>
      <c r="B563" s="136"/>
      <c r="C563" s="136"/>
      <c r="D563" s="136"/>
      <c r="E563" s="136"/>
      <c r="F563" s="136"/>
      <c r="G563" s="136"/>
      <c r="H563" s="145"/>
      <c r="I563" s="136"/>
      <c r="J563" s="104"/>
      <c r="K563" s="136"/>
      <c r="L563" s="145"/>
      <c r="M563" s="136"/>
      <c r="N563" s="145"/>
      <c r="O563" s="136"/>
      <c r="P563" s="136"/>
      <c r="Q563" s="136"/>
      <c r="R563" s="136"/>
      <c r="S563" s="136"/>
      <c r="T563" s="136"/>
    </row>
    <row r="564" spans="1:20">
      <c r="A564" s="6"/>
      <c r="H564" s="277"/>
      <c r="I564" s="277"/>
      <c r="J564" s="277"/>
      <c r="T564" s="136"/>
    </row>
    <row r="565" spans="1:20">
      <c r="A565" s="6"/>
      <c r="H565" s="277"/>
      <c r="I565" s="277"/>
      <c r="J565" s="277"/>
      <c r="T565" s="136"/>
    </row>
    <row r="566" spans="1:20">
      <c r="A566" s="6"/>
      <c r="B566" s="52"/>
      <c r="H566" s="276"/>
      <c r="I566" s="122"/>
      <c r="J566" s="51"/>
      <c r="T566" s="136"/>
    </row>
    <row r="567" spans="1:20">
      <c r="A567" s="6"/>
      <c r="B567" s="52"/>
      <c r="H567" s="276"/>
      <c r="I567" s="122"/>
      <c r="J567" s="51"/>
      <c r="T567" s="136"/>
    </row>
    <row r="568" spans="1:20">
      <c r="A568" s="6"/>
      <c r="B568" s="52"/>
      <c r="H568" s="276"/>
      <c r="I568" s="122"/>
      <c r="J568" s="51"/>
      <c r="T568" s="136"/>
    </row>
    <row r="569" spans="1:20">
      <c r="A569" s="6"/>
      <c r="B569" s="52"/>
      <c r="H569" s="276"/>
      <c r="I569" s="122"/>
      <c r="J569" s="51"/>
      <c r="T569" s="136"/>
    </row>
    <row r="570" spans="1:20">
      <c r="A570" s="1163"/>
      <c r="B570" s="1163"/>
      <c r="C570" s="1163"/>
      <c r="D570" s="1206"/>
      <c r="E570" s="1206"/>
      <c r="F570" s="1206"/>
      <c r="G570" s="1206"/>
      <c r="H570" s="1206"/>
      <c r="I570" s="1206"/>
      <c r="J570" s="1206"/>
      <c r="K570" s="1206"/>
      <c r="L570" s="1206"/>
      <c r="M570" s="1206"/>
      <c r="N570" s="1206"/>
      <c r="O570" s="1206"/>
      <c r="P570" s="1206"/>
      <c r="T570" s="136"/>
    </row>
    <row r="571" spans="1:20">
      <c r="A571" s="1163" t="s">
        <v>543</v>
      </c>
      <c r="B571" s="1163"/>
      <c r="C571" s="1163"/>
      <c r="D571" s="1206"/>
      <c r="E571" s="1206"/>
      <c r="F571" s="1206"/>
      <c r="G571" s="1206"/>
      <c r="H571" s="1206"/>
      <c r="I571" s="1206"/>
      <c r="J571" s="1206"/>
      <c r="K571" s="1206"/>
      <c r="L571" s="1206"/>
      <c r="M571" s="1206"/>
      <c r="N571" s="1206"/>
      <c r="O571" s="1206"/>
      <c r="P571" s="1206"/>
      <c r="T571" s="136"/>
    </row>
    <row r="572" spans="1:20">
      <c r="A572" s="1162" t="s">
        <v>624</v>
      </c>
      <c r="B572" s="1206"/>
      <c r="C572" s="1206"/>
      <c r="D572" s="1206"/>
      <c r="E572" s="1206"/>
      <c r="F572" s="1206"/>
      <c r="G572" s="1206"/>
      <c r="H572" s="1206"/>
      <c r="I572" s="1206"/>
      <c r="J572" s="1206"/>
      <c r="K572" s="1206"/>
      <c r="L572" s="1206"/>
      <c r="M572" s="1206"/>
      <c r="N572" s="1206"/>
      <c r="O572" s="1206"/>
      <c r="P572" s="1206"/>
      <c r="T572" s="136"/>
    </row>
    <row r="573" spans="1:20">
      <c r="A573" s="6"/>
      <c r="B573" s="52"/>
      <c r="T573" s="136"/>
    </row>
    <row r="574" spans="1:20" ht="12.75" customHeight="1">
      <c r="A574" s="6"/>
      <c r="G574" s="55"/>
      <c r="H574" s="2"/>
      <c r="I574" s="2"/>
      <c r="J574" s="2"/>
      <c r="K574" s="2"/>
      <c r="L574" s="2"/>
      <c r="M574" s="2"/>
      <c r="N574" s="1160" t="s">
        <v>514</v>
      </c>
      <c r="O574" s="1160"/>
      <c r="P574" s="1160"/>
      <c r="T574" s="136"/>
    </row>
    <row r="575" spans="1:20">
      <c r="A575" s="6"/>
      <c r="G575" s="282"/>
      <c r="H575" s="6"/>
      <c r="I575" s="57"/>
      <c r="J575" s="1164" t="s">
        <v>515</v>
      </c>
      <c r="K575" s="1164"/>
      <c r="L575" s="1164"/>
      <c r="N575" s="1161"/>
      <c r="O575" s="1161"/>
      <c r="P575" s="1161"/>
      <c r="T575" s="136"/>
    </row>
    <row r="576" spans="1:20">
      <c r="A576" s="6" t="s">
        <v>56</v>
      </c>
      <c r="C576" s="52"/>
      <c r="F576" s="55"/>
      <c r="G576" s="51"/>
      <c r="H576" s="6" t="s">
        <v>93</v>
      </c>
      <c r="I576" s="57"/>
      <c r="J576" s="1" t="s">
        <v>516</v>
      </c>
      <c r="K576" s="4"/>
      <c r="L576" s="6" t="s">
        <v>102</v>
      </c>
      <c r="N576" s="17"/>
      <c r="O576" s="17"/>
      <c r="P576" s="17"/>
      <c r="T576" s="136"/>
    </row>
    <row r="577" spans="1:20">
      <c r="A577" s="53" t="s">
        <v>57</v>
      </c>
      <c r="B577" s="55"/>
      <c r="C577" s="56"/>
      <c r="D577" s="54" t="s">
        <v>194</v>
      </c>
      <c r="F577" s="271" t="s">
        <v>245</v>
      </c>
      <c r="G577" s="55"/>
      <c r="H577" s="356" t="s">
        <v>235</v>
      </c>
      <c r="I577" s="17"/>
      <c r="J577" s="237" t="s">
        <v>517</v>
      </c>
      <c r="L577" s="356" t="s">
        <v>518</v>
      </c>
      <c r="N577" s="7" t="s">
        <v>6</v>
      </c>
      <c r="O577" s="1"/>
      <c r="P577" s="7" t="s">
        <v>519</v>
      </c>
      <c r="T577" s="136"/>
    </row>
    <row r="578" spans="1:20" ht="13.5" customHeight="1">
      <c r="A578" s="6"/>
      <c r="F578" s="283"/>
      <c r="G578" s="55"/>
      <c r="H578" s="6" t="s">
        <v>520</v>
      </c>
      <c r="I578" s="6"/>
      <c r="J578" s="123" t="s">
        <v>521</v>
      </c>
      <c r="L578" s="6" t="s">
        <v>522</v>
      </c>
      <c r="N578" s="8" t="s">
        <v>12</v>
      </c>
      <c r="O578" s="1"/>
      <c r="P578" s="8" t="s">
        <v>13</v>
      </c>
      <c r="Q578" s="136"/>
      <c r="R578" s="136"/>
      <c r="S578" s="136"/>
      <c r="T578" s="136"/>
    </row>
    <row r="579" spans="1:20" ht="12.75" customHeight="1">
      <c r="A579" s="143"/>
      <c r="B579" s="143"/>
      <c r="C579" s="143"/>
      <c r="D579" s="299" t="s">
        <v>158</v>
      </c>
      <c r="E579" s="143"/>
      <c r="F579" s="143"/>
      <c r="G579" s="143"/>
      <c r="H579" s="143"/>
      <c r="I579" s="143"/>
      <c r="J579" s="143"/>
      <c r="K579" s="143"/>
      <c r="L579" s="143"/>
      <c r="M579" s="143"/>
      <c r="N579" s="143"/>
      <c r="O579" s="143"/>
      <c r="P579" s="143"/>
    </row>
    <row r="580" spans="1:20" ht="12.75" customHeight="1">
      <c r="A580" s="6">
        <f>MAX(A$245:A579)+1</f>
        <v>230</v>
      </c>
      <c r="B580" s="143"/>
      <c r="C580" s="143"/>
      <c r="D580" s="143" t="s">
        <v>625</v>
      </c>
      <c r="E580" s="143"/>
      <c r="F580" s="269" t="s">
        <v>582</v>
      </c>
      <c r="G580" s="143"/>
      <c r="H580" s="246">
        <v>0.15459999999999999</v>
      </c>
      <c r="I580" s="246"/>
      <c r="J580" s="246">
        <f>ROUND(L580,3)-ROUND(H580,3)</f>
        <v>4.0000000000000036E-3</v>
      </c>
      <c r="K580" s="246"/>
      <c r="L580" s="246">
        <v>0.159</v>
      </c>
      <c r="M580" s="246"/>
      <c r="N580" s="246">
        <v>0.159</v>
      </c>
      <c r="O580" s="245"/>
      <c r="P580" s="275">
        <v>0</v>
      </c>
    </row>
    <row r="581" spans="1:20" ht="12.75" customHeight="1">
      <c r="A581" s="6">
        <f>MAX(A$245:A580)+1</f>
        <v>231</v>
      </c>
      <c r="B581" s="143"/>
      <c r="C581" s="143"/>
      <c r="D581" s="143" t="s">
        <v>626</v>
      </c>
      <c r="E581" s="143"/>
      <c r="F581" s="1" t="s">
        <v>584</v>
      </c>
      <c r="G581" s="143"/>
      <c r="H581" s="246">
        <v>5.8999999999999999E-3</v>
      </c>
      <c r="I581" s="246"/>
      <c r="J581" s="246">
        <f>ROUND(L581,3)-ROUND(H581,3)</f>
        <v>0</v>
      </c>
      <c r="K581" s="246"/>
      <c r="L581" s="246">
        <v>6.2728767123287664E-3</v>
      </c>
      <c r="M581" s="246"/>
      <c r="N581" s="246">
        <v>6.2728767123287664E-3</v>
      </c>
      <c r="O581" s="246"/>
      <c r="P581" s="275">
        <v>0</v>
      </c>
    </row>
    <row r="582" spans="1:20" ht="12.75" customHeight="1">
      <c r="A582" s="143"/>
      <c r="B582" s="143"/>
      <c r="C582" s="143"/>
      <c r="D582" s="143"/>
      <c r="E582" s="143"/>
      <c r="F582" s="143"/>
      <c r="G582" s="143"/>
      <c r="H582" s="102"/>
      <c r="I582" s="102"/>
      <c r="J582" s="102"/>
      <c r="K582" s="102"/>
      <c r="L582" s="102"/>
      <c r="M582" s="102"/>
      <c r="N582" s="102"/>
      <c r="O582" s="102"/>
      <c r="P582" s="275"/>
    </row>
    <row r="583" spans="1:20" ht="12.75" customHeight="1">
      <c r="A583" s="143"/>
      <c r="B583" s="143"/>
      <c r="C583" s="143"/>
      <c r="D583" s="299" t="s">
        <v>159</v>
      </c>
      <c r="E583" s="143"/>
      <c r="F583" s="143"/>
      <c r="G583" s="143"/>
      <c r="H583" s="102"/>
      <c r="I583" s="102"/>
      <c r="J583" s="102"/>
      <c r="K583" s="102"/>
      <c r="L583" s="102"/>
      <c r="M583" s="102"/>
      <c r="N583" s="102"/>
      <c r="O583" s="102"/>
      <c r="P583" s="275"/>
    </row>
    <row r="584" spans="1:20" ht="12.75" customHeight="1">
      <c r="A584" s="6">
        <f>MAX(A$245:A583)+1</f>
        <v>232</v>
      </c>
      <c r="B584" s="143"/>
      <c r="C584" s="143"/>
      <c r="D584" s="143" t="s">
        <v>627</v>
      </c>
      <c r="E584" s="143"/>
      <c r="F584" s="269" t="s">
        <v>582</v>
      </c>
      <c r="G584" s="143"/>
      <c r="H584" s="246">
        <v>1.3209</v>
      </c>
      <c r="I584" s="246"/>
      <c r="J584" s="246">
        <f>ROUND(L584,3)-ROUND(H584,3)</f>
        <v>3.6000000000000032E-2</v>
      </c>
      <c r="K584" s="246"/>
      <c r="L584" s="246">
        <v>1.357</v>
      </c>
      <c r="M584" s="246"/>
      <c r="N584" s="246">
        <v>1.357</v>
      </c>
      <c r="O584" s="246"/>
      <c r="P584" s="275">
        <v>0</v>
      </c>
    </row>
    <row r="585" spans="1:20" ht="12.75" customHeight="1">
      <c r="A585" s="6">
        <f>MAX(A$245:A584)+1</f>
        <v>233</v>
      </c>
      <c r="B585" s="143"/>
      <c r="C585" s="143"/>
      <c r="D585" s="143" t="s">
        <v>628</v>
      </c>
      <c r="E585" s="143"/>
      <c r="F585" s="421" t="s">
        <v>584</v>
      </c>
      <c r="G585" s="143"/>
      <c r="H585" s="246">
        <f>ROUND(H584*12/365*1.2,4)</f>
        <v>5.21E-2</v>
      </c>
      <c r="I585" s="246"/>
      <c r="J585" s="246">
        <f>ROUND(L585,3)-ROUND(H585,3)</f>
        <v>2.0000000000000018E-3</v>
      </c>
      <c r="K585" s="246"/>
      <c r="L585" s="246">
        <f>ROUND(L584*12/365*1.2,4)</f>
        <v>5.3499999999999999E-2</v>
      </c>
      <c r="M585" s="246"/>
      <c r="N585" s="246">
        <f>L585</f>
        <v>5.3499999999999999E-2</v>
      </c>
      <c r="O585" s="246"/>
      <c r="P585" s="275"/>
    </row>
    <row r="586" spans="1:20" ht="12.75" customHeight="1">
      <c r="A586" s="143"/>
      <c r="B586" s="143"/>
      <c r="C586" s="143"/>
      <c r="D586" s="143"/>
      <c r="E586" s="143"/>
      <c r="F586" s="143"/>
      <c r="G586" s="143"/>
      <c r="H586" s="102"/>
      <c r="I586" s="102"/>
      <c r="J586" s="102"/>
      <c r="K586" s="102"/>
      <c r="L586" s="102"/>
      <c r="M586" s="102"/>
      <c r="N586" s="102"/>
      <c r="O586" s="102"/>
      <c r="P586" s="275"/>
    </row>
    <row r="587" spans="1:20" ht="13.35" customHeight="1">
      <c r="A587" s="143"/>
      <c r="B587" s="143"/>
      <c r="C587" s="143"/>
      <c r="D587" s="299" t="s">
        <v>629</v>
      </c>
      <c r="E587" s="143"/>
      <c r="F587" s="143"/>
      <c r="G587" s="143"/>
      <c r="H587" s="102"/>
      <c r="I587" s="102"/>
      <c r="J587" s="102"/>
      <c r="K587" s="102"/>
      <c r="L587" s="102"/>
      <c r="M587" s="102"/>
      <c r="N587" s="102"/>
      <c r="O587" s="102"/>
      <c r="P587" s="275"/>
      <c r="Q587" s="136"/>
      <c r="R587" s="136"/>
      <c r="S587" s="136"/>
      <c r="T587" s="136"/>
    </row>
    <row r="588" spans="1:20">
      <c r="A588" s="6"/>
      <c r="B588" s="143"/>
      <c r="C588" s="143"/>
      <c r="D588" s="143" t="s">
        <v>630</v>
      </c>
      <c r="E588" s="143"/>
      <c r="F588" s="143"/>
      <c r="G588" s="143"/>
      <c r="H588" s="102"/>
      <c r="I588" s="102"/>
      <c r="J588" s="102"/>
      <c r="K588" s="102"/>
      <c r="L588" s="102"/>
      <c r="M588" s="102"/>
      <c r="N588" s="102"/>
      <c r="O588" s="102"/>
      <c r="P588" s="275"/>
      <c r="Q588" s="136"/>
      <c r="R588" s="136"/>
      <c r="S588" s="136"/>
      <c r="T588" s="136"/>
    </row>
    <row r="589" spans="1:20">
      <c r="A589" s="6">
        <f>MAX(A$245:A588)+1</f>
        <v>234</v>
      </c>
      <c r="B589" s="143"/>
      <c r="C589" s="143"/>
      <c r="D589" s="417" t="s">
        <v>631</v>
      </c>
      <c r="E589" s="143"/>
      <c r="F589" s="269" t="s">
        <v>582</v>
      </c>
      <c r="G589" s="143"/>
      <c r="H589" s="246">
        <v>3.76</v>
      </c>
      <c r="I589" s="246"/>
      <c r="J589" s="246">
        <f>ROUND(L589,3)-ROUND(H589,3)</f>
        <v>0.10500000000000043</v>
      </c>
      <c r="K589" s="246"/>
      <c r="L589" s="246">
        <v>3.8652802617621886</v>
      </c>
      <c r="M589" s="246"/>
      <c r="N589" s="246">
        <v>3.8652802617621886</v>
      </c>
      <c r="O589" s="246"/>
      <c r="P589" s="275">
        <v>0</v>
      </c>
      <c r="Q589" s="136"/>
      <c r="R589" s="136"/>
      <c r="S589" s="136"/>
      <c r="T589" s="136"/>
    </row>
    <row r="590" spans="1:20">
      <c r="A590" s="6">
        <f>MAX(A$245:A589)+1</f>
        <v>235</v>
      </c>
      <c r="B590" s="143"/>
      <c r="C590" s="143"/>
      <c r="D590" s="417" t="s">
        <v>410</v>
      </c>
      <c r="E590" s="143"/>
      <c r="F590" s="269" t="s">
        <v>582</v>
      </c>
      <c r="G590" s="143"/>
      <c r="H590" s="246">
        <v>3.19</v>
      </c>
      <c r="I590" s="246"/>
      <c r="J590" s="246">
        <f>ROUND(L590,3)-ROUND(H590,3)</f>
        <v>9.2000000000000082E-2</v>
      </c>
      <c r="K590" s="246"/>
      <c r="L590" s="246">
        <v>3.2818224905865945</v>
      </c>
      <c r="M590" s="246"/>
      <c r="N590" s="246">
        <v>3.2818224905865945</v>
      </c>
      <c r="O590" s="246"/>
      <c r="P590" s="275">
        <v>0</v>
      </c>
    </row>
    <row r="591" spans="1:20">
      <c r="A591" s="6">
        <f>MAX(A$245:A590)+1</f>
        <v>236</v>
      </c>
      <c r="B591" s="143"/>
      <c r="C591" s="143"/>
      <c r="D591" s="417" t="s">
        <v>411</v>
      </c>
      <c r="E591" s="143"/>
      <c r="F591" s="269" t="s">
        <v>582</v>
      </c>
      <c r="G591" s="143"/>
      <c r="H591" s="246">
        <v>0.56999999999999995</v>
      </c>
      <c r="I591" s="246"/>
      <c r="J591" s="246">
        <f t="shared" ref="J591:J593" si="38">ROUND(L591,3)-ROUND(H591,3)</f>
        <v>1.3000000000000012E-2</v>
      </c>
      <c r="K591" s="246"/>
      <c r="L591" s="246">
        <v>0.58345777117559416</v>
      </c>
      <c r="M591" s="246"/>
      <c r="N591" s="246">
        <v>0.58345777117559416</v>
      </c>
      <c r="O591" s="246"/>
      <c r="P591" s="275">
        <v>0</v>
      </c>
      <c r="Q591" s="136"/>
      <c r="R591" s="136"/>
      <c r="S591" s="136"/>
      <c r="T591" s="136"/>
    </row>
    <row r="592" spans="1:20">
      <c r="A592" s="6">
        <f>MAX(A$245:A591)+1</f>
        <v>237</v>
      </c>
      <c r="B592" s="143"/>
      <c r="C592" s="143"/>
      <c r="D592" s="417" t="s">
        <v>632</v>
      </c>
      <c r="E592" s="143"/>
      <c r="F592" s="269" t="s">
        <v>582</v>
      </c>
      <c r="G592" s="143"/>
      <c r="H592" s="246">
        <v>4.6479999999999997</v>
      </c>
      <c r="I592" s="246"/>
      <c r="J592" s="246">
        <f t="shared" si="38"/>
        <v>0.12600000000000033</v>
      </c>
      <c r="K592" s="246"/>
      <c r="L592" s="246">
        <v>4.7740557677334614</v>
      </c>
      <c r="M592" s="246"/>
      <c r="N592" s="246">
        <v>4.7740557677334614</v>
      </c>
      <c r="O592" s="246"/>
      <c r="P592" s="275">
        <v>0</v>
      </c>
      <c r="Q592" s="136"/>
      <c r="R592" s="136"/>
      <c r="S592" s="136"/>
      <c r="T592" s="136"/>
    </row>
    <row r="593" spans="1:20">
      <c r="A593" s="6">
        <f>MAX(A$245:A592)+1</f>
        <v>238</v>
      </c>
      <c r="B593" s="143"/>
      <c r="C593" s="143"/>
      <c r="D593" s="417" t="s">
        <v>633</v>
      </c>
      <c r="E593" s="143"/>
      <c r="F593" s="269" t="s">
        <v>582</v>
      </c>
      <c r="G593" s="143"/>
      <c r="H593" s="246">
        <v>7.6999999999999999E-2</v>
      </c>
      <c r="I593" s="246"/>
      <c r="J593" s="246">
        <f t="shared" si="38"/>
        <v>2.0000000000000018E-3</v>
      </c>
      <c r="K593" s="246"/>
      <c r="L593" s="246">
        <v>7.9104047063543154E-2</v>
      </c>
      <c r="M593" s="246"/>
      <c r="N593" s="246">
        <v>7.9104047063543154E-2</v>
      </c>
      <c r="O593" s="246"/>
      <c r="P593" s="275">
        <v>0</v>
      </c>
      <c r="Q593" s="136"/>
      <c r="R593" s="136"/>
      <c r="S593" s="136"/>
      <c r="T593" s="136"/>
    </row>
    <row r="594" spans="1:20">
      <c r="A594" s="143"/>
      <c r="B594" s="143"/>
      <c r="C594" s="143"/>
      <c r="D594" s="143"/>
      <c r="E594" s="143"/>
      <c r="F594" s="143"/>
      <c r="G594" s="143"/>
      <c r="H594" s="102"/>
      <c r="I594" s="102"/>
      <c r="J594" s="102"/>
      <c r="K594" s="102"/>
      <c r="L594" s="102"/>
      <c r="M594" s="102"/>
      <c r="N594" s="102"/>
      <c r="O594" s="102"/>
      <c r="P594" s="102"/>
      <c r="Q594" s="136"/>
      <c r="R594" s="136"/>
      <c r="S594" s="136"/>
      <c r="T594" s="136"/>
    </row>
    <row r="595" spans="1:20">
      <c r="A595" s="6"/>
      <c r="B595" s="143"/>
      <c r="C595" s="143"/>
      <c r="D595" s="143" t="s">
        <v>634</v>
      </c>
      <c r="E595" s="143"/>
      <c r="F595" s="143"/>
      <c r="G595" s="143"/>
      <c r="H595" s="143"/>
      <c r="I595" s="143"/>
      <c r="J595" s="143"/>
      <c r="K595" s="143"/>
      <c r="L595" s="143"/>
      <c r="M595" s="143"/>
      <c r="N595" s="143"/>
      <c r="O595" s="143"/>
      <c r="P595" s="143"/>
      <c r="Q595" s="136"/>
      <c r="R595" s="136"/>
      <c r="S595" s="136"/>
      <c r="T595" s="136"/>
    </row>
    <row r="596" spans="1:20">
      <c r="A596" s="6">
        <f>MAX(A$245:A595)+1</f>
        <v>239</v>
      </c>
      <c r="B596" s="143"/>
      <c r="C596" s="143"/>
      <c r="D596" s="143" t="s">
        <v>635</v>
      </c>
      <c r="E596" s="143"/>
      <c r="F596" s="1" t="s">
        <v>584</v>
      </c>
      <c r="G596" s="143"/>
      <c r="H596" s="247" t="s">
        <v>636</v>
      </c>
      <c r="I596" s="267" t="s">
        <v>28</v>
      </c>
      <c r="J596" s="275">
        <v>0</v>
      </c>
      <c r="K596" s="247"/>
      <c r="L596" s="247" t="s">
        <v>637</v>
      </c>
      <c r="M596" s="267" t="s">
        <v>28</v>
      </c>
      <c r="N596" s="275">
        <v>0</v>
      </c>
      <c r="O596" s="247"/>
      <c r="P596" s="247" t="s">
        <v>638</v>
      </c>
      <c r="Q596" s="267" t="s">
        <v>28</v>
      </c>
      <c r="R596" s="136"/>
      <c r="S596" s="136"/>
      <c r="T596" s="136"/>
    </row>
    <row r="597" spans="1:20">
      <c r="A597" s="6">
        <f>MAX(A$245:A596)+1</f>
        <v>240</v>
      </c>
      <c r="B597" s="143"/>
      <c r="C597" s="143"/>
      <c r="D597" s="143" t="s">
        <v>433</v>
      </c>
      <c r="E597" s="143"/>
      <c r="F597" s="1" t="s">
        <v>584</v>
      </c>
      <c r="G597" s="143"/>
      <c r="H597" s="247" t="s">
        <v>636</v>
      </c>
      <c r="I597" s="267" t="s">
        <v>28</v>
      </c>
      <c r="J597" s="275">
        <v>0</v>
      </c>
      <c r="K597" s="247"/>
      <c r="L597" s="247" t="s">
        <v>636</v>
      </c>
      <c r="M597" s="267" t="s">
        <v>28</v>
      </c>
      <c r="N597" s="275">
        <v>0</v>
      </c>
      <c r="O597" s="247"/>
      <c r="P597" s="247" t="s">
        <v>638</v>
      </c>
      <c r="Q597" s="267" t="s">
        <v>28</v>
      </c>
      <c r="R597" s="136"/>
      <c r="S597" s="136"/>
      <c r="T597" s="136"/>
    </row>
    <row r="598" spans="1:20">
      <c r="A598" s="143"/>
      <c r="B598" s="143"/>
      <c r="C598" s="143"/>
      <c r="D598" s="143"/>
      <c r="E598" s="143"/>
      <c r="F598" s="143"/>
      <c r="G598" s="143"/>
      <c r="H598" s="143"/>
      <c r="I598" s="143"/>
      <c r="J598" s="143"/>
      <c r="K598" s="143"/>
      <c r="L598" s="143"/>
      <c r="M598" s="143"/>
      <c r="N598" s="143"/>
      <c r="O598" s="143"/>
      <c r="P598" s="143"/>
      <c r="Q598" s="136"/>
      <c r="R598" s="136"/>
      <c r="S598" s="136"/>
      <c r="T598" s="136"/>
    </row>
    <row r="599" spans="1:20">
      <c r="A599" s="6"/>
      <c r="B599" s="143"/>
      <c r="C599" s="143"/>
      <c r="D599" s="143" t="s">
        <v>639</v>
      </c>
      <c r="E599" s="143"/>
      <c r="F599" s="143"/>
      <c r="G599" s="143"/>
      <c r="H599" s="143"/>
      <c r="I599" s="143"/>
      <c r="J599" s="143"/>
      <c r="K599" s="143"/>
      <c r="L599" s="143"/>
      <c r="M599" s="143"/>
      <c r="N599" s="143"/>
      <c r="O599" s="143"/>
      <c r="P599" s="143"/>
      <c r="Q599" s="136"/>
      <c r="R599" s="136"/>
      <c r="S599" s="136"/>
      <c r="T599" s="136"/>
    </row>
    <row r="600" spans="1:20">
      <c r="A600" s="6">
        <f>MAX(A$245:A599)+1</f>
        <v>241</v>
      </c>
      <c r="B600" s="143"/>
      <c r="C600" s="143"/>
      <c r="D600" s="143" t="s">
        <v>640</v>
      </c>
      <c r="E600" s="143"/>
      <c r="F600" s="269" t="s">
        <v>582</v>
      </c>
      <c r="G600" s="143"/>
      <c r="H600" s="246">
        <v>9.0239999999999991</v>
      </c>
      <c r="I600" s="143"/>
      <c r="J600" s="246">
        <f t="shared" ref="J600" si="39">ROUND(L600,3)-ROUND(H600,3)</f>
        <v>0.25300000000000011</v>
      </c>
      <c r="K600" s="143"/>
      <c r="L600" s="246">
        <f>L589*12/5</f>
        <v>9.2766726282292531</v>
      </c>
      <c r="M600" s="143"/>
      <c r="N600" s="246">
        <f>L600</f>
        <v>9.2766726282292531</v>
      </c>
      <c r="O600" s="143"/>
      <c r="P600" s="275">
        <v>0</v>
      </c>
      <c r="Q600" s="136"/>
      <c r="R600" s="136"/>
      <c r="S600" s="136"/>
      <c r="T600" s="136"/>
    </row>
    <row r="601" spans="1:20">
      <c r="A601" s="143"/>
      <c r="B601" s="143"/>
      <c r="C601" s="143"/>
      <c r="D601" s="143"/>
      <c r="E601" s="143"/>
      <c r="F601" s="143"/>
      <c r="G601" s="143"/>
      <c r="H601" s="143"/>
      <c r="I601" s="143"/>
      <c r="J601" s="143"/>
      <c r="K601" s="143"/>
      <c r="L601" s="143"/>
      <c r="M601" s="143"/>
      <c r="N601" s="143"/>
      <c r="O601" s="143"/>
      <c r="P601" s="143"/>
      <c r="Q601" s="136"/>
      <c r="R601" s="136"/>
      <c r="S601" s="136"/>
      <c r="T601" s="136"/>
    </row>
    <row r="602" spans="1:20">
      <c r="A602" s="6"/>
      <c r="B602" s="143"/>
      <c r="C602" s="143"/>
      <c r="D602" s="143" t="s">
        <v>641</v>
      </c>
      <c r="E602" s="143"/>
      <c r="F602" s="143"/>
      <c r="G602" s="143"/>
      <c r="H602" s="143"/>
      <c r="I602" s="143"/>
      <c r="J602" s="143"/>
      <c r="K602" s="143"/>
      <c r="L602" s="143"/>
      <c r="M602" s="143"/>
      <c r="N602" s="143"/>
      <c r="O602" s="143"/>
      <c r="P602" s="143"/>
      <c r="Q602" s="136"/>
      <c r="R602" s="136"/>
      <c r="S602" s="136"/>
      <c r="T602" s="136"/>
    </row>
    <row r="603" spans="1:20">
      <c r="A603" s="6"/>
      <c r="B603" s="143"/>
      <c r="C603" s="143"/>
      <c r="D603" s="417" t="s">
        <v>642</v>
      </c>
      <c r="E603" s="143"/>
      <c r="F603" s="143"/>
      <c r="G603" s="143"/>
      <c r="H603" s="143"/>
      <c r="I603" s="143"/>
      <c r="J603" s="143"/>
      <c r="K603" s="143"/>
      <c r="L603" s="143"/>
      <c r="M603" s="143"/>
      <c r="N603" s="143"/>
      <c r="O603" s="143"/>
      <c r="P603" s="143"/>
      <c r="Q603" s="136"/>
      <c r="R603" s="136"/>
      <c r="S603" s="136"/>
      <c r="T603" s="136"/>
    </row>
    <row r="604" spans="1:20">
      <c r="A604" s="6">
        <f>MAX(A$245:A603)+1</f>
        <v>242</v>
      </c>
      <c r="B604" s="143"/>
      <c r="C604" s="143"/>
      <c r="D604" s="418" t="s">
        <v>631</v>
      </c>
      <c r="E604" s="143"/>
      <c r="F604" s="1" t="s">
        <v>584</v>
      </c>
      <c r="G604" s="143"/>
      <c r="H604" s="246">
        <v>0.124</v>
      </c>
      <c r="I604" s="267" t="s">
        <v>28</v>
      </c>
      <c r="J604" s="246">
        <f>ROUND(L604,3)-ROUND(H604,3)</f>
        <v>3.0000000000000027E-3</v>
      </c>
      <c r="K604" s="246"/>
      <c r="L604" s="246">
        <v>0.12707770723601716</v>
      </c>
      <c r="M604" s="267" t="s">
        <v>28</v>
      </c>
      <c r="N604" s="424">
        <f>L604</f>
        <v>0.12707770723601716</v>
      </c>
      <c r="O604" s="246"/>
      <c r="P604" s="247" t="s">
        <v>637</v>
      </c>
      <c r="Q604" s="267" t="s">
        <v>28</v>
      </c>
      <c r="R604" s="136"/>
      <c r="S604" s="136"/>
      <c r="T604" s="136"/>
    </row>
    <row r="605" spans="1:20">
      <c r="A605" s="6">
        <f>MAX(A$245:A604)+1</f>
        <v>243</v>
      </c>
      <c r="B605" s="143"/>
      <c r="C605" s="143"/>
      <c r="D605" s="418" t="s">
        <v>410</v>
      </c>
      <c r="E605" s="143"/>
      <c r="F605" s="1" t="s">
        <v>584</v>
      </c>
      <c r="G605" s="143"/>
      <c r="H605" s="246">
        <v>0.105</v>
      </c>
      <c r="I605" s="267" t="s">
        <v>28</v>
      </c>
      <c r="J605" s="246">
        <f>ROUND(L605,3)-ROUND(H605,3)</f>
        <v>3.0000000000000027E-3</v>
      </c>
      <c r="K605" s="246"/>
      <c r="L605" s="246">
        <v>0.1078955339370935</v>
      </c>
      <c r="M605" s="267" t="s">
        <v>28</v>
      </c>
      <c r="N605" s="424">
        <f t="shared" ref="N605:N607" si="40">L605</f>
        <v>0.1078955339370935</v>
      </c>
      <c r="O605" s="246"/>
      <c r="P605" s="247" t="s">
        <v>636</v>
      </c>
      <c r="Q605" s="267" t="s">
        <v>28</v>
      </c>
    </row>
    <row r="606" spans="1:20">
      <c r="A606" s="6">
        <f>MAX(A$245:A605)+1</f>
        <v>244</v>
      </c>
      <c r="B606" s="143"/>
      <c r="C606" s="143"/>
      <c r="D606" s="418" t="s">
        <v>411</v>
      </c>
      <c r="E606" s="143"/>
      <c r="F606" s="1" t="s">
        <v>584</v>
      </c>
      <c r="G606" s="143"/>
      <c r="H606" s="246">
        <v>1.9E-2</v>
      </c>
      <c r="I606" s="267" t="s">
        <v>28</v>
      </c>
      <c r="J606" s="246">
        <f t="shared" ref="J606:J607" si="41">ROUND(L606,3)-ROUND(H606,3)</f>
        <v>0</v>
      </c>
      <c r="K606" s="246"/>
      <c r="L606" s="246">
        <v>1.9182173298923643E-2</v>
      </c>
      <c r="M606" s="267" t="s">
        <v>28</v>
      </c>
      <c r="N606" s="424">
        <f t="shared" si="40"/>
        <v>1.9182173298923643E-2</v>
      </c>
      <c r="O606" s="246"/>
      <c r="P606" s="247" t="s">
        <v>636</v>
      </c>
      <c r="Q606" s="267" t="s">
        <v>28</v>
      </c>
      <c r="R606" s="136"/>
      <c r="S606" s="136"/>
      <c r="T606" s="136"/>
    </row>
    <row r="607" spans="1:20">
      <c r="A607" s="6">
        <f>MAX(A$245:A606)+1</f>
        <v>245</v>
      </c>
      <c r="B607" s="143"/>
      <c r="C607" s="143"/>
      <c r="D607" s="418" t="s">
        <v>632</v>
      </c>
      <c r="E607" s="143"/>
      <c r="F607" s="1" t="s">
        <v>584</v>
      </c>
      <c r="G607" s="143"/>
      <c r="H607" s="246">
        <v>0.153</v>
      </c>
      <c r="I607" s="267" t="s">
        <v>28</v>
      </c>
      <c r="J607" s="246">
        <f t="shared" si="41"/>
        <v>4.0000000000000036E-3</v>
      </c>
      <c r="K607" s="246"/>
      <c r="L607" s="246">
        <v>0.15695525811726449</v>
      </c>
      <c r="M607" s="267" t="s">
        <v>28</v>
      </c>
      <c r="N607" s="424">
        <f t="shared" si="40"/>
        <v>0.15695525811726449</v>
      </c>
      <c r="O607" s="246"/>
      <c r="P607" s="247" t="s">
        <v>636</v>
      </c>
      <c r="Q607" s="267" t="s">
        <v>28</v>
      </c>
      <c r="R607" s="136"/>
      <c r="S607" s="136"/>
      <c r="T607" s="136"/>
    </row>
    <row r="608" spans="1:20">
      <c r="A608" s="143"/>
      <c r="B608" s="143"/>
      <c r="C608" s="143"/>
      <c r="D608" s="143"/>
      <c r="E608" s="143"/>
      <c r="F608" s="143"/>
      <c r="G608" s="143"/>
      <c r="H608" s="143"/>
      <c r="I608" s="143"/>
      <c r="J608" s="143"/>
      <c r="K608" s="143"/>
      <c r="L608" s="143"/>
      <c r="M608" s="143"/>
      <c r="N608" s="143"/>
      <c r="O608" s="143"/>
      <c r="P608" s="143"/>
      <c r="Q608" s="136"/>
      <c r="R608" s="136"/>
      <c r="S608" s="136"/>
      <c r="T608" s="136"/>
    </row>
    <row r="609" spans="1:20">
      <c r="A609" s="143"/>
      <c r="B609" s="143"/>
      <c r="C609" s="143"/>
      <c r="D609" s="299" t="s">
        <v>437</v>
      </c>
      <c r="E609" s="143"/>
      <c r="F609" s="143"/>
      <c r="G609" s="143"/>
      <c r="H609" s="143"/>
      <c r="I609" s="143"/>
      <c r="J609" s="143"/>
      <c r="K609" s="143"/>
      <c r="L609" s="143"/>
      <c r="M609" s="143"/>
      <c r="N609" s="143"/>
      <c r="O609" s="143"/>
      <c r="P609" s="143"/>
      <c r="Q609" s="136"/>
      <c r="R609" s="136"/>
      <c r="S609" s="136"/>
      <c r="T609" s="136"/>
    </row>
    <row r="610" spans="1:20">
      <c r="A610" s="6">
        <f>MAX(A$245:A609)+1</f>
        <v>246</v>
      </c>
      <c r="B610" s="143"/>
      <c r="C610" s="143"/>
      <c r="D610" s="274" t="s">
        <v>643</v>
      </c>
      <c r="E610" s="143"/>
      <c r="F610" s="1" t="s">
        <v>523</v>
      </c>
      <c r="G610" s="143"/>
      <c r="H610" s="99">
        <v>1047.53</v>
      </c>
      <c r="I610" s="399"/>
      <c r="J610" s="149">
        <f t="shared" ref="J610:J612" si="42">ROUND(L610,3)-ROUND(H610,3)</f>
        <v>0</v>
      </c>
      <c r="K610" s="399"/>
      <c r="L610" s="99">
        <v>1047.53</v>
      </c>
      <c r="M610" s="399"/>
      <c r="N610" s="99">
        <v>1047.53</v>
      </c>
      <c r="O610" s="143"/>
      <c r="P610" s="149">
        <v>0</v>
      </c>
      <c r="Q610" s="136"/>
      <c r="R610" s="136"/>
      <c r="S610" s="136"/>
      <c r="T610" s="136"/>
    </row>
    <row r="611" spans="1:20">
      <c r="A611" s="6">
        <f>MAX(A$245:A610)+1</f>
        <v>247</v>
      </c>
      <c r="B611" s="143"/>
      <c r="C611" s="143"/>
      <c r="D611" s="274" t="s">
        <v>644</v>
      </c>
      <c r="E611" s="143"/>
      <c r="F611" s="1" t="s">
        <v>584</v>
      </c>
      <c r="G611" s="143"/>
      <c r="H611" s="246">
        <v>3.7999999999999999E-2</v>
      </c>
      <c r="I611" s="246"/>
      <c r="J611" s="246">
        <f t="shared" si="42"/>
        <v>1.0000000000000009E-3</v>
      </c>
      <c r="K611" s="246"/>
      <c r="L611" s="246">
        <v>3.9E-2</v>
      </c>
      <c r="M611" s="246"/>
      <c r="N611" s="246">
        <v>3.9E-2</v>
      </c>
      <c r="O611" s="246"/>
      <c r="P611" s="149">
        <v>0</v>
      </c>
      <c r="Q611" s="136"/>
      <c r="R611" s="136"/>
      <c r="S611" s="136"/>
      <c r="T611" s="136"/>
    </row>
    <row r="612" spans="1:20">
      <c r="A612" s="6">
        <f>MAX(A$245:A611)+1</f>
        <v>248</v>
      </c>
      <c r="B612" s="143"/>
      <c r="C612" s="143"/>
      <c r="D612" s="274" t="s">
        <v>645</v>
      </c>
      <c r="E612" s="143"/>
      <c r="F612" s="1" t="s">
        <v>584</v>
      </c>
      <c r="G612" s="143"/>
      <c r="H612" s="246">
        <v>8.9999999999999993E-3</v>
      </c>
      <c r="I612" s="246"/>
      <c r="J612" s="334">
        <f t="shared" si="42"/>
        <v>2E-3</v>
      </c>
      <c r="K612" s="246"/>
      <c r="L612" s="246">
        <v>1.0999999999999999E-2</v>
      </c>
      <c r="M612" s="246"/>
      <c r="N612" s="149">
        <v>0</v>
      </c>
      <c r="O612" s="246"/>
      <c r="P612" s="246">
        <v>1.0999999999999999E-2</v>
      </c>
      <c r="Q612" s="136"/>
      <c r="R612" s="136"/>
      <c r="S612" s="136"/>
      <c r="T612" s="136"/>
    </row>
    <row r="613" spans="1:20">
      <c r="A613" s="6">
        <f>MAX(A$245:A612)+1</f>
        <v>249</v>
      </c>
      <c r="B613" s="143"/>
      <c r="C613" s="143"/>
      <c r="D613" s="274" t="s">
        <v>646</v>
      </c>
      <c r="E613" s="143"/>
      <c r="F613" s="1" t="s">
        <v>584</v>
      </c>
      <c r="G613" s="143"/>
      <c r="H613" s="247" t="s">
        <v>636</v>
      </c>
      <c r="I613" s="267" t="s">
        <v>85</v>
      </c>
      <c r="J613" s="143"/>
      <c r="K613" s="143"/>
      <c r="L613" s="247" t="s">
        <v>636</v>
      </c>
      <c r="M613" s="267" t="s">
        <v>85</v>
      </c>
      <c r="N613" s="275">
        <f t="shared" ref="N613" si="43">IFERROR(L613-P613,0)</f>
        <v>0</v>
      </c>
      <c r="O613" s="143"/>
      <c r="P613" s="247" t="s">
        <v>636</v>
      </c>
      <c r="Q613" s="267" t="s">
        <v>85</v>
      </c>
      <c r="R613" s="136"/>
      <c r="S613" s="136"/>
      <c r="T613" s="136"/>
    </row>
    <row r="614" spans="1:20">
      <c r="A614" s="143"/>
      <c r="B614" s="143"/>
      <c r="C614" s="143"/>
      <c r="D614" s="143"/>
      <c r="E614" s="143"/>
      <c r="F614" s="143"/>
      <c r="G614" s="143"/>
      <c r="H614" s="143"/>
      <c r="I614" s="143"/>
      <c r="J614" s="143"/>
      <c r="K614" s="143"/>
      <c r="L614" s="143"/>
      <c r="M614" s="143"/>
      <c r="N614" s="143"/>
      <c r="O614" s="143"/>
      <c r="P614" s="143"/>
      <c r="Q614" s="136"/>
      <c r="R614" s="136"/>
      <c r="S614" s="136"/>
      <c r="T614" s="136"/>
    </row>
    <row r="615" spans="1:20">
      <c r="A615" s="6">
        <f>MAX(A$245:A614)+1</f>
        <v>250</v>
      </c>
      <c r="B615" s="143"/>
      <c r="C615" s="143"/>
      <c r="D615" s="143" t="s">
        <v>647</v>
      </c>
      <c r="E615" s="143"/>
      <c r="F615" s="1" t="s">
        <v>584</v>
      </c>
      <c r="G615" s="143"/>
      <c r="H615" s="246">
        <v>0.124</v>
      </c>
      <c r="I615" s="143"/>
      <c r="J615" s="246">
        <f t="shared" ref="J615:J616" si="44">ROUND(L615,3)-ROUND(H615,3)</f>
        <v>5.0000000000000044E-3</v>
      </c>
      <c r="K615" s="246"/>
      <c r="L615" s="246">
        <v>0.12852591280469197</v>
      </c>
      <c r="M615" s="246"/>
      <c r="N615" s="422">
        <f>IFERROR(L615-P615,0)</f>
        <v>0.1174109589041096</v>
      </c>
      <c r="O615" s="246"/>
      <c r="P615" s="246">
        <v>1.1114953900582371E-2</v>
      </c>
      <c r="Q615" s="136"/>
      <c r="R615" s="136"/>
      <c r="S615" s="136"/>
      <c r="T615" s="136"/>
    </row>
    <row r="616" spans="1:20">
      <c r="A616" s="6">
        <f>MAX(A$245:A615)+1</f>
        <v>251</v>
      </c>
      <c r="B616" s="143"/>
      <c r="C616" s="143"/>
      <c r="D616" s="143" t="s">
        <v>648</v>
      </c>
      <c r="E616" s="143"/>
      <c r="F616" s="1" t="s">
        <v>584</v>
      </c>
      <c r="G616" s="143"/>
      <c r="H616" s="246">
        <v>0.115</v>
      </c>
      <c r="I616" s="267" t="s">
        <v>85</v>
      </c>
      <c r="J616" s="246">
        <f t="shared" si="44"/>
        <v>2.0000000000000018E-3</v>
      </c>
      <c r="K616" s="246"/>
      <c r="L616" s="246">
        <v>0.1174109589041096</v>
      </c>
      <c r="M616" s="267" t="s">
        <v>85</v>
      </c>
      <c r="N616" s="246">
        <f>N615</f>
        <v>0.1174109589041096</v>
      </c>
      <c r="O616" s="246"/>
      <c r="P616" s="247" t="s">
        <v>636</v>
      </c>
      <c r="Q616" s="267" t="s">
        <v>85</v>
      </c>
      <c r="R616" s="332"/>
      <c r="S616" s="136"/>
      <c r="T616" s="136"/>
    </row>
    <row r="617" spans="1:20">
      <c r="A617" s="143"/>
      <c r="B617" s="143"/>
      <c r="C617" s="143"/>
      <c r="D617" s="143"/>
      <c r="E617" s="143"/>
      <c r="F617" s="143"/>
      <c r="G617" s="143"/>
      <c r="H617" s="143"/>
      <c r="I617" s="143"/>
      <c r="J617" s="143"/>
      <c r="K617" s="143"/>
      <c r="L617" s="143"/>
      <c r="M617" s="143"/>
      <c r="N617" s="143"/>
      <c r="O617" s="143"/>
      <c r="P617" s="143"/>
      <c r="Q617" s="136"/>
      <c r="R617" s="136"/>
      <c r="S617" s="136"/>
      <c r="T617" s="136"/>
    </row>
    <row r="618" spans="1:20">
      <c r="A618" s="143"/>
      <c r="B618" s="143"/>
      <c r="C618" s="143"/>
      <c r="D618" s="143"/>
      <c r="E618" s="143"/>
      <c r="F618" s="143"/>
      <c r="G618" s="143"/>
      <c r="H618" s="143"/>
      <c r="I618" s="143"/>
      <c r="J618" s="143"/>
      <c r="K618" s="143"/>
      <c r="L618" s="143"/>
      <c r="M618" s="143"/>
      <c r="N618" s="143"/>
      <c r="O618" s="143"/>
      <c r="P618" s="143"/>
      <c r="Q618" s="136"/>
      <c r="R618" s="136"/>
      <c r="S618" s="136"/>
      <c r="T618" s="136"/>
    </row>
    <row r="619" spans="1:20">
      <c r="A619" s="143"/>
      <c r="B619" s="143"/>
      <c r="C619" s="143"/>
      <c r="D619" s="143"/>
      <c r="E619" s="143"/>
      <c r="F619" s="143"/>
      <c r="G619" s="143"/>
      <c r="H619" s="143"/>
      <c r="I619" s="143"/>
      <c r="J619" s="143"/>
      <c r="K619" s="143"/>
      <c r="L619" s="143"/>
      <c r="M619" s="143"/>
      <c r="N619" s="143"/>
      <c r="O619" s="143"/>
      <c r="P619" s="143"/>
      <c r="Q619" s="136"/>
      <c r="R619" s="136"/>
      <c r="S619" s="136"/>
      <c r="T619" s="136"/>
    </row>
    <row r="620" spans="1:20">
      <c r="A620" s="143"/>
      <c r="B620" s="143"/>
      <c r="C620" s="143"/>
      <c r="D620" s="143"/>
      <c r="E620" s="143"/>
      <c r="F620" s="143"/>
      <c r="G620" s="143"/>
      <c r="H620" s="143"/>
      <c r="I620" s="143"/>
      <c r="J620" s="143"/>
      <c r="K620" s="143"/>
      <c r="L620" s="143"/>
      <c r="M620" s="143"/>
      <c r="N620" s="143"/>
      <c r="O620" s="143"/>
      <c r="P620" s="143"/>
      <c r="Q620" s="136"/>
      <c r="R620" s="136"/>
      <c r="S620" s="136"/>
      <c r="T620" s="136"/>
    </row>
    <row r="621" spans="1:20">
      <c r="A621" s="143"/>
      <c r="B621" s="143"/>
      <c r="C621" s="143"/>
      <c r="D621" s="143"/>
      <c r="E621" s="143"/>
      <c r="F621" s="143"/>
      <c r="G621" s="143"/>
      <c r="H621" s="143"/>
      <c r="I621" s="143"/>
      <c r="J621" s="143"/>
      <c r="K621" s="143"/>
      <c r="L621" s="143"/>
      <c r="M621" s="143"/>
      <c r="N621" s="143"/>
      <c r="O621" s="143"/>
      <c r="P621" s="143"/>
      <c r="Q621" s="136"/>
      <c r="R621" s="136"/>
      <c r="S621" s="136"/>
      <c r="T621" s="136"/>
    </row>
    <row r="622" spans="1:20">
      <c r="A622" s="143"/>
      <c r="B622" s="143"/>
      <c r="C622" s="143"/>
      <c r="D622" s="143"/>
      <c r="E622" s="143"/>
      <c r="F622" s="143"/>
      <c r="G622" s="143"/>
      <c r="H622" s="143"/>
      <c r="I622" s="143"/>
      <c r="J622" s="143"/>
      <c r="K622" s="143"/>
      <c r="L622" s="143"/>
      <c r="M622" s="143"/>
      <c r="N622" s="143"/>
      <c r="O622" s="143"/>
      <c r="P622" s="143"/>
      <c r="Q622" s="136"/>
      <c r="R622" s="136"/>
      <c r="S622" s="136"/>
      <c r="T622" s="136"/>
    </row>
    <row r="623" spans="1:20">
      <c r="A623" s="1163"/>
      <c r="B623" s="1163"/>
      <c r="C623" s="1163"/>
      <c r="D623" s="1206"/>
      <c r="E623" s="1206"/>
      <c r="F623" s="1206"/>
      <c r="G623" s="1206"/>
      <c r="H623" s="1206"/>
      <c r="I623" s="1206"/>
      <c r="J623" s="1206"/>
      <c r="K623" s="1206"/>
      <c r="L623" s="1206"/>
      <c r="M623" s="1206"/>
      <c r="N623" s="1206"/>
      <c r="O623" s="1206"/>
      <c r="P623" s="1206"/>
      <c r="Q623" s="136"/>
      <c r="R623" s="136"/>
      <c r="S623" s="136"/>
      <c r="T623" s="136"/>
    </row>
    <row r="624" spans="1:20">
      <c r="A624" s="1163" t="s">
        <v>543</v>
      </c>
      <c r="B624" s="1163"/>
      <c r="C624" s="1163"/>
      <c r="D624" s="1206"/>
      <c r="E624" s="1206"/>
      <c r="F624" s="1206"/>
      <c r="G624" s="1206"/>
      <c r="H624" s="1206"/>
      <c r="I624" s="1206"/>
      <c r="J624" s="1206"/>
      <c r="K624" s="1206"/>
      <c r="L624" s="1206"/>
      <c r="M624" s="1206"/>
      <c r="N624" s="1206"/>
      <c r="O624" s="1206"/>
      <c r="P624" s="1206"/>
      <c r="Q624" s="136"/>
      <c r="R624" s="136"/>
      <c r="S624" s="136"/>
      <c r="T624" s="136"/>
    </row>
    <row r="625" spans="1:20">
      <c r="A625" s="1162" t="s">
        <v>624</v>
      </c>
      <c r="B625" s="1206"/>
      <c r="C625" s="1206"/>
      <c r="D625" s="1206"/>
      <c r="E625" s="1206"/>
      <c r="F625" s="1206"/>
      <c r="G625" s="1206"/>
      <c r="H625" s="1206"/>
      <c r="I625" s="1206"/>
      <c r="J625" s="1206"/>
      <c r="K625" s="1206"/>
      <c r="L625" s="1206"/>
      <c r="M625" s="1206"/>
      <c r="N625" s="1206"/>
      <c r="O625" s="1206"/>
      <c r="P625" s="1206"/>
      <c r="Q625" s="136"/>
      <c r="R625" s="136"/>
      <c r="S625" s="136"/>
      <c r="T625" s="136"/>
    </row>
    <row r="626" spans="1:20">
      <c r="A626" s="6"/>
      <c r="B626" s="52"/>
      <c r="Q626" s="136"/>
      <c r="R626" s="136"/>
      <c r="S626" s="136"/>
      <c r="T626" s="136"/>
    </row>
    <row r="627" spans="1:20" ht="12.75" customHeight="1">
      <c r="A627" s="6"/>
      <c r="G627" s="55"/>
      <c r="H627" s="2"/>
      <c r="I627" s="2"/>
      <c r="J627" s="2"/>
      <c r="K627" s="2"/>
      <c r="L627" s="2"/>
      <c r="M627" s="2"/>
      <c r="N627" s="1160" t="s">
        <v>514</v>
      </c>
      <c r="O627" s="1160"/>
      <c r="P627" s="1160"/>
      <c r="Q627" s="136"/>
      <c r="R627" s="136"/>
      <c r="S627" s="136"/>
      <c r="T627" s="136"/>
    </row>
    <row r="628" spans="1:20">
      <c r="A628" s="6"/>
      <c r="G628" s="282"/>
      <c r="H628" s="6"/>
      <c r="I628" s="57"/>
      <c r="J628" s="1164" t="s">
        <v>515</v>
      </c>
      <c r="K628" s="1164"/>
      <c r="L628" s="1164"/>
      <c r="N628" s="1161"/>
      <c r="O628" s="1161"/>
      <c r="P628" s="1161"/>
      <c r="Q628" s="136"/>
      <c r="R628" s="136"/>
      <c r="S628" s="136"/>
      <c r="T628" s="136"/>
    </row>
    <row r="629" spans="1:20">
      <c r="A629" s="6" t="s">
        <v>56</v>
      </c>
      <c r="C629" s="52"/>
      <c r="F629" s="55"/>
      <c r="G629" s="51"/>
      <c r="H629" s="6" t="s">
        <v>93</v>
      </c>
      <c r="I629" s="57"/>
      <c r="J629" s="1" t="s">
        <v>516</v>
      </c>
      <c r="K629" s="4"/>
      <c r="L629" s="6" t="s">
        <v>102</v>
      </c>
      <c r="N629" s="17"/>
      <c r="O629" s="17"/>
      <c r="P629" s="17"/>
      <c r="Q629" s="136"/>
      <c r="R629" s="136"/>
      <c r="S629" s="136"/>
      <c r="T629" s="136"/>
    </row>
    <row r="630" spans="1:20">
      <c r="A630" s="53" t="s">
        <v>57</v>
      </c>
      <c r="B630" s="55"/>
      <c r="C630" s="56"/>
      <c r="D630" s="54" t="s">
        <v>194</v>
      </c>
      <c r="F630" s="271" t="s">
        <v>245</v>
      </c>
      <c r="G630" s="55"/>
      <c r="H630" s="356" t="s">
        <v>235</v>
      </c>
      <c r="I630" s="17"/>
      <c r="J630" s="237" t="s">
        <v>517</v>
      </c>
      <c r="L630" s="356" t="s">
        <v>518</v>
      </c>
      <c r="N630" s="7" t="s">
        <v>6</v>
      </c>
      <c r="O630" s="1"/>
      <c r="P630" s="7" t="s">
        <v>519</v>
      </c>
      <c r="Q630" s="136"/>
      <c r="R630" s="136"/>
      <c r="S630" s="136"/>
      <c r="T630" s="136"/>
    </row>
    <row r="631" spans="1:20">
      <c r="A631" s="6"/>
      <c r="F631" s="283"/>
      <c r="G631" s="55"/>
      <c r="H631" s="6" t="s">
        <v>520</v>
      </c>
      <c r="I631" s="6"/>
      <c r="J631" s="123" t="s">
        <v>521</v>
      </c>
      <c r="L631" s="6" t="s">
        <v>522</v>
      </c>
      <c r="N631" s="8" t="s">
        <v>12</v>
      </c>
      <c r="O631" s="1"/>
      <c r="P631" s="8" t="s">
        <v>13</v>
      </c>
      <c r="Q631" s="136"/>
      <c r="R631" s="136"/>
      <c r="S631" s="136"/>
      <c r="T631" s="136"/>
    </row>
    <row r="632" spans="1:20">
      <c r="A632" s="143"/>
      <c r="B632" s="143"/>
      <c r="C632" s="143"/>
      <c r="D632" s="299" t="s">
        <v>164</v>
      </c>
      <c r="E632" s="143"/>
      <c r="F632" s="143"/>
      <c r="G632" s="143"/>
      <c r="H632" s="143"/>
      <c r="I632" s="143"/>
      <c r="J632" s="143"/>
      <c r="K632" s="143"/>
      <c r="L632" s="143"/>
      <c r="M632" s="143"/>
      <c r="N632" s="143"/>
      <c r="O632" s="143"/>
      <c r="P632" s="143"/>
      <c r="Q632" s="136"/>
      <c r="R632" s="136"/>
      <c r="S632" s="136"/>
      <c r="T632" s="136"/>
    </row>
    <row r="633" spans="1:20">
      <c r="A633" s="6">
        <f>MAX(A$245:A632)+1</f>
        <v>252</v>
      </c>
      <c r="B633" s="143"/>
      <c r="C633" s="143"/>
      <c r="D633" s="143" t="s">
        <v>438</v>
      </c>
      <c r="E633" s="143"/>
      <c r="F633" s="1" t="s">
        <v>523</v>
      </c>
      <c r="G633" s="143"/>
      <c r="H633" s="278">
        <v>1666.51</v>
      </c>
      <c r="I633" s="414"/>
      <c r="J633" s="278">
        <f t="shared" ref="J633:J640" si="45">ROUND(L633,3)-ROUND(H633,3)</f>
        <v>45.538000000000011</v>
      </c>
      <c r="K633" s="414"/>
      <c r="L633" s="278">
        <v>1712.048</v>
      </c>
      <c r="M633" s="414"/>
      <c r="N633" s="278">
        <v>1712.048</v>
      </c>
      <c r="O633" s="414"/>
      <c r="P633" s="149">
        <v>0</v>
      </c>
      <c r="Q633" s="136"/>
      <c r="R633" s="136"/>
      <c r="S633" s="136"/>
      <c r="T633" s="136"/>
    </row>
    <row r="634" spans="1:20">
      <c r="A634" s="6"/>
      <c r="B634" s="143"/>
      <c r="C634" s="143"/>
      <c r="D634" s="143" t="s">
        <v>380</v>
      </c>
      <c r="E634" s="143"/>
      <c r="F634" s="143"/>
      <c r="G634" s="143"/>
      <c r="H634" s="143"/>
      <c r="I634" s="143"/>
      <c r="J634" s="143"/>
      <c r="K634" s="143"/>
      <c r="L634" s="143"/>
      <c r="M634" s="143"/>
      <c r="N634" s="143"/>
      <c r="O634" s="143"/>
      <c r="P634" s="333"/>
      <c r="Q634" s="136"/>
      <c r="R634" s="136"/>
      <c r="S634" s="136"/>
      <c r="T634" s="136"/>
    </row>
    <row r="635" spans="1:20">
      <c r="A635" s="6">
        <f>MAX(A$245:A634)+1</f>
        <v>253</v>
      </c>
      <c r="B635" s="143"/>
      <c r="C635" s="143"/>
      <c r="D635" s="417" t="s">
        <v>649</v>
      </c>
      <c r="E635" s="143"/>
      <c r="F635" s="269" t="s">
        <v>582</v>
      </c>
      <c r="G635" s="143"/>
      <c r="H635" s="246">
        <v>0.84199999999999997</v>
      </c>
      <c r="I635" s="246"/>
      <c r="J635" s="246">
        <f t="shared" si="45"/>
        <v>2.300000000000002E-2</v>
      </c>
      <c r="K635" s="246"/>
      <c r="L635" s="246">
        <v>0.86500789126627708</v>
      </c>
      <c r="M635" s="246"/>
      <c r="N635" s="246">
        <v>0.86500789126627708</v>
      </c>
      <c r="O635" s="246"/>
      <c r="P635" s="149">
        <v>0</v>
      </c>
      <c r="Q635" s="136"/>
      <c r="R635" s="136"/>
      <c r="S635" s="136"/>
      <c r="T635" s="136"/>
    </row>
    <row r="636" spans="1:20">
      <c r="A636" s="6">
        <f>MAX(A$245:A635)+1</f>
        <v>254</v>
      </c>
      <c r="B636" s="143"/>
      <c r="C636" s="143"/>
      <c r="D636" s="417" t="s">
        <v>650</v>
      </c>
      <c r="E636" s="143"/>
      <c r="F636" s="269" t="s">
        <v>582</v>
      </c>
      <c r="G636" s="143"/>
      <c r="H636" s="246">
        <v>2.3260000000000001</v>
      </c>
      <c r="I636" s="246"/>
      <c r="J636" s="246">
        <f t="shared" si="45"/>
        <v>-0.10099999999999998</v>
      </c>
      <c r="K636" s="246"/>
      <c r="L636" s="246">
        <v>2.225166666666667</v>
      </c>
      <c r="M636" s="246"/>
      <c r="N636" s="246">
        <v>2.225166666666667</v>
      </c>
      <c r="O636" s="246"/>
      <c r="P636" s="246">
        <v>0.16</v>
      </c>
      <c r="Q636" s="136"/>
      <c r="R636" s="136"/>
      <c r="S636" s="136"/>
      <c r="T636" s="136"/>
    </row>
    <row r="637" spans="1:20">
      <c r="A637" s="6">
        <f>MAX(A$245:A636)+1</f>
        <v>255</v>
      </c>
      <c r="B637" s="143"/>
      <c r="C637" s="143"/>
      <c r="D637" s="143" t="s">
        <v>644</v>
      </c>
      <c r="E637" s="143"/>
      <c r="F637" s="1" t="s">
        <v>584</v>
      </c>
      <c r="G637" s="143"/>
      <c r="H637" s="246">
        <v>3.7999999999999999E-2</v>
      </c>
      <c r="I637" s="246"/>
      <c r="J637" s="246">
        <f t="shared" si="45"/>
        <v>1.0000000000000009E-3</v>
      </c>
      <c r="K637" s="246"/>
      <c r="L637" s="246">
        <v>3.9E-2</v>
      </c>
      <c r="M637" s="246"/>
      <c r="N637" s="246">
        <v>3.9E-2</v>
      </c>
      <c r="O637" s="246"/>
      <c r="P637" s="149">
        <v>0</v>
      </c>
      <c r="Q637" s="136"/>
      <c r="R637" s="136"/>
      <c r="S637" s="136"/>
      <c r="T637" s="136"/>
    </row>
    <row r="638" spans="1:20">
      <c r="A638" s="6"/>
      <c r="B638" s="143"/>
      <c r="C638" s="143"/>
      <c r="D638" s="143" t="s">
        <v>651</v>
      </c>
      <c r="E638" s="143"/>
      <c r="F638" s="143"/>
      <c r="G638" s="143"/>
      <c r="H638" s="143"/>
      <c r="I638" s="143"/>
      <c r="J638" s="143"/>
      <c r="K638" s="143"/>
      <c r="L638" s="143"/>
      <c r="M638" s="143"/>
      <c r="N638" s="143"/>
      <c r="O638" s="143"/>
      <c r="P638" s="143"/>
      <c r="Q638" s="136"/>
      <c r="R638" s="136"/>
      <c r="S638" s="136"/>
      <c r="T638" s="136"/>
    </row>
    <row r="639" spans="1:20">
      <c r="A639" s="6">
        <f>MAX(A$245:A638)+1</f>
        <v>256</v>
      </c>
      <c r="B639" s="143"/>
      <c r="C639" s="143"/>
      <c r="D639" s="417" t="s">
        <v>652</v>
      </c>
      <c r="E639" s="143"/>
      <c r="F639" s="1" t="s">
        <v>584</v>
      </c>
      <c r="G639" s="143"/>
      <c r="H639" s="246">
        <v>8.9999999999999993E-3</v>
      </c>
      <c r="I639" s="246"/>
      <c r="J639" s="246">
        <f t="shared" si="45"/>
        <v>2E-3</v>
      </c>
      <c r="K639" s="246"/>
      <c r="L639" s="246">
        <v>1.1114953900582371E-2</v>
      </c>
      <c r="M639" s="246"/>
      <c r="N639" s="149">
        <v>0</v>
      </c>
      <c r="O639" s="246"/>
      <c r="P639" s="246">
        <v>1.1114953900582371E-2</v>
      </c>
      <c r="Q639" s="136"/>
      <c r="R639" s="136"/>
      <c r="S639" s="136"/>
      <c r="T639" s="136"/>
    </row>
    <row r="640" spans="1:20">
      <c r="A640" s="6">
        <f>MAX(A$245:A639)+1</f>
        <v>257</v>
      </c>
      <c r="B640" s="143"/>
      <c r="C640" s="143"/>
      <c r="D640" s="417" t="s">
        <v>653</v>
      </c>
      <c r="E640" s="143"/>
      <c r="F640" s="1" t="s">
        <v>584</v>
      </c>
      <c r="G640" s="143"/>
      <c r="H640" s="246">
        <v>8.9999999999999993E-3</v>
      </c>
      <c r="I640" s="246"/>
      <c r="J640" s="246">
        <f t="shared" si="45"/>
        <v>2E-3</v>
      </c>
      <c r="K640" s="246"/>
      <c r="L640" s="246">
        <v>1.1114953900582371E-2</v>
      </c>
      <c r="M640" s="246"/>
      <c r="N640" s="149">
        <v>0</v>
      </c>
      <c r="O640" s="246"/>
      <c r="P640" s="246">
        <v>1.1114953900582371E-2</v>
      </c>
      <c r="Q640" s="136"/>
      <c r="R640" s="136"/>
      <c r="S640" s="136"/>
      <c r="T640" s="136"/>
    </row>
    <row r="641" spans="1:20">
      <c r="A641" s="6">
        <f>MAX(A$245:A640)+1</f>
        <v>258</v>
      </c>
      <c r="B641" s="143"/>
      <c r="C641" s="143"/>
      <c r="D641" s="417" t="s">
        <v>654</v>
      </c>
      <c r="E641" s="143"/>
      <c r="F641" s="1" t="s">
        <v>584</v>
      </c>
      <c r="G641" s="143"/>
      <c r="H641" s="247" t="s">
        <v>636</v>
      </c>
      <c r="I641" s="267" t="s">
        <v>85</v>
      </c>
      <c r="J641" s="149">
        <f t="shared" ref="J641:J642" si="46">L641-H641</f>
        <v>0</v>
      </c>
      <c r="K641" s="143"/>
      <c r="L641" s="247" t="s">
        <v>636</v>
      </c>
      <c r="M641" s="267" t="s">
        <v>85</v>
      </c>
      <c r="N641" s="149">
        <v>0</v>
      </c>
      <c r="O641" s="143"/>
      <c r="P641" s="247" t="s">
        <v>636</v>
      </c>
      <c r="Q641" s="267" t="s">
        <v>85</v>
      </c>
      <c r="R641" s="136"/>
      <c r="S641" s="136"/>
      <c r="T641" s="136"/>
    </row>
    <row r="642" spans="1:20">
      <c r="A642" s="6">
        <f>MAX(A$245:A641)+1</f>
        <v>259</v>
      </c>
      <c r="B642" s="143"/>
      <c r="C642" s="143"/>
      <c r="D642" s="417" t="s">
        <v>655</v>
      </c>
      <c r="E642" s="143"/>
      <c r="F642" s="1" t="s">
        <v>584</v>
      </c>
      <c r="G642" s="143"/>
      <c r="H642" s="247" t="s">
        <v>636</v>
      </c>
      <c r="I642" s="267" t="s">
        <v>85</v>
      </c>
      <c r="J642" s="149">
        <f t="shared" si="46"/>
        <v>0</v>
      </c>
      <c r="K642" s="143"/>
      <c r="L642" s="247" t="s">
        <v>636</v>
      </c>
      <c r="M642" s="267" t="s">
        <v>85</v>
      </c>
      <c r="N642" s="149">
        <v>0</v>
      </c>
      <c r="O642" s="143"/>
      <c r="P642" s="247" t="s">
        <v>636</v>
      </c>
      <c r="Q642" s="267" t="s">
        <v>85</v>
      </c>
      <c r="R642" s="136"/>
      <c r="S642" s="136"/>
      <c r="T642" s="136"/>
    </row>
    <row r="643" spans="1:20">
      <c r="A643" s="6"/>
      <c r="B643" s="143"/>
      <c r="C643" s="143"/>
      <c r="D643" s="143" t="s">
        <v>656</v>
      </c>
      <c r="E643" s="143"/>
      <c r="F643" s="143"/>
      <c r="G643" s="143"/>
      <c r="H643" s="143"/>
      <c r="I643" s="143"/>
      <c r="J643" s="143"/>
      <c r="K643" s="143"/>
      <c r="L643" s="143"/>
      <c r="M643" s="143"/>
      <c r="N643" s="143"/>
      <c r="O643" s="143"/>
      <c r="P643" s="143"/>
      <c r="Q643" s="136"/>
      <c r="R643" s="136"/>
      <c r="S643" s="136"/>
      <c r="T643" s="136"/>
    </row>
    <row r="644" spans="1:20">
      <c r="A644" s="6">
        <f>MAX(A$245:A643)+1</f>
        <v>260</v>
      </c>
      <c r="B644" s="143"/>
      <c r="C644" s="143"/>
      <c r="D644" s="417" t="s">
        <v>652</v>
      </c>
      <c r="E644" s="143"/>
      <c r="F644" s="1" t="s">
        <v>584</v>
      </c>
      <c r="G644" s="143"/>
      <c r="H644" s="246">
        <v>1.0999999999999999E-2</v>
      </c>
      <c r="I644" s="246"/>
      <c r="J644" s="246">
        <f t="shared" ref="J644:J645" si="47">ROUND(L644,3)-ROUND(H644,3)</f>
        <v>2E-3</v>
      </c>
      <c r="K644" s="246"/>
      <c r="L644" s="246">
        <v>1.2535931725174244E-2</v>
      </c>
      <c r="M644" s="246"/>
      <c r="N644" s="149">
        <v>0</v>
      </c>
      <c r="O644" s="246"/>
      <c r="P644" s="246">
        <v>1.2535931725174244E-2</v>
      </c>
      <c r="Q644" s="136"/>
      <c r="R644" s="136"/>
      <c r="S644" s="136"/>
      <c r="T644" s="136"/>
    </row>
    <row r="645" spans="1:20">
      <c r="A645" s="6">
        <f>MAX(A$245:A644)+1</f>
        <v>261</v>
      </c>
      <c r="B645" s="143"/>
      <c r="C645" s="143"/>
      <c r="D645" s="417" t="s">
        <v>653</v>
      </c>
      <c r="E645" s="143"/>
      <c r="F645" s="1" t="s">
        <v>584</v>
      </c>
      <c r="G645" s="143"/>
      <c r="H645" s="246">
        <v>2.5999999999999999E-2</v>
      </c>
      <c r="I645" s="246"/>
      <c r="J645" s="246">
        <f t="shared" si="47"/>
        <v>2.0000000000000018E-3</v>
      </c>
      <c r="K645" s="246"/>
      <c r="L645" s="246">
        <v>2.7814130862144702E-2</v>
      </c>
      <c r="M645" s="246"/>
      <c r="N645" s="149">
        <v>0</v>
      </c>
      <c r="O645" s="246"/>
      <c r="P645" s="246">
        <v>2.7814130862144702E-2</v>
      </c>
      <c r="Q645" s="136"/>
      <c r="R645" s="136"/>
      <c r="S645" s="136"/>
      <c r="T645" s="136"/>
    </row>
    <row r="646" spans="1:20">
      <c r="A646" s="6">
        <f>MAX(A$245:A645)+1</f>
        <v>262</v>
      </c>
      <c r="B646" s="143"/>
      <c r="C646" s="143"/>
      <c r="D646" s="417" t="s">
        <v>654</v>
      </c>
      <c r="E646" s="143"/>
      <c r="F646" s="1" t="s">
        <v>584</v>
      </c>
      <c r="G646" s="143"/>
      <c r="H646" s="247" t="s">
        <v>636</v>
      </c>
      <c r="I646" s="267" t="s">
        <v>85</v>
      </c>
      <c r="J646" s="149">
        <f t="shared" ref="J646:J647" si="48">L646-H646</f>
        <v>0</v>
      </c>
      <c r="K646" s="143"/>
      <c r="L646" s="247" t="s">
        <v>636</v>
      </c>
      <c r="M646" s="267" t="s">
        <v>85</v>
      </c>
      <c r="N646" s="149">
        <v>0</v>
      </c>
      <c r="O646" s="143"/>
      <c r="P646" s="247" t="s">
        <v>636</v>
      </c>
      <c r="Q646" s="267" t="s">
        <v>85</v>
      </c>
      <c r="R646" s="136"/>
      <c r="S646" s="136"/>
      <c r="T646" s="136"/>
    </row>
    <row r="647" spans="1:20">
      <c r="A647" s="6">
        <f>MAX(A$245:A646)+1</f>
        <v>263</v>
      </c>
      <c r="B647" s="143"/>
      <c r="C647" s="143"/>
      <c r="D647" s="417" t="s">
        <v>655</v>
      </c>
      <c r="E647" s="143"/>
      <c r="F647" s="1" t="s">
        <v>584</v>
      </c>
      <c r="G647" s="143"/>
      <c r="H647" s="247" t="s">
        <v>636</v>
      </c>
      <c r="I647" s="267" t="s">
        <v>85</v>
      </c>
      <c r="J647" s="149">
        <f t="shared" si="48"/>
        <v>0</v>
      </c>
      <c r="K647" s="143"/>
      <c r="L647" s="247" t="s">
        <v>636</v>
      </c>
      <c r="M647" s="267" t="s">
        <v>85</v>
      </c>
      <c r="N647" s="149">
        <v>0</v>
      </c>
      <c r="O647" s="143"/>
      <c r="P647" s="247" t="s">
        <v>636</v>
      </c>
      <c r="Q647" s="267" t="s">
        <v>85</v>
      </c>
      <c r="R647" s="136"/>
      <c r="S647" s="136"/>
      <c r="T647" s="136"/>
    </row>
    <row r="648" spans="1:20" ht="15" customHeight="1">
      <c r="A648" s="143"/>
      <c r="B648" s="143"/>
      <c r="C648" s="143"/>
      <c r="D648" s="143"/>
      <c r="E648" s="143"/>
      <c r="F648" s="143"/>
      <c r="G648" s="143"/>
      <c r="H648" s="143"/>
      <c r="I648" s="143"/>
      <c r="J648" s="143"/>
      <c r="K648" s="143"/>
      <c r="L648" s="143"/>
      <c r="M648" s="143"/>
      <c r="N648" s="143"/>
      <c r="O648" s="143"/>
      <c r="P648" s="143"/>
      <c r="Q648" s="136"/>
      <c r="R648" s="136"/>
      <c r="S648" s="136"/>
      <c r="T648" s="136"/>
    </row>
    <row r="649" spans="1:20">
      <c r="A649" s="6"/>
      <c r="B649" s="143"/>
      <c r="C649" s="143"/>
      <c r="D649" s="143" t="s">
        <v>628</v>
      </c>
      <c r="E649" s="143"/>
      <c r="F649" s="143"/>
      <c r="G649" s="143"/>
      <c r="H649" s="143"/>
      <c r="I649" s="143"/>
      <c r="J649" s="143"/>
      <c r="K649" s="143"/>
      <c r="L649" s="143"/>
      <c r="M649" s="143"/>
      <c r="N649" s="143"/>
      <c r="O649" s="143"/>
      <c r="P649" s="143"/>
      <c r="Q649" s="136"/>
      <c r="R649" s="136"/>
      <c r="S649" s="136"/>
      <c r="T649" s="136"/>
    </row>
    <row r="650" spans="1:20">
      <c r="A650" s="6"/>
      <c r="B650" s="143"/>
      <c r="C650" s="143"/>
      <c r="D650" s="143" t="s">
        <v>651</v>
      </c>
      <c r="E650" s="143"/>
      <c r="F650" s="143"/>
      <c r="G650" s="143"/>
      <c r="H650" s="143"/>
      <c r="I650" s="143"/>
      <c r="J650" s="143"/>
      <c r="K650" s="143"/>
      <c r="L650" s="143"/>
      <c r="M650" s="143"/>
      <c r="N650" s="143"/>
      <c r="O650" s="143"/>
      <c r="P650" s="143"/>
      <c r="Q650" s="136"/>
      <c r="R650" s="136"/>
      <c r="S650" s="136"/>
      <c r="T650" s="136"/>
    </row>
    <row r="651" spans="1:20">
      <c r="A651" s="6">
        <f>MAX(A$245:A650)+1</f>
        <v>264</v>
      </c>
      <c r="B651" s="143"/>
      <c r="C651" s="143"/>
      <c r="D651" s="417" t="s">
        <v>652</v>
      </c>
      <c r="E651" s="143"/>
      <c r="F651" s="1" t="s">
        <v>584</v>
      </c>
      <c r="G651" s="143"/>
      <c r="H651" s="246">
        <v>7.4790608299641487E-2</v>
      </c>
      <c r="I651" s="143"/>
      <c r="J651" s="246">
        <f t="shared" ref="J651:J659" si="49">ROUND(L651,3)-ROUND(H651,3)</f>
        <v>4.0000000000000036E-3</v>
      </c>
      <c r="K651" s="246"/>
      <c r="L651" s="246">
        <v>7.8553569503857237E-2</v>
      </c>
      <c r="M651" s="143"/>
      <c r="N651" s="423">
        <f>N653</f>
        <v>6.7438615603274868E-2</v>
      </c>
      <c r="O651" s="143"/>
      <c r="P651" s="246">
        <f>L651-N651</f>
        <v>1.1114953900582369E-2</v>
      </c>
      <c r="Q651" s="136"/>
      <c r="R651" s="136"/>
      <c r="S651" s="136"/>
      <c r="T651" s="136"/>
    </row>
    <row r="652" spans="1:20">
      <c r="A652" s="6">
        <f>MAX(A$245:A651)+1</f>
        <v>265</v>
      </c>
      <c r="B652" s="143"/>
      <c r="C652" s="143"/>
      <c r="D652" s="417" t="s">
        <v>653</v>
      </c>
      <c r="E652" s="143"/>
      <c r="F652" s="1" t="s">
        <v>584</v>
      </c>
      <c r="G652" s="143"/>
      <c r="H652" s="246">
        <v>0.1235796493955319</v>
      </c>
      <c r="I652" s="143"/>
      <c r="J652" s="246">
        <f t="shared" si="49"/>
        <v>5.0000000000000044E-3</v>
      </c>
      <c r="K652" s="246"/>
      <c r="L652" s="246">
        <v>0.12852591280469197</v>
      </c>
      <c r="M652" s="143"/>
      <c r="N652" s="423">
        <f>N654</f>
        <v>0.1174109589041096</v>
      </c>
      <c r="O652" s="143"/>
      <c r="P652" s="246">
        <f>L652-N652</f>
        <v>1.1114953900582369E-2</v>
      </c>
      <c r="Q652" s="136"/>
      <c r="R652" s="136"/>
      <c r="S652" s="136"/>
      <c r="T652" s="136"/>
    </row>
    <row r="653" spans="1:20">
      <c r="A653" s="6">
        <f>MAX(A$245:A652)+1</f>
        <v>266</v>
      </c>
      <c r="B653" s="143"/>
      <c r="C653" s="143"/>
      <c r="D653" s="417" t="s">
        <v>654</v>
      </c>
      <c r="E653" s="143"/>
      <c r="F653" s="273" t="s">
        <v>611</v>
      </c>
      <c r="G653" s="143"/>
      <c r="H653" s="246">
        <v>6.5682191780821908E-2</v>
      </c>
      <c r="I653" s="267" t="s">
        <v>85</v>
      </c>
      <c r="J653" s="246">
        <f t="shared" si="49"/>
        <v>1.0000000000000009E-3</v>
      </c>
      <c r="K653" s="246"/>
      <c r="L653" s="246">
        <v>6.7438615603274868E-2</v>
      </c>
      <c r="M653" s="267" t="s">
        <v>85</v>
      </c>
      <c r="N653" s="423">
        <f>L653</f>
        <v>6.7438615603274868E-2</v>
      </c>
      <c r="O653" s="143"/>
      <c r="P653" s="247" t="s">
        <v>636</v>
      </c>
      <c r="Q653" s="267" t="s">
        <v>85</v>
      </c>
      <c r="R653" s="136"/>
      <c r="S653" s="136"/>
      <c r="T653" s="136"/>
    </row>
    <row r="654" spans="1:20">
      <c r="A654" s="6">
        <f>MAX(A$245:A653)+1</f>
        <v>267</v>
      </c>
      <c r="B654" s="143"/>
      <c r="C654" s="143"/>
      <c r="D654" s="417" t="s">
        <v>655</v>
      </c>
      <c r="E654" s="143"/>
      <c r="F654" s="273" t="s">
        <v>611</v>
      </c>
      <c r="G654" s="143"/>
      <c r="H654" s="246">
        <v>0.11447123287671232</v>
      </c>
      <c r="I654" s="267" t="s">
        <v>85</v>
      </c>
      <c r="J654" s="246">
        <f t="shared" si="49"/>
        <v>3.0000000000000027E-3</v>
      </c>
      <c r="K654" s="246"/>
      <c r="L654" s="246">
        <v>0.1174109589041096</v>
      </c>
      <c r="M654" s="267" t="s">
        <v>85</v>
      </c>
      <c r="N654" s="423">
        <f>L654</f>
        <v>0.1174109589041096</v>
      </c>
      <c r="O654" s="143"/>
      <c r="P654" s="247" t="s">
        <v>636</v>
      </c>
      <c r="Q654" s="267" t="s">
        <v>85</v>
      </c>
      <c r="R654" s="136"/>
      <c r="S654" s="136"/>
      <c r="T654" s="136"/>
    </row>
    <row r="655" spans="1:20">
      <c r="A655" s="6"/>
      <c r="B655" s="143"/>
      <c r="C655" s="143"/>
      <c r="D655" s="143" t="s">
        <v>656</v>
      </c>
      <c r="E655" s="143"/>
      <c r="F655" s="143"/>
      <c r="G655" s="143"/>
      <c r="H655" s="246"/>
      <c r="I655" s="143"/>
      <c r="J655" s="246"/>
      <c r="K655" s="246"/>
      <c r="L655" s="246"/>
      <c r="M655" s="143"/>
      <c r="N655" s="357"/>
      <c r="O655" s="143"/>
      <c r="P655" s="246"/>
      <c r="Q655" s="136"/>
      <c r="R655" s="136"/>
      <c r="S655" s="136"/>
      <c r="T655" s="136"/>
    </row>
    <row r="656" spans="1:20">
      <c r="A656" s="6">
        <f>MAX(A$245:A655)+1</f>
        <v>268</v>
      </c>
      <c r="B656" s="143"/>
      <c r="C656" s="143"/>
      <c r="D656" s="417" t="s">
        <v>652</v>
      </c>
      <c r="E656" s="143"/>
      <c r="F656" s="1" t="s">
        <v>584</v>
      </c>
      <c r="G656" s="143"/>
      <c r="H656" s="246">
        <v>3.821941834650619E-2</v>
      </c>
      <c r="I656" s="143"/>
      <c r="J656" s="246">
        <f t="shared" si="49"/>
        <v>3.0000000000000027E-3</v>
      </c>
      <c r="K656" s="246"/>
      <c r="L656" s="246">
        <v>4.0974547328449108E-2</v>
      </c>
      <c r="M656" s="143"/>
      <c r="N656" s="423">
        <f>N658</f>
        <v>2.8438615603274865E-2</v>
      </c>
      <c r="O656" s="143"/>
      <c r="P656" s="246">
        <f>L656-N656</f>
        <v>1.2535931725174244E-2</v>
      </c>
      <c r="Q656" s="136"/>
      <c r="R656" s="136"/>
      <c r="S656" s="136"/>
      <c r="T656" s="136"/>
    </row>
    <row r="657" spans="1:20">
      <c r="A657" s="6">
        <f>MAX(A$245:A656)+1</f>
        <v>269</v>
      </c>
      <c r="B657" s="143"/>
      <c r="C657" s="143"/>
      <c r="D657" s="417" t="s">
        <v>653</v>
      </c>
      <c r="E657" s="143"/>
      <c r="F657" s="1" t="s">
        <v>584</v>
      </c>
      <c r="G657" s="143"/>
      <c r="H657" s="246">
        <v>0.10237086978203205</v>
      </c>
      <c r="I657" s="143"/>
      <c r="J657" s="246">
        <f t="shared" si="49"/>
        <v>4.0000000000000036E-3</v>
      </c>
      <c r="K657" s="246"/>
      <c r="L657" s="246">
        <v>0.1062250897662543</v>
      </c>
      <c r="M657" s="143"/>
      <c r="N657" s="423">
        <f>N659</f>
        <v>7.8410958904109596E-2</v>
      </c>
      <c r="O657" s="143"/>
      <c r="P657" s="246">
        <f>L657-N657</f>
        <v>2.7814130862144709E-2</v>
      </c>
      <c r="Q657" s="136"/>
      <c r="R657" s="136"/>
      <c r="S657" s="136"/>
      <c r="T657" s="136"/>
    </row>
    <row r="658" spans="1:20">
      <c r="A658" s="6">
        <f>MAX(A$245:A657)+1</f>
        <v>270</v>
      </c>
      <c r="B658" s="143"/>
      <c r="C658" s="143"/>
      <c r="D658" s="417" t="s">
        <v>654</v>
      </c>
      <c r="E658" s="143"/>
      <c r="F658" s="273" t="s">
        <v>611</v>
      </c>
      <c r="G658" s="143"/>
      <c r="H658" s="246">
        <v>2.7682191780821916E-2</v>
      </c>
      <c r="I658" s="267" t="s">
        <v>85</v>
      </c>
      <c r="J658" s="246">
        <f t="shared" si="49"/>
        <v>0</v>
      </c>
      <c r="K658" s="246"/>
      <c r="L658" s="246">
        <v>2.8438615603274865E-2</v>
      </c>
      <c r="M658" s="267" t="s">
        <v>85</v>
      </c>
      <c r="N658" s="423">
        <f>L658</f>
        <v>2.8438615603274865E-2</v>
      </c>
      <c r="O658" s="143"/>
      <c r="P658" s="247" t="s">
        <v>636</v>
      </c>
      <c r="Q658" s="267" t="s">
        <v>85</v>
      </c>
      <c r="R658" s="136"/>
      <c r="S658" s="136"/>
      <c r="T658" s="136"/>
    </row>
    <row r="659" spans="1:20">
      <c r="A659" s="6">
        <f>MAX(A$245:A658)+1</f>
        <v>271</v>
      </c>
      <c r="B659" s="143"/>
      <c r="C659" s="143"/>
      <c r="D659" s="417" t="s">
        <v>655</v>
      </c>
      <c r="E659" s="143"/>
      <c r="F659" s="273" t="s">
        <v>611</v>
      </c>
      <c r="G659" s="143"/>
      <c r="H659" s="246">
        <v>7.6471232876712328E-2</v>
      </c>
      <c r="I659" s="267" t="s">
        <v>85</v>
      </c>
      <c r="J659" s="246">
        <f t="shared" si="49"/>
        <v>2.0000000000000018E-3</v>
      </c>
      <c r="K659" s="246"/>
      <c r="L659" s="246">
        <v>7.8410958904109596E-2</v>
      </c>
      <c r="M659" s="267" t="s">
        <v>85</v>
      </c>
      <c r="N659" s="423">
        <f>L659</f>
        <v>7.8410958904109596E-2</v>
      </c>
      <c r="O659" s="143"/>
      <c r="P659" s="247" t="s">
        <v>636</v>
      </c>
      <c r="Q659" s="267" t="s">
        <v>85</v>
      </c>
      <c r="R659" s="136"/>
      <c r="S659" s="136"/>
      <c r="T659" s="136"/>
    </row>
    <row r="660" spans="1:20">
      <c r="A660" s="6"/>
      <c r="B660" s="143"/>
      <c r="C660" s="143"/>
      <c r="D660" s="143"/>
      <c r="E660" s="143"/>
      <c r="F660" s="273"/>
      <c r="G660" s="143"/>
      <c r="H660" s="246"/>
      <c r="I660" s="267"/>
      <c r="J660" s="246"/>
      <c r="K660" s="246"/>
      <c r="L660" s="246"/>
      <c r="M660" s="267"/>
      <c r="N660" s="333"/>
      <c r="O660" s="143"/>
      <c r="P660" s="246"/>
      <c r="Q660" s="136"/>
      <c r="R660" s="136"/>
      <c r="S660" s="136"/>
      <c r="T660" s="136"/>
    </row>
    <row r="661" spans="1:20">
      <c r="A661" s="143"/>
      <c r="B661" s="143"/>
      <c r="C661" s="143"/>
      <c r="D661" s="299" t="s">
        <v>165</v>
      </c>
      <c r="E661" s="143"/>
      <c r="F661" s="143"/>
      <c r="G661" s="143"/>
      <c r="H661" s="143"/>
      <c r="I661" s="143"/>
      <c r="J661" s="143"/>
      <c r="K661" s="143"/>
      <c r="L661" s="143"/>
      <c r="M661" s="143"/>
      <c r="N661" s="357"/>
      <c r="O661" s="143"/>
      <c r="P661" s="143"/>
      <c r="Q661" s="136"/>
      <c r="R661" s="136"/>
      <c r="S661" s="136"/>
      <c r="T661" s="136"/>
    </row>
    <row r="662" spans="1:20">
      <c r="A662" s="6">
        <f>MAX(A$245:A661)+1</f>
        <v>272</v>
      </c>
      <c r="B662" s="143"/>
      <c r="C662" s="143"/>
      <c r="D662" s="274" t="s">
        <v>438</v>
      </c>
      <c r="E662" s="143"/>
      <c r="F662" s="1" t="s">
        <v>523</v>
      </c>
      <c r="G662" s="143"/>
      <c r="H662" s="99">
        <v>2135.348</v>
      </c>
      <c r="I662" s="143"/>
      <c r="J662" s="121">
        <f t="shared" ref="J662:J667" si="50">ROUND(L662,3)-ROUND(H662,3)</f>
        <v>58.34900000000016</v>
      </c>
      <c r="K662" s="398"/>
      <c r="L662" s="121">
        <v>2193.6970000000001</v>
      </c>
      <c r="M662" s="398"/>
      <c r="N662" s="121">
        <v>2193.6970000000001</v>
      </c>
      <c r="O662" s="143"/>
      <c r="P662" s="149">
        <v>0</v>
      </c>
      <c r="Q662" s="136"/>
      <c r="R662" s="136"/>
      <c r="S662" s="136"/>
      <c r="T662" s="136"/>
    </row>
    <row r="663" spans="1:20">
      <c r="A663" s="6"/>
      <c r="B663" s="143"/>
      <c r="C663" s="143"/>
      <c r="D663" s="274" t="s">
        <v>657</v>
      </c>
      <c r="E663" s="143"/>
      <c r="F663" s="143"/>
      <c r="G663" s="143"/>
      <c r="H663" s="143"/>
      <c r="I663" s="143"/>
      <c r="J663" s="143"/>
      <c r="K663" s="143"/>
      <c r="L663" s="143"/>
      <c r="M663" s="143"/>
      <c r="N663" s="143"/>
      <c r="O663" s="143"/>
      <c r="P663" s="143"/>
      <c r="Q663" s="136"/>
      <c r="R663" s="136"/>
      <c r="S663" s="136"/>
      <c r="T663" s="136"/>
    </row>
    <row r="664" spans="1:20">
      <c r="A664" s="6"/>
      <c r="B664" s="143"/>
      <c r="C664" s="143"/>
      <c r="D664" s="417" t="s">
        <v>630</v>
      </c>
      <c r="E664" s="143"/>
      <c r="F664" s="143"/>
      <c r="G664" s="143"/>
      <c r="H664" s="143"/>
      <c r="I664" s="143"/>
      <c r="J664" s="143"/>
      <c r="K664" s="143"/>
      <c r="L664" s="143"/>
      <c r="M664" s="143"/>
      <c r="N664" s="143"/>
      <c r="O664" s="143"/>
      <c r="P664" s="143"/>
      <c r="Q664" s="136"/>
      <c r="R664" s="136"/>
      <c r="S664" s="136"/>
      <c r="T664" s="136"/>
    </row>
    <row r="665" spans="1:20">
      <c r="A665" s="6">
        <f>MAX(A$245:A664)+1</f>
        <v>273</v>
      </c>
      <c r="B665" s="143"/>
      <c r="C665" s="143"/>
      <c r="D665" s="418" t="s">
        <v>451</v>
      </c>
      <c r="E665" s="143"/>
      <c r="F665" s="269" t="s">
        <v>582</v>
      </c>
      <c r="G665" s="143"/>
      <c r="H665" s="246">
        <v>4.734</v>
      </c>
      <c r="I665" s="246"/>
      <c r="J665" s="246">
        <f t="shared" si="50"/>
        <v>0.12900000000000045</v>
      </c>
      <c r="K665" s="246"/>
      <c r="L665" s="246">
        <v>4.8630000000000004</v>
      </c>
      <c r="M665" s="246"/>
      <c r="N665" s="246">
        <v>4.8630000000000004</v>
      </c>
      <c r="O665" s="246"/>
      <c r="P665" s="149">
        <v>0</v>
      </c>
      <c r="Q665" s="136"/>
      <c r="R665" s="136"/>
      <c r="S665" s="136"/>
      <c r="T665" s="136"/>
    </row>
    <row r="666" spans="1:20">
      <c r="A666" s="6">
        <f>MAX(A$245:A665)+1</f>
        <v>274</v>
      </c>
      <c r="B666" s="143"/>
      <c r="C666" s="143"/>
      <c r="D666" s="418" t="s">
        <v>452</v>
      </c>
      <c r="E666" s="143"/>
      <c r="F666" s="269" t="s">
        <v>582</v>
      </c>
      <c r="G666" s="143"/>
      <c r="H666" s="246">
        <v>2.9039999999999999</v>
      </c>
      <c r="I666" s="246"/>
      <c r="J666" s="246">
        <f t="shared" si="50"/>
        <v>7.9000000000000181E-2</v>
      </c>
      <c r="K666" s="246"/>
      <c r="L666" s="246">
        <v>2.9833526321107704</v>
      </c>
      <c r="M666" s="246"/>
      <c r="N666" s="246">
        <v>2.9833526321107704</v>
      </c>
      <c r="O666" s="246"/>
      <c r="P666" s="149">
        <v>0</v>
      </c>
      <c r="Q666" s="136"/>
      <c r="R666" s="136"/>
      <c r="S666" s="136"/>
      <c r="T666" s="136"/>
    </row>
    <row r="667" spans="1:20">
      <c r="A667" s="6">
        <f>MAX(A$245:A666)+1</f>
        <v>275</v>
      </c>
      <c r="B667" s="143"/>
      <c r="C667" s="143"/>
      <c r="D667" s="418" t="s">
        <v>453</v>
      </c>
      <c r="E667" s="143"/>
      <c r="F667" s="269" t="s">
        <v>582</v>
      </c>
      <c r="G667" s="143"/>
      <c r="H667" s="246">
        <v>2.9039999999999999</v>
      </c>
      <c r="I667" s="246"/>
      <c r="J667" s="246">
        <f t="shared" si="50"/>
        <v>7.9000000000000181E-2</v>
      </c>
      <c r="K667" s="246"/>
      <c r="L667" s="246">
        <v>2.9833526321107704</v>
      </c>
      <c r="M667" s="246"/>
      <c r="N667" s="246">
        <v>2.9833526321107704</v>
      </c>
      <c r="O667" s="246"/>
      <c r="P667" s="149">
        <v>0</v>
      </c>
      <c r="Q667" s="136"/>
      <c r="R667" s="136"/>
      <c r="S667" s="136"/>
      <c r="T667" s="136"/>
    </row>
    <row r="668" spans="1:20">
      <c r="A668" s="6"/>
      <c r="B668" s="143"/>
      <c r="C668" s="143"/>
      <c r="D668" s="143" t="s">
        <v>428</v>
      </c>
      <c r="E668" s="143"/>
      <c r="F668" s="143"/>
      <c r="G668" s="143"/>
      <c r="H668" s="143"/>
      <c r="I668" s="143"/>
      <c r="J668" s="143"/>
      <c r="K668" s="143"/>
      <c r="L668" s="143"/>
      <c r="M668" s="143"/>
      <c r="N668" s="143"/>
      <c r="O668" s="143"/>
      <c r="P668" s="143"/>
      <c r="Q668" s="136"/>
      <c r="R668" s="136"/>
      <c r="S668" s="136"/>
      <c r="T668" s="136"/>
    </row>
    <row r="669" spans="1:20">
      <c r="A669" s="6">
        <f>MAX(A$245:A668)+1</f>
        <v>276</v>
      </c>
      <c r="B669" s="143"/>
      <c r="C669" s="143"/>
      <c r="D669" s="143" t="s">
        <v>658</v>
      </c>
      <c r="E669" s="143"/>
      <c r="F669" s="1" t="s">
        <v>584</v>
      </c>
      <c r="G669" s="143"/>
      <c r="H669" s="247" t="s">
        <v>636</v>
      </c>
      <c r="I669" s="267" t="s">
        <v>85</v>
      </c>
      <c r="J669" s="333">
        <v>0</v>
      </c>
      <c r="K669" s="247"/>
      <c r="L669" s="247" t="s">
        <v>636</v>
      </c>
      <c r="M669" s="267" t="s">
        <v>85</v>
      </c>
      <c r="N669" s="333">
        <v>0</v>
      </c>
      <c r="O669" s="247"/>
      <c r="P669" s="247" t="s">
        <v>636</v>
      </c>
      <c r="Q669" s="267" t="s">
        <v>85</v>
      </c>
      <c r="R669" s="136"/>
      <c r="S669" s="136"/>
      <c r="T669" s="136"/>
    </row>
    <row r="670" spans="1:20">
      <c r="A670" s="6">
        <f>MAX(A$245:A669)+1</f>
        <v>277</v>
      </c>
      <c r="B670" s="143"/>
      <c r="C670" s="143"/>
      <c r="D670" s="143" t="s">
        <v>659</v>
      </c>
      <c r="E670" s="143"/>
      <c r="F670" s="1" t="s">
        <v>584</v>
      </c>
      <c r="G670" s="143"/>
      <c r="H670" s="247" t="s">
        <v>636</v>
      </c>
      <c r="I670" s="267" t="s">
        <v>85</v>
      </c>
      <c r="J670" s="333">
        <v>0</v>
      </c>
      <c r="K670" s="247"/>
      <c r="L670" s="247" t="s">
        <v>636</v>
      </c>
      <c r="M670" s="267" t="s">
        <v>85</v>
      </c>
      <c r="N670" s="333">
        <v>0</v>
      </c>
      <c r="O670" s="247"/>
      <c r="P670" s="247" t="s">
        <v>636</v>
      </c>
      <c r="Q670" s="267" t="s">
        <v>85</v>
      </c>
      <c r="R670" s="136"/>
      <c r="S670" s="136"/>
      <c r="T670" s="136"/>
    </row>
    <row r="671" spans="1:20">
      <c r="A671" s="6">
        <f>MAX(A$245:A670)+1</f>
        <v>278</v>
      </c>
      <c r="B671" s="143"/>
      <c r="C671" s="143"/>
      <c r="D671" s="143" t="s">
        <v>660</v>
      </c>
      <c r="E671" s="143"/>
      <c r="F671" s="1" t="s">
        <v>584</v>
      </c>
      <c r="G671" s="143"/>
      <c r="H671" s="247" t="s">
        <v>636</v>
      </c>
      <c r="I671" s="267" t="s">
        <v>85</v>
      </c>
      <c r="J671" s="333">
        <v>0</v>
      </c>
      <c r="K671" s="247"/>
      <c r="L671" s="247" t="s">
        <v>636</v>
      </c>
      <c r="M671" s="267" t="s">
        <v>85</v>
      </c>
      <c r="N671" s="333">
        <v>0</v>
      </c>
      <c r="O671" s="247"/>
      <c r="P671" s="247" t="s">
        <v>636</v>
      </c>
      <c r="Q671" s="267" t="s">
        <v>85</v>
      </c>
      <c r="R671" s="136"/>
      <c r="S671" s="136"/>
      <c r="T671" s="136"/>
    </row>
    <row r="672" spans="1:20">
      <c r="A672" s="6">
        <f>MAX(A$245:A671)+1</f>
        <v>279</v>
      </c>
      <c r="B672" s="143"/>
      <c r="C672" s="143"/>
      <c r="D672" s="143" t="s">
        <v>661</v>
      </c>
      <c r="E672" s="143"/>
      <c r="F672" s="1" t="s">
        <v>584</v>
      </c>
      <c r="G672" s="143"/>
      <c r="H672" s="247" t="s">
        <v>636</v>
      </c>
      <c r="I672" s="267" t="s">
        <v>85</v>
      </c>
      <c r="J672" s="333">
        <v>0</v>
      </c>
      <c r="K672" s="247"/>
      <c r="L672" s="247" t="s">
        <v>636</v>
      </c>
      <c r="M672" s="267" t="s">
        <v>85</v>
      </c>
      <c r="N672" s="333">
        <v>0</v>
      </c>
      <c r="O672" s="247"/>
      <c r="P672" s="247" t="s">
        <v>636</v>
      </c>
      <c r="Q672" s="267" t="s">
        <v>85</v>
      </c>
      <c r="R672" s="136"/>
      <c r="S672" s="136"/>
      <c r="T672" s="136"/>
    </row>
    <row r="673" spans="1:20">
      <c r="A673" s="6">
        <f>MAX(A$245:A672)+1</f>
        <v>280</v>
      </c>
      <c r="B673" s="143"/>
      <c r="C673" s="143"/>
      <c r="D673" s="143" t="s">
        <v>662</v>
      </c>
      <c r="E673" s="143"/>
      <c r="F673" s="1" t="s">
        <v>584</v>
      </c>
      <c r="G673" s="143"/>
      <c r="H673" s="247" t="s">
        <v>636</v>
      </c>
      <c r="I673" s="267" t="s">
        <v>85</v>
      </c>
      <c r="J673" s="333">
        <v>0</v>
      </c>
      <c r="K673" s="247"/>
      <c r="L673" s="247" t="s">
        <v>636</v>
      </c>
      <c r="M673" s="267" t="s">
        <v>85</v>
      </c>
      <c r="N673" s="333">
        <v>0</v>
      </c>
      <c r="O673" s="247"/>
      <c r="P673" s="247" t="s">
        <v>636</v>
      </c>
      <c r="Q673" s="267" t="s">
        <v>85</v>
      </c>
      <c r="R673" s="136"/>
      <c r="S673" s="136"/>
      <c r="T673" s="136"/>
    </row>
    <row r="674" spans="1:20">
      <c r="A674" s="6">
        <f>MAX(A$245:A673)+1</f>
        <v>281</v>
      </c>
      <c r="B674" s="143"/>
      <c r="C674" s="143"/>
      <c r="D674" s="143" t="s">
        <v>663</v>
      </c>
      <c r="E674" s="143"/>
      <c r="F674" s="1" t="s">
        <v>584</v>
      </c>
      <c r="G674" s="143"/>
      <c r="H674" s="247" t="s">
        <v>636</v>
      </c>
      <c r="I674" s="267" t="s">
        <v>85</v>
      </c>
      <c r="J674" s="333">
        <v>0</v>
      </c>
      <c r="K674" s="247"/>
      <c r="L674" s="247" t="s">
        <v>636</v>
      </c>
      <c r="M674" s="267" t="s">
        <v>85</v>
      </c>
      <c r="N674" s="333">
        <v>0</v>
      </c>
      <c r="O674" s="247"/>
      <c r="P674" s="247" t="s">
        <v>636</v>
      </c>
      <c r="Q674" s="267" t="s">
        <v>85</v>
      </c>
      <c r="R674" s="136"/>
      <c r="S674" s="136"/>
      <c r="T674" s="136"/>
    </row>
    <row r="675" spans="1:20">
      <c r="A675" s="143"/>
      <c r="B675" s="143"/>
      <c r="C675" s="143"/>
      <c r="D675" s="143"/>
      <c r="E675" s="143"/>
      <c r="F675" s="143"/>
      <c r="G675" s="143"/>
      <c r="H675" s="143"/>
      <c r="I675" s="143"/>
      <c r="J675" s="143"/>
      <c r="K675" s="143"/>
      <c r="L675" s="143"/>
      <c r="M675" s="143"/>
      <c r="N675" s="143"/>
      <c r="O675" s="143"/>
      <c r="P675" s="143"/>
      <c r="Q675" s="136"/>
      <c r="R675" s="136"/>
      <c r="S675" s="136"/>
      <c r="T675" s="136"/>
    </row>
    <row r="676" spans="1:20">
      <c r="A676" s="6"/>
      <c r="B676" s="143"/>
      <c r="C676" s="143"/>
      <c r="D676" s="143" t="s">
        <v>628</v>
      </c>
      <c r="E676" s="143"/>
      <c r="F676" s="143"/>
      <c r="G676" s="143"/>
      <c r="H676" s="143"/>
      <c r="I676" s="143"/>
      <c r="J676" s="143"/>
      <c r="K676" s="143"/>
      <c r="L676" s="143"/>
      <c r="M676" s="143"/>
      <c r="N676" s="143"/>
      <c r="O676" s="143"/>
      <c r="P676" s="143"/>
      <c r="Q676" s="136"/>
      <c r="R676" s="136"/>
      <c r="S676" s="136"/>
      <c r="T676" s="136"/>
    </row>
    <row r="677" spans="1:20">
      <c r="A677" s="6"/>
      <c r="B677" s="143"/>
      <c r="C677" s="143"/>
      <c r="D677" s="143" t="s">
        <v>664</v>
      </c>
      <c r="E677" s="143"/>
      <c r="F677" s="143"/>
      <c r="G677" s="143"/>
      <c r="H677" s="143"/>
      <c r="I677" s="143"/>
      <c r="J677" s="143"/>
      <c r="K677" s="143"/>
      <c r="L677" s="143"/>
      <c r="M677" s="143"/>
      <c r="N677" s="143"/>
      <c r="O677" s="143"/>
      <c r="P677" s="143"/>
      <c r="Q677" s="136"/>
      <c r="R677" s="136"/>
      <c r="S677" s="136"/>
      <c r="T677" s="136"/>
    </row>
    <row r="678" spans="1:20">
      <c r="A678" s="6">
        <f>MAX(A$245:A677)+1</f>
        <v>282</v>
      </c>
      <c r="B678" s="143"/>
      <c r="C678" s="143"/>
      <c r="D678" s="417" t="s">
        <v>665</v>
      </c>
      <c r="E678" s="143"/>
      <c r="F678" s="1" t="s">
        <v>584</v>
      </c>
      <c r="G678" s="143"/>
      <c r="H678" s="246">
        <v>0.156</v>
      </c>
      <c r="I678" s="267" t="s">
        <v>85</v>
      </c>
      <c r="J678" s="246">
        <f t="shared" ref="J678:J683" si="51">ROUND(L678,3)-ROUND(H678,3)</f>
        <v>4.0000000000000036E-3</v>
      </c>
      <c r="K678" s="246"/>
      <c r="L678" s="246">
        <v>0.15987945205479454</v>
      </c>
      <c r="M678" s="267" t="s">
        <v>85</v>
      </c>
      <c r="N678" s="425">
        <f>L678</f>
        <v>0.15987945205479454</v>
      </c>
      <c r="O678" s="143"/>
      <c r="P678" s="247" t="s">
        <v>636</v>
      </c>
      <c r="Q678" s="267" t="s">
        <v>85</v>
      </c>
      <c r="R678" s="136"/>
      <c r="S678" s="136"/>
      <c r="T678" s="136"/>
    </row>
    <row r="679" spans="1:20">
      <c r="A679" s="6">
        <f>MAX(A$245:A678)+1</f>
        <v>283</v>
      </c>
      <c r="B679" s="143"/>
      <c r="C679" s="143"/>
      <c r="D679" s="417" t="s">
        <v>666</v>
      </c>
      <c r="E679" s="143"/>
      <c r="F679" s="1" t="s">
        <v>584</v>
      </c>
      <c r="G679" s="143"/>
      <c r="H679" s="246">
        <v>0.156</v>
      </c>
      <c r="I679" s="267" t="s">
        <v>85</v>
      </c>
      <c r="J679" s="246">
        <f t="shared" si="51"/>
        <v>4.0000000000000036E-3</v>
      </c>
      <c r="K679" s="246"/>
      <c r="L679" s="246">
        <v>0.15987945205479454</v>
      </c>
      <c r="M679" s="267" t="s">
        <v>85</v>
      </c>
      <c r="N679" s="425">
        <f t="shared" ref="N679:N683" si="52">L679</f>
        <v>0.15987945205479454</v>
      </c>
      <c r="O679" s="143"/>
      <c r="P679" s="247" t="s">
        <v>636</v>
      </c>
      <c r="Q679" s="267" t="s">
        <v>85</v>
      </c>
      <c r="R679" s="136"/>
      <c r="S679" s="136"/>
      <c r="T679" s="136"/>
    </row>
    <row r="680" spans="1:20">
      <c r="A680" s="6">
        <f>MAX(A$245:A679)+1</f>
        <v>284</v>
      </c>
      <c r="B680" s="143"/>
      <c r="C680" s="143"/>
      <c r="D680" s="417" t="s">
        <v>667</v>
      </c>
      <c r="E680" s="143"/>
      <c r="F680" s="1" t="s">
        <v>584</v>
      </c>
      <c r="G680" s="143"/>
      <c r="H680" s="246">
        <v>9.5000000000000001E-2</v>
      </c>
      <c r="I680" s="267" t="s">
        <v>85</v>
      </c>
      <c r="J680" s="246">
        <f t="shared" si="51"/>
        <v>3.0000000000000027E-3</v>
      </c>
      <c r="K680" s="246"/>
      <c r="L680" s="246">
        <v>9.8082826261176009E-2</v>
      </c>
      <c r="M680" s="267" t="s">
        <v>85</v>
      </c>
      <c r="N680" s="425">
        <f t="shared" si="52"/>
        <v>9.8082826261176009E-2</v>
      </c>
      <c r="O680" s="143"/>
      <c r="P680" s="247" t="s">
        <v>636</v>
      </c>
      <c r="Q680" s="267" t="s">
        <v>85</v>
      </c>
      <c r="R680" s="136"/>
      <c r="S680" s="136"/>
      <c r="T680" s="136"/>
    </row>
    <row r="681" spans="1:20">
      <c r="A681" s="6">
        <f>MAX(A$245:A680)+1</f>
        <v>285</v>
      </c>
      <c r="B681" s="143"/>
      <c r="C681" s="143"/>
      <c r="D681" s="417" t="s">
        <v>668</v>
      </c>
      <c r="E681" s="143"/>
      <c r="F681" s="1" t="s">
        <v>584</v>
      </c>
      <c r="G681" s="143"/>
      <c r="H681" s="246">
        <v>9.5000000000000001E-2</v>
      </c>
      <c r="I681" s="267" t="s">
        <v>85</v>
      </c>
      <c r="J681" s="246">
        <f t="shared" si="51"/>
        <v>3.0000000000000027E-3</v>
      </c>
      <c r="K681" s="246"/>
      <c r="L681" s="246">
        <v>9.8082826261176009E-2</v>
      </c>
      <c r="M681" s="267" t="s">
        <v>85</v>
      </c>
      <c r="N681" s="425">
        <f t="shared" si="52"/>
        <v>9.8082826261176009E-2</v>
      </c>
      <c r="O681" s="143"/>
      <c r="P681" s="247" t="s">
        <v>636</v>
      </c>
      <c r="Q681" s="267" t="s">
        <v>85</v>
      </c>
      <c r="R681" s="136"/>
      <c r="S681" s="136"/>
      <c r="T681" s="136"/>
    </row>
    <row r="682" spans="1:20">
      <c r="A682" s="6">
        <f>MAX(A$245:A681)+1</f>
        <v>286</v>
      </c>
      <c r="B682" s="143"/>
      <c r="C682" s="143"/>
      <c r="D682" s="417" t="s">
        <v>669</v>
      </c>
      <c r="E682" s="143"/>
      <c r="F682" s="1" t="s">
        <v>584</v>
      </c>
      <c r="G682" s="143"/>
      <c r="H682" s="246">
        <v>9.5000000000000001E-2</v>
      </c>
      <c r="I682" s="267" t="s">
        <v>85</v>
      </c>
      <c r="J682" s="246">
        <f t="shared" si="51"/>
        <v>3.0000000000000027E-3</v>
      </c>
      <c r="K682" s="246"/>
      <c r="L682" s="246">
        <v>9.8082826261176009E-2</v>
      </c>
      <c r="M682" s="267" t="s">
        <v>85</v>
      </c>
      <c r="N682" s="425">
        <f t="shared" si="52"/>
        <v>9.8082826261176009E-2</v>
      </c>
      <c r="O682" s="143"/>
      <c r="P682" s="247" t="s">
        <v>636</v>
      </c>
      <c r="Q682" s="267" t="s">
        <v>85</v>
      </c>
      <c r="R682" s="136"/>
      <c r="S682" s="136"/>
      <c r="T682" s="136"/>
    </row>
    <row r="683" spans="1:20">
      <c r="A683" s="6">
        <f>MAX(A$245:A682)+1</f>
        <v>287</v>
      </c>
      <c r="B683" s="143"/>
      <c r="C683" s="143"/>
      <c r="D683" s="417" t="s">
        <v>670</v>
      </c>
      <c r="E683" s="143"/>
      <c r="F683" s="1" t="s">
        <v>584</v>
      </c>
      <c r="G683" s="143"/>
      <c r="H683" s="246">
        <v>9.5000000000000001E-2</v>
      </c>
      <c r="I683" s="267" t="s">
        <v>85</v>
      </c>
      <c r="J683" s="246">
        <f t="shared" si="51"/>
        <v>3.0000000000000027E-3</v>
      </c>
      <c r="K683" s="246"/>
      <c r="L683" s="246">
        <v>9.8082826261176009E-2</v>
      </c>
      <c r="M683" s="267" t="s">
        <v>85</v>
      </c>
      <c r="N683" s="425">
        <f t="shared" si="52"/>
        <v>9.8082826261176009E-2</v>
      </c>
      <c r="O683" s="143"/>
      <c r="P683" s="247" t="s">
        <v>636</v>
      </c>
      <c r="Q683" s="267" t="s">
        <v>85</v>
      </c>
      <c r="R683" s="136"/>
      <c r="S683" s="136"/>
      <c r="T683" s="136"/>
    </row>
    <row r="684" spans="1:20">
      <c r="A684" s="143"/>
      <c r="B684" s="143"/>
      <c r="C684" s="143"/>
      <c r="D684" s="143"/>
      <c r="E684" s="143"/>
      <c r="F684" s="143"/>
      <c r="G684" s="143"/>
      <c r="H684" s="143"/>
      <c r="I684" s="143"/>
      <c r="J684" s="143"/>
      <c r="K684" s="143"/>
      <c r="L684" s="143"/>
      <c r="M684" s="143"/>
      <c r="N684" s="143"/>
      <c r="O684" s="143"/>
      <c r="P684" s="143"/>
      <c r="Q684" s="136"/>
      <c r="R684" s="136"/>
      <c r="S684" s="136"/>
      <c r="T684" s="136"/>
    </row>
    <row r="685" spans="1:20">
      <c r="A685" s="143"/>
      <c r="B685" s="143"/>
      <c r="C685" s="143"/>
      <c r="D685" s="143"/>
      <c r="E685" s="143"/>
      <c r="F685" s="143"/>
      <c r="G685" s="143"/>
      <c r="H685" s="143"/>
      <c r="I685" s="143"/>
      <c r="J685" s="143"/>
      <c r="K685" s="143"/>
      <c r="L685" s="143"/>
      <c r="M685" s="143"/>
      <c r="N685" s="143"/>
      <c r="O685" s="143"/>
      <c r="P685" s="143"/>
      <c r="Q685" s="136"/>
      <c r="R685" s="136"/>
      <c r="S685" s="136"/>
      <c r="T685" s="136"/>
    </row>
    <row r="686" spans="1:20">
      <c r="A686" s="143"/>
      <c r="B686" s="143"/>
      <c r="C686" s="143"/>
      <c r="D686" s="143"/>
      <c r="E686" s="143"/>
      <c r="F686" s="143"/>
      <c r="G686" s="143"/>
      <c r="H686" s="143"/>
      <c r="I686" s="143"/>
      <c r="J686" s="143"/>
      <c r="K686" s="143"/>
      <c r="L686" s="143"/>
      <c r="M686" s="143"/>
      <c r="N686" s="143"/>
      <c r="O686" s="143"/>
      <c r="P686" s="143"/>
      <c r="Q686" s="136"/>
      <c r="R686" s="136"/>
      <c r="S686" s="136"/>
      <c r="T686" s="136"/>
    </row>
    <row r="687" spans="1:20">
      <c r="A687" s="143"/>
      <c r="B687" s="143"/>
      <c r="C687" s="143"/>
      <c r="D687" s="143"/>
      <c r="E687" s="143"/>
      <c r="F687" s="143"/>
      <c r="G687" s="143"/>
      <c r="H687" s="143"/>
      <c r="I687" s="143"/>
      <c r="J687" s="143"/>
      <c r="K687" s="143"/>
      <c r="L687" s="143"/>
      <c r="M687" s="143"/>
      <c r="N687" s="143"/>
      <c r="O687" s="143"/>
      <c r="P687" s="143"/>
      <c r="Q687" s="136"/>
      <c r="R687" s="136"/>
      <c r="S687" s="136"/>
      <c r="T687" s="136"/>
    </row>
    <row r="688" spans="1:20">
      <c r="A688" s="143"/>
      <c r="B688" s="143"/>
      <c r="C688" s="143"/>
      <c r="D688" s="143"/>
      <c r="E688" s="143"/>
      <c r="F688" s="143"/>
      <c r="G688" s="143"/>
      <c r="H688" s="143"/>
      <c r="I688" s="143"/>
      <c r="J688" s="143"/>
      <c r="K688" s="143"/>
      <c r="L688" s="143"/>
      <c r="M688" s="143"/>
      <c r="N688" s="143"/>
      <c r="O688" s="143"/>
      <c r="P688" s="143"/>
      <c r="Q688" s="136"/>
      <c r="R688" s="136"/>
      <c r="S688" s="136"/>
      <c r="T688" s="136"/>
    </row>
    <row r="689" spans="1:20">
      <c r="A689" s="1163"/>
      <c r="B689" s="1163"/>
      <c r="C689" s="1163"/>
      <c r="D689" s="1206"/>
      <c r="E689" s="1206"/>
      <c r="F689" s="1206"/>
      <c r="G689" s="1206"/>
      <c r="H689" s="1206"/>
      <c r="I689" s="1206"/>
      <c r="J689" s="1206"/>
      <c r="K689" s="1206"/>
      <c r="L689" s="1206"/>
      <c r="M689" s="1206"/>
      <c r="N689" s="1206"/>
      <c r="O689" s="1206"/>
      <c r="P689" s="1206"/>
      <c r="Q689" s="136"/>
      <c r="R689" s="136"/>
      <c r="S689" s="136"/>
      <c r="T689" s="136"/>
    </row>
    <row r="690" spans="1:20">
      <c r="A690" s="1163" t="s">
        <v>543</v>
      </c>
      <c r="B690" s="1163"/>
      <c r="C690" s="1163"/>
      <c r="D690" s="1206"/>
      <c r="E690" s="1206"/>
      <c r="F690" s="1206"/>
      <c r="G690" s="1206"/>
      <c r="H690" s="1206"/>
      <c r="I690" s="1206"/>
      <c r="J690" s="1206"/>
      <c r="K690" s="1206"/>
      <c r="L690" s="1206"/>
      <c r="M690" s="1206"/>
      <c r="N690" s="1206"/>
      <c r="O690" s="1206"/>
      <c r="P690" s="1206"/>
      <c r="Q690" s="136"/>
      <c r="R690" s="136"/>
      <c r="S690" s="136"/>
      <c r="T690" s="136"/>
    </row>
    <row r="691" spans="1:20">
      <c r="A691" s="1162" t="s">
        <v>624</v>
      </c>
      <c r="B691" s="1206"/>
      <c r="C691" s="1206"/>
      <c r="D691" s="1206"/>
      <c r="E691" s="1206"/>
      <c r="F691" s="1206"/>
      <c r="G691" s="1206"/>
      <c r="H691" s="1206"/>
      <c r="I691" s="1206"/>
      <c r="J691" s="1206"/>
      <c r="K691" s="1206"/>
      <c r="L691" s="1206"/>
      <c r="M691" s="1206"/>
      <c r="N691" s="1206"/>
      <c r="O691" s="1206"/>
      <c r="P691" s="1206"/>
      <c r="Q691" s="136"/>
      <c r="R691" s="136"/>
      <c r="S691" s="136"/>
      <c r="T691" s="136"/>
    </row>
    <row r="692" spans="1:20">
      <c r="A692" s="6"/>
      <c r="B692" s="52"/>
      <c r="Q692" s="136"/>
      <c r="R692" s="136"/>
      <c r="S692" s="136"/>
      <c r="T692" s="136"/>
    </row>
    <row r="693" spans="1:20" ht="12.75" customHeight="1">
      <c r="A693" s="6"/>
      <c r="G693" s="55"/>
      <c r="H693" s="2"/>
      <c r="I693" s="2"/>
      <c r="J693" s="2"/>
      <c r="K693" s="2"/>
      <c r="L693" s="2"/>
      <c r="M693" s="2"/>
      <c r="N693" s="1160" t="s">
        <v>514</v>
      </c>
      <c r="O693" s="1160"/>
      <c r="P693" s="1160"/>
      <c r="Q693" s="136"/>
      <c r="R693" s="136"/>
      <c r="S693" s="136"/>
      <c r="T693" s="136"/>
    </row>
    <row r="694" spans="1:20">
      <c r="A694" s="6"/>
      <c r="G694" s="282"/>
      <c r="H694" s="6"/>
      <c r="I694" s="57"/>
      <c r="J694" s="1164" t="s">
        <v>515</v>
      </c>
      <c r="K694" s="1164"/>
      <c r="L694" s="1164"/>
      <c r="N694" s="1161"/>
      <c r="O694" s="1161"/>
      <c r="P694" s="1161"/>
      <c r="Q694" s="136"/>
      <c r="R694" s="136"/>
      <c r="S694" s="136"/>
      <c r="T694" s="136"/>
    </row>
    <row r="695" spans="1:20">
      <c r="A695" s="6" t="s">
        <v>56</v>
      </c>
      <c r="C695" s="52"/>
      <c r="F695" s="55"/>
      <c r="G695" s="51"/>
      <c r="H695" s="6" t="s">
        <v>93</v>
      </c>
      <c r="I695" s="57"/>
      <c r="J695" s="1" t="s">
        <v>516</v>
      </c>
      <c r="K695" s="4"/>
      <c r="L695" s="6" t="s">
        <v>102</v>
      </c>
      <c r="N695" s="17"/>
      <c r="O695" s="17"/>
      <c r="P695" s="17"/>
      <c r="Q695" s="136"/>
      <c r="R695" s="136"/>
      <c r="S695" s="136"/>
      <c r="T695" s="136"/>
    </row>
    <row r="696" spans="1:20">
      <c r="A696" s="53" t="s">
        <v>57</v>
      </c>
      <c r="B696" s="55"/>
      <c r="C696" s="56"/>
      <c r="D696" s="54" t="s">
        <v>194</v>
      </c>
      <c r="F696" s="271" t="s">
        <v>245</v>
      </c>
      <c r="G696" s="55"/>
      <c r="H696" s="356" t="s">
        <v>235</v>
      </c>
      <c r="I696" s="17"/>
      <c r="J696" s="237" t="s">
        <v>517</v>
      </c>
      <c r="L696" s="356" t="s">
        <v>518</v>
      </c>
      <c r="N696" s="7" t="s">
        <v>6</v>
      </c>
      <c r="O696" s="1"/>
      <c r="P696" s="7" t="s">
        <v>519</v>
      </c>
      <c r="Q696" s="136"/>
      <c r="R696" s="136"/>
      <c r="S696" s="136"/>
      <c r="T696" s="136"/>
    </row>
    <row r="697" spans="1:20">
      <c r="A697" s="6"/>
      <c r="F697" s="283"/>
      <c r="G697" s="55"/>
      <c r="H697" s="6" t="s">
        <v>520</v>
      </c>
      <c r="I697" s="6"/>
      <c r="J697" s="123" t="s">
        <v>521</v>
      </c>
      <c r="L697" s="6" t="s">
        <v>522</v>
      </c>
      <c r="N697" s="8" t="s">
        <v>12</v>
      </c>
      <c r="O697" s="1"/>
      <c r="P697" s="8" t="s">
        <v>13</v>
      </c>
      <c r="Q697" s="136"/>
      <c r="R697" s="136"/>
      <c r="S697" s="136"/>
      <c r="T697" s="136"/>
    </row>
    <row r="698" spans="1:20">
      <c r="A698" s="143"/>
      <c r="B698" s="143"/>
      <c r="C698" s="143"/>
      <c r="D698" s="299" t="s">
        <v>162</v>
      </c>
      <c r="E698" s="143"/>
      <c r="F698" s="143"/>
      <c r="G698" s="143"/>
      <c r="H698" s="143"/>
      <c r="I698" s="143"/>
      <c r="J698" s="143"/>
      <c r="K698" s="143"/>
      <c r="L698" s="143"/>
      <c r="M698" s="143"/>
      <c r="N698" s="143"/>
      <c r="O698" s="143"/>
      <c r="P698" s="143"/>
      <c r="Q698" s="136"/>
      <c r="R698" s="136"/>
      <c r="S698" s="136"/>
      <c r="T698" s="136"/>
    </row>
    <row r="699" spans="1:20">
      <c r="A699" s="6">
        <f>MAX(A$245:A698)+1</f>
        <v>288</v>
      </c>
      <c r="B699" s="143"/>
      <c r="C699" s="143"/>
      <c r="D699" s="419" t="s">
        <v>630</v>
      </c>
      <c r="E699" s="143"/>
      <c r="F699" s="143"/>
      <c r="G699" s="143"/>
      <c r="H699" s="143"/>
      <c r="I699" s="143"/>
      <c r="J699" s="143"/>
      <c r="K699" s="143"/>
      <c r="L699" s="143"/>
      <c r="M699" s="143"/>
      <c r="N699" s="143"/>
      <c r="O699" s="143"/>
      <c r="P699" s="143"/>
      <c r="Q699" s="136"/>
      <c r="R699" s="136"/>
      <c r="S699" s="136"/>
      <c r="T699" s="136"/>
    </row>
    <row r="700" spans="1:20">
      <c r="A700" s="6">
        <f>MAX(A$245:A699)+1</f>
        <v>289</v>
      </c>
      <c r="B700" s="143"/>
      <c r="C700" s="143"/>
      <c r="D700" s="417" t="s">
        <v>408</v>
      </c>
      <c r="E700" s="143"/>
      <c r="F700" s="269" t="s">
        <v>582</v>
      </c>
      <c r="G700" s="143"/>
      <c r="H700" s="246">
        <v>3.76</v>
      </c>
      <c r="I700" s="246"/>
      <c r="J700" s="246">
        <f t="shared" ref="J700:J708" si="53">ROUND(L700,3)-ROUND(H700,3)</f>
        <v>0.10500000000000043</v>
      </c>
      <c r="K700" s="246"/>
      <c r="L700" s="246">
        <v>3.8652802617621886</v>
      </c>
      <c r="M700" s="246"/>
      <c r="N700" s="246">
        <v>3.8652802617621886</v>
      </c>
      <c r="O700" s="246"/>
      <c r="P700" s="149">
        <v>0</v>
      </c>
      <c r="Q700" s="136"/>
    </row>
    <row r="701" spans="1:20">
      <c r="A701" s="6">
        <f>MAX(A$245:A700)+1</f>
        <v>290</v>
      </c>
      <c r="B701" s="143"/>
      <c r="C701" s="143"/>
      <c r="D701" s="417" t="s">
        <v>410</v>
      </c>
      <c r="E701" s="143"/>
      <c r="F701" s="269" t="s">
        <v>582</v>
      </c>
      <c r="G701" s="143"/>
      <c r="H701" s="246">
        <v>3.19</v>
      </c>
      <c r="I701" s="246"/>
      <c r="J701" s="246">
        <f t="shared" si="53"/>
        <v>9.2000000000000082E-2</v>
      </c>
      <c r="K701" s="246"/>
      <c r="L701" s="246">
        <v>3.2818224905865945</v>
      </c>
      <c r="M701" s="246"/>
      <c r="N701" s="246">
        <v>3.2818224905865945</v>
      </c>
      <c r="O701" s="246"/>
      <c r="P701" s="149">
        <v>0</v>
      </c>
      <c r="Q701" s="136"/>
    </row>
    <row r="702" spans="1:20">
      <c r="A702" s="6">
        <f>MAX(A$245:A701)+1</f>
        <v>291</v>
      </c>
      <c r="B702" s="143"/>
      <c r="C702" s="143"/>
      <c r="D702" s="417" t="s">
        <v>411</v>
      </c>
      <c r="E702" s="143"/>
      <c r="F702" s="269" t="s">
        <v>582</v>
      </c>
      <c r="G702" s="143"/>
      <c r="H702" s="246">
        <v>0.56999999999999995</v>
      </c>
      <c r="I702" s="246"/>
      <c r="J702" s="246">
        <f t="shared" si="53"/>
        <v>1.3000000000000012E-2</v>
      </c>
      <c r="K702" s="246"/>
      <c r="L702" s="246">
        <v>0.58345777117559416</v>
      </c>
      <c r="M702" s="246"/>
      <c r="N702" s="246">
        <v>0.58345777117559416</v>
      </c>
      <c r="O702" s="246"/>
      <c r="P702" s="149">
        <v>0</v>
      </c>
      <c r="Q702" s="136"/>
    </row>
    <row r="703" spans="1:20">
      <c r="A703" s="6">
        <f>MAX(A$245:A702)+1</f>
        <v>292</v>
      </c>
      <c r="B703" s="143"/>
      <c r="C703" s="143"/>
      <c r="D703" s="417" t="s">
        <v>671</v>
      </c>
      <c r="E703" s="143"/>
      <c r="F703" s="269" t="s">
        <v>582</v>
      </c>
      <c r="G703" s="143"/>
      <c r="H703" s="246">
        <v>0.88800000000000001</v>
      </c>
      <c r="I703" s="246"/>
      <c r="J703" s="246">
        <f t="shared" si="53"/>
        <v>2.1000000000000019E-2</v>
      </c>
      <c r="K703" s="246"/>
      <c r="L703" s="246">
        <v>0.90877550597127299</v>
      </c>
      <c r="M703" s="246"/>
      <c r="N703" s="246">
        <v>0.90877550597127299</v>
      </c>
      <c r="O703" s="246"/>
      <c r="P703" s="149">
        <v>0</v>
      </c>
      <c r="Q703" s="136"/>
    </row>
    <row r="704" spans="1:20">
      <c r="A704" s="6">
        <f>MAX(A$245:A703)+1</f>
        <v>293</v>
      </c>
      <c r="B704" s="143"/>
      <c r="C704" s="143"/>
      <c r="D704" s="417" t="s">
        <v>434</v>
      </c>
      <c r="E704" s="143"/>
      <c r="F704" s="269" t="s">
        <v>582</v>
      </c>
      <c r="G704" s="143"/>
      <c r="H704" s="246">
        <v>0.88800000000000001</v>
      </c>
      <c r="I704" s="246"/>
      <c r="J704" s="246">
        <f t="shared" si="53"/>
        <v>2.1000000000000019E-2</v>
      </c>
      <c r="K704" s="246"/>
      <c r="L704" s="246">
        <v>0.90877550597127299</v>
      </c>
      <c r="M704" s="246"/>
      <c r="N704" s="246">
        <v>0.90877550597127299</v>
      </c>
      <c r="O704" s="246"/>
      <c r="P704" s="149">
        <v>0</v>
      </c>
    </row>
    <row r="705" spans="1:29">
      <c r="A705" s="6">
        <f>MAX(A$245:A704)+1</f>
        <v>294</v>
      </c>
      <c r="B705" s="143"/>
      <c r="C705" s="143"/>
      <c r="D705" s="417" t="s">
        <v>417</v>
      </c>
      <c r="E705" s="143"/>
      <c r="F705" s="269" t="s">
        <v>582</v>
      </c>
      <c r="G705" s="143"/>
      <c r="H705" s="246">
        <v>1.5669999999999999</v>
      </c>
      <c r="I705" s="246"/>
      <c r="J705" s="246">
        <f t="shared" si="53"/>
        <v>3.6000000000000032E-2</v>
      </c>
      <c r="K705" s="246"/>
      <c r="L705" s="246">
        <v>1.6026974922810524</v>
      </c>
      <c r="M705" s="246"/>
      <c r="N705" s="246">
        <v>1.6026974922810524</v>
      </c>
      <c r="O705" s="246"/>
      <c r="P705" s="149">
        <v>0</v>
      </c>
      <c r="Q705" s="136"/>
    </row>
    <row r="706" spans="1:29">
      <c r="A706" s="6">
        <f>MAX(A$245:A705)+1</f>
        <v>295</v>
      </c>
      <c r="B706" s="143"/>
      <c r="C706" s="143"/>
      <c r="D706" s="417" t="s">
        <v>672</v>
      </c>
      <c r="E706" s="143"/>
      <c r="F706" s="269" t="s">
        <v>582</v>
      </c>
      <c r="G706" s="143"/>
      <c r="H706" s="246">
        <v>2.3260000000000001</v>
      </c>
      <c r="I706" s="246"/>
      <c r="J706" s="246">
        <f t="shared" si="53"/>
        <v>5.8999999999999719E-2</v>
      </c>
      <c r="K706" s="246"/>
      <c r="L706" s="246">
        <v>2.3850000000000002</v>
      </c>
      <c r="M706" s="246"/>
      <c r="N706" s="246">
        <v>2.2250000000000001</v>
      </c>
      <c r="O706" s="246"/>
      <c r="P706" s="420">
        <v>0.16</v>
      </c>
      <c r="Q706" s="136"/>
      <c r="R706" s="136"/>
      <c r="S706" s="136"/>
      <c r="T706" s="136"/>
    </row>
    <row r="707" spans="1:29">
      <c r="A707" s="6">
        <f>MAX(A$245:A706)+1</f>
        <v>296</v>
      </c>
      <c r="B707" s="143"/>
      <c r="C707" s="143"/>
      <c r="D707" s="417" t="s">
        <v>426</v>
      </c>
      <c r="E707" s="143"/>
      <c r="F707" s="269" t="s">
        <v>582</v>
      </c>
      <c r="G707" s="143"/>
      <c r="H707" s="246">
        <v>3.2000000000000001E-2</v>
      </c>
      <c r="I707" s="246"/>
      <c r="J707" s="246">
        <f t="shared" si="53"/>
        <v>1.0000000000000009E-3</v>
      </c>
      <c r="K707" s="246"/>
      <c r="L707" s="246">
        <v>3.3000000000000002E-2</v>
      </c>
      <c r="M707" s="246"/>
      <c r="N707" s="246">
        <v>3.3000000000000002E-2</v>
      </c>
      <c r="O707" s="246"/>
      <c r="P707" s="149">
        <v>0</v>
      </c>
      <c r="Q707" s="136"/>
      <c r="R707" s="136"/>
      <c r="S707" s="136"/>
      <c r="T707" s="136"/>
    </row>
    <row r="708" spans="1:29">
      <c r="A708" s="6">
        <f>MAX(A$245:A707)+1</f>
        <v>297</v>
      </c>
      <c r="B708" s="143"/>
      <c r="C708" s="143"/>
      <c r="D708" s="417" t="s">
        <v>427</v>
      </c>
      <c r="E708" s="143"/>
      <c r="F708" s="269" t="s">
        <v>582</v>
      </c>
      <c r="G708" s="143"/>
      <c r="H708" s="246">
        <v>0.152</v>
      </c>
      <c r="I708" s="246"/>
      <c r="J708" s="246">
        <f t="shared" si="53"/>
        <v>4.0000000000000036E-3</v>
      </c>
      <c r="K708" s="246"/>
      <c r="L708" s="246">
        <v>0.156</v>
      </c>
      <c r="M708" s="246"/>
      <c r="N708" s="246">
        <v>0.156</v>
      </c>
      <c r="O708" s="246"/>
      <c r="P708" s="149">
        <v>0</v>
      </c>
      <c r="Q708" s="136"/>
      <c r="R708" s="136"/>
      <c r="S708" s="136"/>
      <c r="T708" s="136"/>
    </row>
    <row r="709" spans="1:29">
      <c r="A709" s="143"/>
      <c r="B709" s="143"/>
      <c r="C709" s="143"/>
      <c r="D709" s="143"/>
      <c r="E709" s="143"/>
      <c r="F709" s="143"/>
      <c r="G709" s="143"/>
      <c r="H709" s="143"/>
      <c r="I709" s="143"/>
      <c r="J709" s="143"/>
      <c r="K709" s="143"/>
      <c r="L709" s="143"/>
      <c r="M709" s="143"/>
      <c r="N709" s="143"/>
      <c r="O709" s="143"/>
      <c r="P709" s="143"/>
      <c r="Q709" s="136"/>
      <c r="R709" s="136"/>
      <c r="S709" s="136"/>
      <c r="T709" s="136"/>
    </row>
    <row r="710" spans="1:29">
      <c r="A710" s="6">
        <f>MAX(A$245:A709)+1</f>
        <v>298</v>
      </c>
      <c r="B710" s="143"/>
      <c r="C710" s="143"/>
      <c r="D710" s="143" t="s">
        <v>428</v>
      </c>
      <c r="E710" s="143"/>
      <c r="F710" s="421" t="s">
        <v>584</v>
      </c>
      <c r="G710" s="143"/>
      <c r="H710" s="247" t="s">
        <v>636</v>
      </c>
      <c r="I710" s="267" t="s">
        <v>85</v>
      </c>
      <c r="J710" s="247" t="s">
        <v>636</v>
      </c>
      <c r="K710" s="267" t="s">
        <v>85</v>
      </c>
      <c r="L710" s="247" t="s">
        <v>636</v>
      </c>
      <c r="M710" s="267" t="s">
        <v>85</v>
      </c>
      <c r="N710" s="247" t="s">
        <v>636</v>
      </c>
      <c r="O710" s="267" t="s">
        <v>85</v>
      </c>
      <c r="P710" s="247" t="s">
        <v>636</v>
      </c>
      <c r="Q710" s="267" t="s">
        <v>85</v>
      </c>
      <c r="R710" s="136"/>
      <c r="S710" s="136"/>
      <c r="T710" s="136"/>
    </row>
    <row r="711" spans="1:29">
      <c r="A711" s="6"/>
      <c r="B711" s="143"/>
      <c r="C711" s="143"/>
      <c r="D711" s="274"/>
      <c r="E711" s="143"/>
      <c r="Q711" s="136"/>
      <c r="R711" s="136"/>
      <c r="S711" s="136"/>
      <c r="T711" s="136"/>
    </row>
    <row r="712" spans="1:29">
      <c r="A712" s="6"/>
      <c r="B712" s="143"/>
      <c r="C712" s="143"/>
      <c r="D712" s="143" t="s">
        <v>628</v>
      </c>
      <c r="E712" s="143"/>
      <c r="F712" s="143"/>
      <c r="G712" s="143"/>
      <c r="H712" s="143"/>
      <c r="I712" s="143"/>
      <c r="J712" s="143"/>
      <c r="K712" s="143"/>
      <c r="L712" s="143"/>
      <c r="M712" s="143"/>
      <c r="N712" s="143"/>
      <c r="O712" s="143"/>
      <c r="P712" s="143"/>
      <c r="Q712" s="136"/>
      <c r="R712" s="136"/>
      <c r="S712" s="136"/>
      <c r="T712" s="136"/>
    </row>
    <row r="713" spans="1:29">
      <c r="A713" s="6"/>
      <c r="B713" s="143"/>
      <c r="C713" s="143"/>
      <c r="D713" s="143" t="s">
        <v>664</v>
      </c>
      <c r="E713" s="143"/>
      <c r="F713" s="143"/>
      <c r="G713" s="143"/>
      <c r="H713" s="143"/>
      <c r="I713" s="143"/>
      <c r="J713" s="143"/>
      <c r="K713" s="143"/>
      <c r="L713" s="143"/>
      <c r="M713" s="143"/>
      <c r="N713" s="143"/>
      <c r="O713" s="143"/>
      <c r="P713" s="143"/>
      <c r="Q713" s="136"/>
      <c r="R713" s="136"/>
      <c r="S713" s="136"/>
      <c r="T713" s="136"/>
    </row>
    <row r="714" spans="1:29">
      <c r="A714" s="6">
        <f>MAX(A$245:A712)+1</f>
        <v>299</v>
      </c>
      <c r="B714" s="143"/>
      <c r="C714" s="143"/>
      <c r="D714" s="417" t="s">
        <v>408</v>
      </c>
      <c r="E714" s="143"/>
      <c r="F714" s="1" t="s">
        <v>584</v>
      </c>
      <c r="G714" s="143"/>
      <c r="H714" s="246">
        <v>0.124</v>
      </c>
      <c r="I714" s="267" t="s">
        <v>85</v>
      </c>
      <c r="J714" s="334">
        <f t="shared" ref="J714:J721" si="54">ROUND(L714,3)-ROUND(H714,3)</f>
        <v>3.0000000000000027E-3</v>
      </c>
      <c r="K714" s="143"/>
      <c r="L714" s="246">
        <v>0.12707770723601716</v>
      </c>
      <c r="M714" s="267" t="s">
        <v>85</v>
      </c>
      <c r="N714" s="246">
        <v>0.12707770723601716</v>
      </c>
      <c r="O714" s="143"/>
      <c r="P714" s="247" t="s">
        <v>636</v>
      </c>
      <c r="Q714" s="267" t="s">
        <v>85</v>
      </c>
      <c r="T714" s="13"/>
    </row>
    <row r="715" spans="1:29">
      <c r="A715" s="6">
        <f>MAX(A$245:A714)+1</f>
        <v>300</v>
      </c>
      <c r="B715" s="143"/>
      <c r="C715" s="143"/>
      <c r="D715" s="417" t="s">
        <v>673</v>
      </c>
      <c r="E715" s="143"/>
      <c r="F715" s="1" t="s">
        <v>584</v>
      </c>
      <c r="G715" s="143"/>
      <c r="H715" s="246">
        <v>0.105</v>
      </c>
      <c r="I715" s="267" t="s">
        <v>85</v>
      </c>
      <c r="J715" s="334">
        <f t="shared" si="54"/>
        <v>3.0000000000000027E-3</v>
      </c>
      <c r="K715" s="143"/>
      <c r="L715" s="246">
        <v>0.1078955339370935</v>
      </c>
      <c r="M715" s="267" t="s">
        <v>85</v>
      </c>
      <c r="N715" s="246">
        <v>0.1078955339370935</v>
      </c>
      <c r="O715" s="143"/>
      <c r="P715" s="247" t="s">
        <v>636</v>
      </c>
      <c r="Q715" s="267" t="s">
        <v>85</v>
      </c>
      <c r="R715" s="143"/>
      <c r="S715" s="1"/>
      <c r="T715" s="143"/>
      <c r="U715" s="246"/>
      <c r="V715" s="267"/>
      <c r="W715" s="420"/>
      <c r="X715" s="143"/>
      <c r="Y715" s="246"/>
      <c r="Z715" s="267"/>
      <c r="AA715" s="246"/>
      <c r="AB715" s="143"/>
      <c r="AC715" s="247"/>
    </row>
    <row r="716" spans="1:29">
      <c r="A716" s="6">
        <f>MAX(A$245:A715)+1</f>
        <v>301</v>
      </c>
      <c r="B716" s="143"/>
      <c r="C716" s="143"/>
      <c r="D716" s="417" t="s">
        <v>411</v>
      </c>
      <c r="E716" s="143"/>
      <c r="F716" s="1" t="s">
        <v>584</v>
      </c>
      <c r="G716" s="143"/>
      <c r="H716" s="246">
        <v>1.9E-2</v>
      </c>
      <c r="I716" s="267" t="s">
        <v>85</v>
      </c>
      <c r="J716" s="334">
        <f t="shared" si="54"/>
        <v>0</v>
      </c>
      <c r="K716" s="143"/>
      <c r="L716" s="246">
        <v>1.9182173298923643E-2</v>
      </c>
      <c r="M716" s="267" t="s">
        <v>85</v>
      </c>
      <c r="N716" s="246">
        <v>1.9182173298923643E-2</v>
      </c>
      <c r="O716" s="143"/>
      <c r="P716" s="247" t="s">
        <v>636</v>
      </c>
      <c r="Q716" s="267" t="s">
        <v>85</v>
      </c>
      <c r="R716" s="143"/>
      <c r="S716" s="1"/>
      <c r="T716" s="143"/>
      <c r="U716" s="246"/>
      <c r="V716" s="267"/>
      <c r="W716" s="420"/>
      <c r="X716" s="143"/>
      <c r="Y716" s="246"/>
      <c r="Z716" s="267"/>
      <c r="AA716" s="246"/>
      <c r="AB716" s="143"/>
      <c r="AC716" s="247"/>
    </row>
    <row r="717" spans="1:29">
      <c r="A717" s="6">
        <f>MAX(A$245:A716)+1</f>
        <v>302</v>
      </c>
      <c r="B717" s="143"/>
      <c r="C717" s="143"/>
      <c r="D717" s="417" t="s">
        <v>674</v>
      </c>
      <c r="E717" s="143"/>
      <c r="F717" s="1" t="s">
        <v>584</v>
      </c>
      <c r="G717" s="143"/>
      <c r="H717" s="246">
        <v>5.1999999999999998E-2</v>
      </c>
      <c r="I717" s="267" t="s">
        <v>85</v>
      </c>
      <c r="J717" s="334">
        <f t="shared" si="54"/>
        <v>1.0000000000000009E-3</v>
      </c>
      <c r="K717" s="143"/>
      <c r="L717" s="246">
        <v>5.269142440376063E-2</v>
      </c>
      <c r="M717" s="267" t="s">
        <v>85</v>
      </c>
      <c r="N717" s="246">
        <v>5.269142440376063E-2</v>
      </c>
      <c r="O717" s="143"/>
      <c r="P717" s="247" t="s">
        <v>636</v>
      </c>
      <c r="Q717" s="267" t="s">
        <v>85</v>
      </c>
      <c r="R717" s="143"/>
      <c r="S717" s="1"/>
      <c r="T717" s="143"/>
      <c r="U717" s="246"/>
      <c r="V717" s="267"/>
      <c r="W717" s="420"/>
      <c r="X717" s="143"/>
      <c r="Y717" s="246"/>
      <c r="Z717" s="267"/>
      <c r="AA717" s="246"/>
      <c r="AB717" s="143"/>
      <c r="AC717" s="247"/>
    </row>
    <row r="718" spans="1:29">
      <c r="A718" s="6">
        <f>MAX(A$245:A717)+1</f>
        <v>303</v>
      </c>
      <c r="B718" s="143"/>
      <c r="C718" s="143"/>
      <c r="D718" s="417" t="s">
        <v>675</v>
      </c>
      <c r="E718" s="143"/>
      <c r="F718" s="1" t="s">
        <v>584</v>
      </c>
      <c r="G718" s="143"/>
      <c r="H718" s="246">
        <v>0.124</v>
      </c>
      <c r="I718" s="267" t="s">
        <v>85</v>
      </c>
      <c r="J718" s="334">
        <f t="shared" si="54"/>
        <v>3.0000000000000027E-3</v>
      </c>
      <c r="K718" s="143"/>
      <c r="L718" s="246">
        <v>0.12707770723601716</v>
      </c>
      <c r="M718" s="267" t="s">
        <v>85</v>
      </c>
      <c r="N718" s="246">
        <v>0.12707770723601716</v>
      </c>
      <c r="O718" s="143"/>
      <c r="P718" s="247" t="s">
        <v>636</v>
      </c>
      <c r="Q718" s="267" t="s">
        <v>85</v>
      </c>
      <c r="T718" s="13"/>
    </row>
    <row r="719" spans="1:29">
      <c r="A719" s="6">
        <f>MAX(A$245:A718)+1</f>
        <v>304</v>
      </c>
      <c r="B719" s="143"/>
      <c r="C719" s="143"/>
      <c r="D719" s="417" t="s">
        <v>672</v>
      </c>
      <c r="E719" s="143"/>
      <c r="F719" s="1" t="s">
        <v>584</v>
      </c>
      <c r="G719" s="143"/>
      <c r="H719" s="246">
        <v>7.5999999999999998E-2</v>
      </c>
      <c r="I719" s="267" t="s">
        <v>85</v>
      </c>
      <c r="J719" s="334">
        <f t="shared" si="54"/>
        <v>2.0000000000000018E-3</v>
      </c>
      <c r="K719" s="143"/>
      <c r="L719" s="246">
        <v>7.8410958904109596E-2</v>
      </c>
      <c r="M719" s="267" t="s">
        <v>85</v>
      </c>
      <c r="N719" s="246">
        <v>7.8410958904109596E-2</v>
      </c>
      <c r="O719" s="143"/>
      <c r="P719" s="247" t="s">
        <v>636</v>
      </c>
      <c r="Q719" s="267" t="s">
        <v>85</v>
      </c>
      <c r="R719" s="143"/>
      <c r="S719" s="1"/>
      <c r="T719" s="143"/>
      <c r="U719" s="246"/>
      <c r="V719" s="267"/>
      <c r="W719" s="420"/>
      <c r="X719" s="143"/>
      <c r="Y719" s="246"/>
      <c r="Z719" s="267"/>
      <c r="AA719" s="246"/>
      <c r="AB719" s="143"/>
      <c r="AC719" s="247"/>
    </row>
    <row r="720" spans="1:29">
      <c r="A720" s="6">
        <f>MAX(A$245:A719)+1</f>
        <v>305</v>
      </c>
      <c r="B720" s="143"/>
      <c r="C720" s="143"/>
      <c r="D720" s="417" t="s">
        <v>426</v>
      </c>
      <c r="E720" s="143"/>
      <c r="F720" s="1" t="s">
        <v>584</v>
      </c>
      <c r="G720" s="143"/>
      <c r="H720" s="246">
        <v>1E-3</v>
      </c>
      <c r="I720" s="267" t="s">
        <v>85</v>
      </c>
      <c r="J720" s="334">
        <f t="shared" si="54"/>
        <v>0</v>
      </c>
      <c r="K720" s="143"/>
      <c r="L720" s="246">
        <v>1.084931506849315E-3</v>
      </c>
      <c r="M720" s="267" t="s">
        <v>85</v>
      </c>
      <c r="N720" s="246">
        <v>1.084931506849315E-3</v>
      </c>
      <c r="O720" s="143"/>
      <c r="P720" s="247" t="s">
        <v>636</v>
      </c>
      <c r="Q720" s="267" t="s">
        <v>85</v>
      </c>
      <c r="T720" s="13"/>
    </row>
    <row r="721" spans="1:29">
      <c r="A721" s="6">
        <f>MAX(A$245:A720)+1</f>
        <v>306</v>
      </c>
      <c r="B721" s="143"/>
      <c r="C721" s="143"/>
      <c r="D721" s="417" t="s">
        <v>427</v>
      </c>
      <c r="E721" s="143"/>
      <c r="F721" s="1" t="s">
        <v>584</v>
      </c>
      <c r="G721" s="143"/>
      <c r="H721" s="246">
        <v>5.0000000000000001E-3</v>
      </c>
      <c r="I721" s="267" t="s">
        <v>85</v>
      </c>
      <c r="J721" s="334">
        <f t="shared" si="54"/>
        <v>0</v>
      </c>
      <c r="K721" s="143"/>
      <c r="L721" s="246">
        <v>5.1287671232876711E-3</v>
      </c>
      <c r="M721" s="267" t="s">
        <v>85</v>
      </c>
      <c r="N721" s="246">
        <v>5.1287671232876711E-3</v>
      </c>
      <c r="O721" s="143"/>
      <c r="P721" s="247" t="s">
        <v>636</v>
      </c>
      <c r="Q721" s="267" t="s">
        <v>85</v>
      </c>
      <c r="R721" s="143"/>
      <c r="S721" s="1"/>
      <c r="T721" s="143"/>
      <c r="U721" s="246"/>
      <c r="V721" s="267"/>
      <c r="W721" s="420"/>
      <c r="X721" s="143"/>
      <c r="Y721" s="246"/>
      <c r="Z721" s="267"/>
      <c r="AA721" s="246"/>
      <c r="AB721" s="143"/>
      <c r="AC721" s="247"/>
    </row>
    <row r="722" spans="1:29">
      <c r="A722" s="6"/>
      <c r="B722" s="143"/>
      <c r="C722" s="143"/>
      <c r="T722" s="13"/>
    </row>
    <row r="723" spans="1:29">
      <c r="A723" s="6"/>
      <c r="B723" s="143"/>
      <c r="C723" s="143"/>
      <c r="Q723" s="143"/>
      <c r="R723" s="143"/>
      <c r="S723" s="1"/>
      <c r="T723" s="143"/>
      <c r="U723" s="246"/>
      <c r="V723" s="267"/>
      <c r="W723" s="420"/>
      <c r="X723" s="143"/>
      <c r="Y723" s="246"/>
      <c r="Z723" s="267"/>
      <c r="AA723" s="246"/>
      <c r="AB723" s="143"/>
      <c r="AC723" s="247"/>
    </row>
    <row r="724" spans="1:29">
      <c r="A724" s="143"/>
      <c r="C724" s="143"/>
      <c r="D724" s="143"/>
      <c r="E724" s="143"/>
      <c r="F724" s="143"/>
      <c r="G724" s="143"/>
      <c r="H724" s="143"/>
      <c r="I724" s="143"/>
      <c r="J724" s="143"/>
      <c r="K724" s="143"/>
      <c r="L724" s="143"/>
      <c r="M724" s="143"/>
      <c r="N724" s="143"/>
      <c r="O724" s="143"/>
      <c r="P724" s="143"/>
      <c r="Q724" s="136"/>
      <c r="R724" s="136"/>
      <c r="S724" s="136"/>
      <c r="T724" s="136"/>
    </row>
    <row r="725" spans="1:29">
      <c r="A725" s="299" t="s">
        <v>80</v>
      </c>
      <c r="C725" s="143"/>
      <c r="D725" s="143"/>
      <c r="E725" s="143"/>
      <c r="F725" s="143"/>
      <c r="G725" s="143"/>
      <c r="H725" s="143"/>
      <c r="I725" s="143"/>
      <c r="J725" s="143"/>
      <c r="K725" s="143"/>
      <c r="L725" s="143"/>
      <c r="M725" s="143"/>
      <c r="N725" s="143"/>
      <c r="O725" s="143"/>
      <c r="P725" s="143"/>
      <c r="Q725" s="136"/>
      <c r="R725" s="136"/>
      <c r="S725" s="136"/>
      <c r="T725" s="136"/>
    </row>
    <row r="726" spans="1:29">
      <c r="A726" s="138" t="s">
        <v>40</v>
      </c>
      <c r="C726" s="143"/>
      <c r="D726" s="143" t="s">
        <v>509</v>
      </c>
      <c r="E726" s="143"/>
      <c r="F726" s="143"/>
      <c r="G726" s="143"/>
      <c r="H726" s="143"/>
      <c r="I726" s="143"/>
      <c r="J726" s="143"/>
      <c r="K726" s="143"/>
      <c r="L726" s="143"/>
      <c r="M726" s="143"/>
      <c r="N726" s="143"/>
      <c r="O726" s="143"/>
      <c r="P726" s="143"/>
      <c r="Q726" s="136"/>
      <c r="R726" s="136"/>
      <c r="S726" s="136"/>
      <c r="T726" s="136"/>
    </row>
    <row r="727" spans="1:29">
      <c r="A727" s="138" t="s">
        <v>20</v>
      </c>
      <c r="B727" s="136"/>
      <c r="C727" s="136"/>
      <c r="D727" s="136" t="s">
        <v>676</v>
      </c>
      <c r="E727" s="136"/>
      <c r="F727" s="136"/>
      <c r="G727" s="136"/>
      <c r="H727" s="136"/>
      <c r="I727" s="136"/>
      <c r="J727" s="136"/>
      <c r="K727" s="136"/>
      <c r="L727" s="136"/>
      <c r="M727" s="136"/>
      <c r="N727" s="136"/>
      <c r="O727" s="136"/>
      <c r="P727" s="136"/>
      <c r="Q727" s="136"/>
      <c r="R727" s="136"/>
      <c r="S727" s="136"/>
      <c r="T727" s="136"/>
    </row>
    <row r="728" spans="1:29">
      <c r="A728" s="191" t="s">
        <v>21</v>
      </c>
      <c r="B728" s="136"/>
      <c r="C728" s="136"/>
      <c r="D728" s="136" t="s">
        <v>677</v>
      </c>
      <c r="E728" s="136"/>
      <c r="F728" s="136"/>
      <c r="G728" s="136"/>
      <c r="H728" s="136"/>
      <c r="I728" s="136"/>
      <c r="J728" s="136"/>
      <c r="K728" s="136"/>
      <c r="L728" s="136"/>
      <c r="M728" s="136"/>
      <c r="N728" s="136"/>
      <c r="O728" s="136"/>
      <c r="P728" s="136"/>
      <c r="Q728" s="136"/>
      <c r="R728" s="136"/>
      <c r="S728" s="136"/>
      <c r="T728" s="136"/>
    </row>
    <row r="729" spans="1:29">
      <c r="A729" s="191" t="s">
        <v>28</v>
      </c>
      <c r="B729" s="136"/>
      <c r="C729" s="136"/>
      <c r="D729" s="136" t="s">
        <v>678</v>
      </c>
      <c r="E729" s="136"/>
      <c r="F729" s="136"/>
      <c r="G729" s="136"/>
      <c r="H729" s="136"/>
      <c r="I729" s="136"/>
      <c r="J729" s="136"/>
      <c r="K729" s="136"/>
      <c r="L729" s="136"/>
      <c r="M729" s="136"/>
      <c r="N729" s="136"/>
      <c r="O729" s="136"/>
      <c r="P729" s="136"/>
      <c r="Q729" s="136"/>
      <c r="R729" s="136"/>
      <c r="S729" s="136"/>
      <c r="T729" s="136"/>
    </row>
    <row r="730" spans="1:29">
      <c r="A730" s="191" t="s">
        <v>85</v>
      </c>
      <c r="B730" s="136"/>
      <c r="C730" s="136"/>
      <c r="D730" s="136" t="s">
        <v>679</v>
      </c>
      <c r="E730" s="136"/>
      <c r="F730" s="136"/>
      <c r="G730" s="136"/>
      <c r="H730" s="136"/>
      <c r="I730" s="136"/>
      <c r="J730" s="136"/>
      <c r="K730" s="136"/>
      <c r="L730" s="136"/>
      <c r="M730" s="136"/>
      <c r="N730" s="136"/>
      <c r="O730" s="136"/>
      <c r="P730" s="136"/>
      <c r="Q730" s="136"/>
      <c r="R730" s="136"/>
      <c r="S730" s="136"/>
      <c r="T730" s="136"/>
    </row>
    <row r="731" spans="1:29">
      <c r="A731" s="191"/>
      <c r="B731" s="136"/>
      <c r="C731" s="136"/>
      <c r="D731" s="136"/>
      <c r="E731" s="136"/>
      <c r="F731" s="136"/>
      <c r="G731" s="136"/>
      <c r="H731" s="136"/>
      <c r="I731" s="136"/>
      <c r="J731" s="136"/>
      <c r="K731" s="136"/>
      <c r="L731" s="136"/>
      <c r="M731" s="136"/>
      <c r="N731" s="136"/>
      <c r="O731" s="136"/>
      <c r="P731" s="136"/>
      <c r="Q731" s="136"/>
      <c r="R731" s="136"/>
      <c r="S731" s="136"/>
      <c r="T731" s="136"/>
    </row>
    <row r="732" spans="1:29">
      <c r="A732" s="136"/>
      <c r="B732" s="136"/>
      <c r="C732" s="136"/>
      <c r="D732" s="136"/>
      <c r="E732" s="136"/>
      <c r="F732" s="136"/>
      <c r="G732" s="136"/>
      <c r="H732" s="136"/>
      <c r="I732" s="136"/>
      <c r="J732" s="136"/>
      <c r="K732" s="136"/>
      <c r="L732" s="136"/>
      <c r="M732" s="136"/>
      <c r="N732" s="136"/>
      <c r="O732" s="136"/>
      <c r="P732" s="136"/>
      <c r="Q732" s="136"/>
      <c r="R732" s="136"/>
      <c r="S732" s="136"/>
      <c r="T732" s="136"/>
    </row>
    <row r="733" spans="1:29">
      <c r="A733" s="136"/>
      <c r="B733" s="136"/>
      <c r="C733" s="136"/>
      <c r="D733" s="136"/>
      <c r="E733" s="136"/>
      <c r="F733" s="136"/>
      <c r="G733" s="136"/>
      <c r="H733" s="136"/>
      <c r="I733" s="136"/>
      <c r="J733" s="136"/>
      <c r="K733" s="136"/>
      <c r="L733" s="136"/>
      <c r="M733" s="136"/>
      <c r="N733" s="136"/>
      <c r="O733" s="136"/>
      <c r="P733" s="136"/>
      <c r="Q733" s="136"/>
      <c r="R733" s="136"/>
      <c r="S733" s="136"/>
      <c r="T733" s="136"/>
    </row>
    <row r="734" spans="1:29">
      <c r="A734" s="136"/>
      <c r="B734" s="136"/>
      <c r="C734" s="136"/>
      <c r="D734" s="136"/>
      <c r="E734" s="136"/>
      <c r="F734" s="136"/>
      <c r="G734" s="136"/>
      <c r="H734" s="136"/>
      <c r="I734" s="136"/>
      <c r="J734" s="136"/>
      <c r="K734" s="136"/>
      <c r="L734" s="136"/>
      <c r="M734" s="136"/>
      <c r="N734" s="136"/>
      <c r="O734" s="136"/>
      <c r="P734" s="136"/>
      <c r="Q734" s="136"/>
      <c r="R734" s="136"/>
      <c r="S734" s="136"/>
      <c r="T734" s="136"/>
    </row>
    <row r="735" spans="1:29">
      <c r="A735" s="136"/>
      <c r="B735" s="136"/>
      <c r="C735" s="136"/>
      <c r="D735" s="136"/>
      <c r="E735" s="136"/>
      <c r="F735" s="136"/>
      <c r="G735" s="136"/>
      <c r="H735" s="136"/>
      <c r="I735" s="136"/>
      <c r="J735" s="136"/>
      <c r="K735" s="136"/>
      <c r="L735" s="136"/>
      <c r="M735" s="136"/>
      <c r="N735" s="136"/>
      <c r="O735" s="136"/>
      <c r="P735" s="136"/>
      <c r="Q735" s="136"/>
      <c r="R735" s="136"/>
      <c r="S735" s="136"/>
      <c r="T735" s="136"/>
    </row>
    <row r="736" spans="1:29">
      <c r="A736" s="136"/>
      <c r="B736" s="136"/>
      <c r="C736" s="136"/>
      <c r="D736" s="136"/>
      <c r="E736" s="136"/>
      <c r="F736" s="136"/>
      <c r="G736" s="136"/>
      <c r="H736" s="136"/>
      <c r="I736" s="136"/>
      <c r="J736" s="136"/>
      <c r="K736" s="136"/>
      <c r="L736" s="136"/>
      <c r="M736" s="136"/>
      <c r="N736" s="136"/>
      <c r="O736" s="136"/>
      <c r="P736" s="136"/>
      <c r="Q736" s="136"/>
      <c r="R736" s="136"/>
      <c r="S736" s="136"/>
      <c r="T736" s="136"/>
    </row>
    <row r="737" spans="1:20">
      <c r="A737" s="136"/>
      <c r="B737" s="136"/>
      <c r="C737" s="136"/>
      <c r="D737" s="136"/>
      <c r="E737" s="136"/>
      <c r="F737" s="136"/>
      <c r="G737" s="136"/>
      <c r="H737" s="136"/>
      <c r="I737" s="136"/>
      <c r="J737" s="136"/>
      <c r="K737" s="136"/>
      <c r="L737" s="136"/>
      <c r="M737" s="136"/>
      <c r="N737" s="136"/>
      <c r="O737" s="136"/>
      <c r="P737" s="136"/>
      <c r="Q737" s="136"/>
      <c r="R737" s="136"/>
      <c r="S737" s="136"/>
      <c r="T737" s="136"/>
    </row>
    <row r="738" spans="1:20">
      <c r="A738" s="136"/>
      <c r="B738" s="136"/>
      <c r="C738" s="136"/>
      <c r="D738" s="136"/>
      <c r="E738" s="136"/>
      <c r="F738" s="136"/>
      <c r="G738" s="136"/>
      <c r="H738" s="136"/>
      <c r="I738" s="136"/>
      <c r="J738" s="136"/>
      <c r="K738" s="136"/>
      <c r="L738" s="136"/>
      <c r="M738" s="136"/>
      <c r="N738" s="136"/>
      <c r="O738" s="136"/>
      <c r="P738" s="136"/>
      <c r="Q738" s="136"/>
      <c r="R738" s="136"/>
      <c r="S738" s="136"/>
      <c r="T738" s="136"/>
    </row>
    <row r="739" spans="1:20">
      <c r="A739" s="136"/>
      <c r="B739" s="136"/>
      <c r="C739" s="136"/>
      <c r="D739" s="136"/>
      <c r="E739" s="136"/>
      <c r="F739" s="136"/>
      <c r="G739" s="136"/>
      <c r="H739" s="136"/>
      <c r="I739" s="136"/>
      <c r="J739" s="136"/>
      <c r="K739" s="136"/>
      <c r="L739" s="136"/>
      <c r="M739" s="136"/>
      <c r="N739" s="136"/>
      <c r="O739" s="136"/>
      <c r="P739" s="136"/>
      <c r="Q739" s="136"/>
      <c r="R739" s="136"/>
      <c r="S739" s="136"/>
      <c r="T739" s="136"/>
    </row>
    <row r="740" spans="1:20">
      <c r="A740" s="136"/>
      <c r="B740" s="136"/>
      <c r="C740" s="136"/>
      <c r="D740" s="136"/>
      <c r="E740" s="136"/>
      <c r="F740" s="136"/>
      <c r="G740" s="136"/>
      <c r="H740" s="136"/>
      <c r="I740" s="136"/>
      <c r="J740" s="136"/>
      <c r="K740" s="136"/>
      <c r="L740" s="136"/>
      <c r="M740" s="136"/>
      <c r="N740" s="136"/>
      <c r="O740" s="136"/>
      <c r="P740" s="136"/>
      <c r="Q740" s="136"/>
      <c r="R740" s="136"/>
      <c r="S740" s="136"/>
      <c r="T740" s="136"/>
    </row>
    <row r="741" spans="1:20">
      <c r="A741" s="136"/>
      <c r="B741" s="136"/>
      <c r="C741" s="136"/>
      <c r="D741" s="136"/>
      <c r="E741" s="136"/>
      <c r="F741" s="136"/>
      <c r="G741" s="136"/>
      <c r="H741" s="136"/>
      <c r="I741" s="136"/>
      <c r="J741" s="136"/>
      <c r="K741" s="136"/>
      <c r="L741" s="136"/>
      <c r="M741" s="136"/>
      <c r="N741" s="136"/>
      <c r="O741" s="136"/>
      <c r="P741" s="136"/>
      <c r="Q741" s="136"/>
      <c r="R741" s="136"/>
      <c r="S741" s="136"/>
      <c r="T741" s="136"/>
    </row>
    <row r="742" spans="1:20">
      <c r="A742" s="136"/>
      <c r="B742" s="136"/>
      <c r="C742" s="136"/>
      <c r="D742" s="136"/>
      <c r="E742" s="136"/>
      <c r="F742" s="136"/>
      <c r="G742" s="136"/>
      <c r="H742" s="136"/>
      <c r="I742" s="136"/>
      <c r="J742" s="136"/>
      <c r="K742" s="136"/>
      <c r="L742" s="136"/>
      <c r="M742" s="136"/>
      <c r="N742" s="136"/>
      <c r="O742" s="136"/>
      <c r="P742" s="136"/>
      <c r="Q742" s="136"/>
      <c r="R742" s="136"/>
      <c r="S742" s="136"/>
      <c r="T742" s="136"/>
    </row>
    <row r="743" spans="1:20">
      <c r="A743" s="136"/>
      <c r="B743" s="136"/>
      <c r="C743" s="136"/>
      <c r="D743" s="136"/>
      <c r="E743" s="136"/>
      <c r="F743" s="136"/>
      <c r="G743" s="136"/>
      <c r="H743" s="136"/>
      <c r="I743" s="136"/>
      <c r="J743" s="136"/>
      <c r="K743" s="136"/>
      <c r="L743" s="136"/>
      <c r="M743" s="136"/>
      <c r="N743" s="136"/>
      <c r="O743" s="136"/>
      <c r="P743" s="136"/>
      <c r="Q743" s="136"/>
      <c r="R743" s="136"/>
      <c r="S743" s="136"/>
      <c r="T743" s="136"/>
    </row>
    <row r="744" spans="1:20">
      <c r="A744" s="136"/>
      <c r="B744" s="136"/>
      <c r="C744" s="136"/>
      <c r="D744" s="136"/>
      <c r="E744" s="136"/>
      <c r="F744" s="136"/>
      <c r="G744" s="136"/>
      <c r="H744" s="136"/>
      <c r="I744" s="136"/>
      <c r="J744" s="136"/>
      <c r="K744" s="136"/>
      <c r="L744" s="136"/>
      <c r="M744" s="136"/>
      <c r="N744" s="136"/>
      <c r="O744" s="136"/>
      <c r="P744" s="136"/>
      <c r="Q744" s="136"/>
      <c r="R744" s="136"/>
      <c r="S744" s="136"/>
      <c r="T744" s="136"/>
    </row>
    <row r="745" spans="1:20">
      <c r="A745" s="136"/>
      <c r="B745" s="136"/>
      <c r="C745" s="136"/>
      <c r="D745" s="136"/>
      <c r="E745" s="136"/>
      <c r="F745" s="136"/>
      <c r="G745" s="136"/>
      <c r="H745" s="136"/>
      <c r="I745" s="136"/>
      <c r="J745" s="136"/>
      <c r="K745" s="136"/>
      <c r="L745" s="136"/>
      <c r="M745" s="136"/>
      <c r="N745" s="136"/>
      <c r="O745" s="136"/>
      <c r="P745" s="136"/>
      <c r="Q745" s="136"/>
      <c r="R745" s="136"/>
      <c r="S745" s="136"/>
      <c r="T745" s="136"/>
    </row>
    <row r="746" spans="1:20">
      <c r="A746" s="136"/>
      <c r="B746" s="136"/>
      <c r="C746" s="136"/>
      <c r="D746" s="136"/>
      <c r="E746" s="136"/>
      <c r="F746" s="136"/>
      <c r="G746" s="136"/>
      <c r="H746" s="136"/>
      <c r="I746" s="136"/>
      <c r="J746" s="136"/>
      <c r="K746" s="136"/>
      <c r="L746" s="136"/>
      <c r="M746" s="136"/>
      <c r="N746" s="136"/>
      <c r="O746" s="136"/>
      <c r="P746" s="136"/>
      <c r="Q746" s="136"/>
      <c r="R746" s="136"/>
      <c r="S746" s="136"/>
      <c r="T746" s="136"/>
    </row>
    <row r="747" spans="1:20">
      <c r="A747" s="136"/>
      <c r="B747" s="136"/>
      <c r="C747" s="136"/>
      <c r="D747" s="136"/>
      <c r="E747" s="136"/>
      <c r="F747" s="136"/>
      <c r="G747" s="136"/>
      <c r="H747" s="136"/>
      <c r="I747" s="136"/>
      <c r="J747" s="136"/>
      <c r="K747" s="136"/>
      <c r="L747" s="136"/>
      <c r="M747" s="136"/>
      <c r="N747" s="136"/>
      <c r="O747" s="136"/>
      <c r="P747" s="136"/>
      <c r="Q747" s="136"/>
      <c r="R747" s="136"/>
      <c r="S747" s="136"/>
      <c r="T747" s="136"/>
    </row>
    <row r="748" spans="1:20">
      <c r="A748" s="136"/>
      <c r="B748" s="136"/>
      <c r="C748" s="136"/>
      <c r="D748" s="136"/>
      <c r="E748" s="136"/>
      <c r="F748" s="136"/>
      <c r="G748" s="136"/>
      <c r="H748" s="136"/>
      <c r="I748" s="136"/>
      <c r="J748" s="136"/>
      <c r="K748" s="136"/>
      <c r="L748" s="136"/>
      <c r="M748" s="136"/>
      <c r="N748" s="136"/>
      <c r="O748" s="136"/>
      <c r="P748" s="136"/>
      <c r="Q748" s="136"/>
      <c r="R748" s="136"/>
      <c r="S748" s="136"/>
      <c r="T748" s="136"/>
    </row>
    <row r="749" spans="1:20">
      <c r="A749" s="136"/>
      <c r="B749" s="136"/>
      <c r="C749" s="136"/>
      <c r="D749" s="136"/>
      <c r="E749" s="136"/>
      <c r="F749" s="136"/>
      <c r="G749" s="136"/>
      <c r="H749" s="136"/>
      <c r="I749" s="136"/>
      <c r="J749" s="136"/>
      <c r="K749" s="136"/>
      <c r="L749" s="136"/>
      <c r="M749" s="136"/>
      <c r="N749" s="136"/>
      <c r="O749" s="136"/>
      <c r="P749" s="136"/>
      <c r="Q749" s="136"/>
      <c r="R749" s="136"/>
      <c r="S749" s="136"/>
      <c r="T749" s="136"/>
    </row>
    <row r="750" spans="1:20">
      <c r="A750" s="136"/>
      <c r="B750" s="136"/>
      <c r="C750" s="136"/>
      <c r="D750" s="136"/>
      <c r="E750" s="136"/>
      <c r="F750" s="136"/>
      <c r="G750" s="136"/>
      <c r="H750" s="136"/>
      <c r="I750" s="136"/>
      <c r="J750" s="136"/>
      <c r="K750" s="136"/>
      <c r="L750" s="136"/>
      <c r="M750" s="136"/>
      <c r="N750" s="136"/>
      <c r="O750" s="136"/>
      <c r="P750" s="136"/>
      <c r="Q750" s="136"/>
      <c r="R750" s="136"/>
      <c r="S750" s="136"/>
      <c r="T750" s="136"/>
    </row>
    <row r="751" spans="1:20">
      <c r="A751" s="136"/>
      <c r="B751" s="136"/>
      <c r="C751" s="136"/>
      <c r="D751" s="136"/>
      <c r="E751" s="136"/>
      <c r="F751" s="136"/>
      <c r="G751" s="136"/>
      <c r="H751" s="136"/>
      <c r="I751" s="136"/>
      <c r="J751" s="136"/>
      <c r="K751" s="136"/>
      <c r="L751" s="136"/>
      <c r="M751" s="136"/>
      <c r="N751" s="136"/>
      <c r="O751" s="136"/>
      <c r="P751" s="136"/>
      <c r="Q751" s="136"/>
      <c r="R751" s="136"/>
      <c r="S751" s="136"/>
      <c r="T751" s="136"/>
    </row>
    <row r="752" spans="1:20">
      <c r="A752" s="136"/>
      <c r="B752" s="136"/>
      <c r="C752" s="136"/>
      <c r="D752" s="136"/>
      <c r="E752" s="136"/>
      <c r="F752" s="136"/>
      <c r="G752" s="136"/>
      <c r="H752" s="136"/>
      <c r="I752" s="136"/>
      <c r="J752" s="136"/>
      <c r="K752" s="136"/>
      <c r="L752" s="136"/>
      <c r="M752" s="136"/>
      <c r="N752" s="136"/>
      <c r="O752" s="136"/>
      <c r="P752" s="136"/>
      <c r="Q752" s="136"/>
      <c r="R752" s="136"/>
      <c r="S752" s="136"/>
      <c r="T752" s="136"/>
    </row>
    <row r="753" spans="1:20">
      <c r="A753" s="136"/>
      <c r="B753" s="136"/>
      <c r="C753" s="136"/>
      <c r="D753" s="136"/>
      <c r="E753" s="136"/>
      <c r="F753" s="136"/>
      <c r="G753" s="136"/>
      <c r="H753" s="136"/>
      <c r="I753" s="136"/>
      <c r="J753" s="136"/>
      <c r="K753" s="136"/>
      <c r="L753" s="136"/>
      <c r="M753" s="136"/>
      <c r="N753" s="136"/>
      <c r="O753" s="136"/>
      <c r="P753" s="136"/>
      <c r="Q753" s="136"/>
      <c r="R753" s="136"/>
      <c r="S753" s="136"/>
      <c r="T753" s="136"/>
    </row>
    <row r="754" spans="1:20">
      <c r="A754" s="136"/>
      <c r="B754" s="136"/>
      <c r="C754" s="136"/>
      <c r="D754" s="136"/>
      <c r="E754" s="136"/>
      <c r="F754" s="136"/>
      <c r="G754" s="136"/>
      <c r="H754" s="136"/>
      <c r="I754" s="136"/>
      <c r="J754" s="136"/>
      <c r="K754" s="136"/>
      <c r="L754" s="136"/>
      <c r="M754" s="136"/>
      <c r="N754" s="136"/>
      <c r="O754" s="136"/>
      <c r="P754" s="136"/>
      <c r="Q754" s="136"/>
      <c r="R754" s="136"/>
      <c r="S754" s="136"/>
      <c r="T754" s="136"/>
    </row>
    <row r="755" spans="1:20">
      <c r="A755" s="136"/>
      <c r="B755" s="136"/>
      <c r="C755" s="136"/>
      <c r="D755" s="136"/>
      <c r="E755" s="136"/>
      <c r="F755" s="136"/>
      <c r="G755" s="136"/>
      <c r="H755" s="136"/>
      <c r="I755" s="136"/>
      <c r="J755" s="136"/>
      <c r="K755" s="136"/>
      <c r="L755" s="136"/>
      <c r="M755" s="136"/>
      <c r="N755" s="136"/>
      <c r="O755" s="136"/>
      <c r="P755" s="136"/>
      <c r="Q755" s="136"/>
      <c r="R755" s="136"/>
      <c r="S755" s="136"/>
      <c r="T755" s="136"/>
    </row>
    <row r="756" spans="1:20">
      <c r="A756" s="136"/>
      <c r="B756" s="136"/>
      <c r="C756" s="136"/>
      <c r="D756" s="136"/>
      <c r="E756" s="136"/>
      <c r="F756" s="136"/>
      <c r="G756" s="136"/>
      <c r="H756" s="136"/>
      <c r="I756" s="136"/>
      <c r="J756" s="136"/>
      <c r="K756" s="136"/>
      <c r="L756" s="136"/>
      <c r="M756" s="136"/>
      <c r="N756" s="136"/>
      <c r="O756" s="136"/>
      <c r="P756" s="136"/>
      <c r="Q756" s="136"/>
      <c r="R756" s="136"/>
      <c r="S756" s="136"/>
      <c r="T756" s="136"/>
    </row>
    <row r="757" spans="1:20">
      <c r="A757" s="136"/>
      <c r="B757" s="136"/>
      <c r="C757" s="136"/>
      <c r="D757" s="136"/>
      <c r="E757" s="136"/>
      <c r="F757" s="136"/>
      <c r="G757" s="136"/>
      <c r="H757" s="136"/>
      <c r="I757" s="136"/>
      <c r="J757" s="136"/>
      <c r="K757" s="136"/>
      <c r="L757" s="136"/>
      <c r="M757" s="136"/>
      <c r="N757" s="136"/>
      <c r="O757" s="136"/>
      <c r="P757" s="136"/>
      <c r="Q757" s="136"/>
      <c r="R757" s="136"/>
      <c r="S757" s="136"/>
      <c r="T757" s="136"/>
    </row>
    <row r="758" spans="1:20">
      <c r="A758" s="136"/>
      <c r="B758" s="136"/>
      <c r="C758" s="136"/>
      <c r="D758" s="136"/>
      <c r="E758" s="136"/>
      <c r="F758" s="136"/>
      <c r="G758" s="136"/>
      <c r="H758" s="136"/>
      <c r="I758" s="136"/>
      <c r="J758" s="136"/>
      <c r="K758" s="136"/>
      <c r="L758" s="136"/>
      <c r="M758" s="136"/>
      <c r="N758" s="136"/>
      <c r="O758" s="136"/>
      <c r="P758" s="136"/>
      <c r="Q758" s="136"/>
      <c r="R758" s="136"/>
      <c r="S758" s="136"/>
      <c r="T758" s="136"/>
    </row>
    <row r="759" spans="1:20">
      <c r="A759" s="136"/>
      <c r="B759" s="136"/>
      <c r="C759" s="136"/>
      <c r="D759" s="136"/>
      <c r="E759" s="136"/>
      <c r="F759" s="136"/>
      <c r="G759" s="136"/>
      <c r="H759" s="136"/>
      <c r="I759" s="136"/>
      <c r="J759" s="136"/>
      <c r="K759" s="136"/>
      <c r="L759" s="136"/>
      <c r="M759" s="136"/>
      <c r="N759" s="136"/>
      <c r="O759" s="136"/>
      <c r="P759" s="136"/>
      <c r="Q759" s="136"/>
      <c r="R759" s="136"/>
      <c r="S759" s="136"/>
      <c r="T759" s="136"/>
    </row>
    <row r="760" spans="1:20">
      <c r="A760" s="136"/>
      <c r="B760" s="136"/>
      <c r="C760" s="136"/>
      <c r="D760" s="136"/>
      <c r="E760" s="136"/>
      <c r="F760" s="136"/>
      <c r="G760" s="136"/>
      <c r="H760" s="136"/>
      <c r="I760" s="136"/>
      <c r="J760" s="136"/>
      <c r="K760" s="136"/>
      <c r="L760" s="136"/>
      <c r="M760" s="136"/>
      <c r="N760" s="136"/>
      <c r="O760" s="136"/>
      <c r="P760" s="136"/>
      <c r="Q760" s="136"/>
      <c r="R760" s="136"/>
      <c r="S760" s="136"/>
      <c r="T760" s="136"/>
    </row>
    <row r="761" spans="1:20">
      <c r="A761" s="136"/>
      <c r="B761" s="136"/>
      <c r="C761" s="136"/>
      <c r="D761" s="136"/>
      <c r="E761" s="136"/>
      <c r="F761" s="136"/>
      <c r="G761" s="136"/>
      <c r="H761" s="136"/>
      <c r="I761" s="136"/>
      <c r="J761" s="136"/>
      <c r="K761" s="136"/>
      <c r="L761" s="136"/>
      <c r="M761" s="136"/>
      <c r="N761" s="136"/>
      <c r="O761" s="136"/>
      <c r="P761" s="136"/>
      <c r="Q761" s="136"/>
      <c r="R761" s="136"/>
      <c r="S761" s="136"/>
      <c r="T761" s="136"/>
    </row>
    <row r="762" spans="1:20">
      <c r="A762" s="136"/>
      <c r="B762" s="136"/>
      <c r="C762" s="136"/>
      <c r="D762" s="136"/>
      <c r="E762" s="136"/>
      <c r="F762" s="136"/>
      <c r="G762" s="136"/>
      <c r="H762" s="136"/>
      <c r="I762" s="136"/>
      <c r="J762" s="136"/>
      <c r="K762" s="136"/>
      <c r="L762" s="136"/>
      <c r="M762" s="136"/>
      <c r="N762" s="136"/>
      <c r="O762" s="136"/>
      <c r="P762" s="136"/>
      <c r="Q762" s="136"/>
      <c r="R762" s="136"/>
      <c r="S762" s="136"/>
      <c r="T762" s="136"/>
    </row>
    <row r="763" spans="1:20">
      <c r="A763" s="136"/>
      <c r="B763" s="136"/>
      <c r="C763" s="136"/>
      <c r="D763" s="136"/>
      <c r="E763" s="136"/>
      <c r="F763" s="136"/>
      <c r="G763" s="136"/>
      <c r="H763" s="136"/>
      <c r="I763" s="136"/>
      <c r="J763" s="136"/>
      <c r="K763" s="136"/>
      <c r="L763" s="136"/>
      <c r="M763" s="136"/>
      <c r="N763" s="136"/>
      <c r="O763" s="136"/>
      <c r="P763" s="136"/>
      <c r="Q763" s="136"/>
      <c r="R763" s="136"/>
      <c r="S763" s="136"/>
      <c r="T763" s="136"/>
    </row>
    <row r="764" spans="1:20">
      <c r="A764" s="136"/>
      <c r="B764" s="136"/>
      <c r="C764" s="136"/>
      <c r="D764" s="136"/>
      <c r="E764" s="136"/>
      <c r="F764" s="136"/>
      <c r="G764" s="136"/>
      <c r="H764" s="136"/>
      <c r="I764" s="136"/>
      <c r="J764" s="136"/>
      <c r="K764" s="136"/>
      <c r="L764" s="136"/>
      <c r="M764" s="136"/>
      <c r="N764" s="136"/>
      <c r="O764" s="136"/>
      <c r="P764" s="136"/>
      <c r="Q764" s="136"/>
      <c r="R764" s="136"/>
      <c r="S764" s="136"/>
      <c r="T764" s="136"/>
    </row>
    <row r="765" spans="1:20">
      <c r="A765" s="136"/>
      <c r="B765" s="136"/>
      <c r="C765" s="136"/>
      <c r="D765" s="136"/>
      <c r="E765" s="136"/>
      <c r="F765" s="136"/>
      <c r="G765" s="136"/>
      <c r="H765" s="136"/>
      <c r="I765" s="136"/>
      <c r="J765" s="136"/>
      <c r="K765" s="136"/>
      <c r="L765" s="136"/>
      <c r="M765" s="136"/>
      <c r="N765" s="136"/>
      <c r="O765" s="136"/>
      <c r="P765" s="136"/>
      <c r="Q765" s="136"/>
      <c r="R765" s="136"/>
      <c r="S765" s="136"/>
      <c r="T765" s="136"/>
    </row>
    <row r="766" spans="1:20">
      <c r="A766" s="136"/>
      <c r="B766" s="136"/>
      <c r="C766" s="136"/>
      <c r="D766" s="136"/>
      <c r="E766" s="136"/>
      <c r="F766" s="136"/>
      <c r="G766" s="136"/>
      <c r="H766" s="136"/>
      <c r="I766" s="136"/>
      <c r="J766" s="136"/>
      <c r="K766" s="136"/>
      <c r="L766" s="136"/>
      <c r="M766" s="136"/>
      <c r="N766" s="136"/>
      <c r="O766" s="136"/>
      <c r="P766" s="136"/>
      <c r="Q766" s="136"/>
      <c r="R766" s="136"/>
      <c r="S766" s="136"/>
      <c r="T766" s="136"/>
    </row>
    <row r="767" spans="1:20">
      <c r="A767" s="136"/>
      <c r="B767" s="136"/>
      <c r="C767" s="136"/>
      <c r="D767" s="136"/>
      <c r="E767" s="136"/>
      <c r="F767" s="136"/>
      <c r="G767" s="136"/>
      <c r="H767" s="136"/>
      <c r="I767" s="136"/>
      <c r="J767" s="136"/>
      <c r="K767" s="136"/>
      <c r="L767" s="136"/>
      <c r="M767" s="136"/>
      <c r="N767" s="136"/>
      <c r="O767" s="136"/>
      <c r="P767" s="136"/>
      <c r="Q767" s="136"/>
      <c r="R767" s="136"/>
      <c r="S767" s="136"/>
      <c r="T767" s="136"/>
    </row>
    <row r="768" spans="1:20">
      <c r="A768" s="136"/>
      <c r="B768" s="136"/>
      <c r="C768" s="136"/>
      <c r="D768" s="136"/>
      <c r="E768" s="136"/>
      <c r="F768" s="136"/>
      <c r="G768" s="136"/>
      <c r="H768" s="136"/>
      <c r="I768" s="136"/>
      <c r="J768" s="136"/>
      <c r="K768" s="136"/>
      <c r="L768" s="136"/>
      <c r="M768" s="136"/>
      <c r="N768" s="136"/>
      <c r="O768" s="136"/>
      <c r="P768" s="136"/>
      <c r="Q768" s="136"/>
      <c r="R768" s="136"/>
      <c r="S768" s="136"/>
      <c r="T768" s="136"/>
    </row>
    <row r="769" spans="1:20">
      <c r="A769" s="136"/>
      <c r="B769" s="136"/>
      <c r="C769" s="136"/>
      <c r="D769" s="136"/>
      <c r="E769" s="136"/>
      <c r="F769" s="136"/>
      <c r="G769" s="136"/>
      <c r="H769" s="136"/>
      <c r="I769" s="136"/>
      <c r="J769" s="136"/>
      <c r="K769" s="136"/>
      <c r="L769" s="136"/>
      <c r="M769" s="136"/>
      <c r="N769" s="136"/>
      <c r="O769" s="136"/>
      <c r="P769" s="136"/>
      <c r="Q769" s="136"/>
      <c r="R769" s="136"/>
      <c r="S769" s="136"/>
      <c r="T769" s="136"/>
    </row>
    <row r="770" spans="1:20">
      <c r="A770" s="136"/>
      <c r="B770" s="136"/>
      <c r="C770" s="136"/>
      <c r="D770" s="136"/>
      <c r="E770" s="136"/>
      <c r="F770" s="136"/>
      <c r="G770" s="136"/>
      <c r="H770" s="136"/>
      <c r="I770" s="136"/>
      <c r="J770" s="136"/>
      <c r="K770" s="136"/>
      <c r="L770" s="136"/>
      <c r="M770" s="136"/>
      <c r="N770" s="136"/>
      <c r="O770" s="136"/>
      <c r="P770" s="136"/>
      <c r="Q770" s="136"/>
      <c r="R770" s="136"/>
      <c r="S770" s="136"/>
      <c r="T770" s="136"/>
    </row>
    <row r="771" spans="1:20">
      <c r="A771" s="136"/>
      <c r="B771" s="136"/>
      <c r="C771" s="136"/>
      <c r="D771" s="136"/>
      <c r="E771" s="136"/>
      <c r="F771" s="136"/>
      <c r="G771" s="136"/>
      <c r="H771" s="136"/>
      <c r="I771" s="136"/>
      <c r="J771" s="136"/>
      <c r="K771" s="136"/>
      <c r="L771" s="136"/>
      <c r="M771" s="136"/>
      <c r="N771" s="136"/>
      <c r="O771" s="136"/>
      <c r="P771" s="136"/>
      <c r="Q771" s="136"/>
      <c r="R771" s="136"/>
      <c r="S771" s="136"/>
      <c r="T771" s="136"/>
    </row>
    <row r="772" spans="1:20">
      <c r="A772" s="136"/>
      <c r="B772" s="136"/>
      <c r="C772" s="136"/>
      <c r="D772" s="136"/>
      <c r="E772" s="136"/>
      <c r="F772" s="136"/>
      <c r="G772" s="136"/>
      <c r="H772" s="136"/>
      <c r="I772" s="136"/>
      <c r="J772" s="136"/>
      <c r="K772" s="136"/>
      <c r="L772" s="136"/>
      <c r="M772" s="136"/>
      <c r="N772" s="136"/>
      <c r="O772" s="136"/>
      <c r="P772" s="136"/>
      <c r="Q772" s="136"/>
      <c r="R772" s="136"/>
      <c r="S772" s="136"/>
      <c r="T772" s="136"/>
    </row>
    <row r="773" spans="1:20">
      <c r="A773" s="136"/>
      <c r="B773" s="136"/>
      <c r="C773" s="136"/>
      <c r="D773" s="136"/>
      <c r="E773" s="136"/>
      <c r="F773" s="136"/>
      <c r="G773" s="136"/>
      <c r="H773" s="136"/>
      <c r="I773" s="136"/>
      <c r="J773" s="136"/>
      <c r="K773" s="136"/>
      <c r="L773" s="136"/>
      <c r="M773" s="136"/>
      <c r="N773" s="136"/>
      <c r="O773" s="136"/>
      <c r="P773" s="136"/>
      <c r="Q773" s="136"/>
      <c r="R773" s="136"/>
      <c r="S773" s="136"/>
      <c r="T773" s="136"/>
    </row>
    <row r="774" spans="1:20">
      <c r="A774" s="136"/>
      <c r="B774" s="136"/>
      <c r="C774" s="136"/>
      <c r="D774" s="136"/>
      <c r="E774" s="136"/>
      <c r="F774" s="136"/>
      <c r="G774" s="136"/>
      <c r="H774" s="136"/>
      <c r="I774" s="136"/>
      <c r="J774" s="136"/>
      <c r="K774" s="136"/>
      <c r="L774" s="136"/>
      <c r="M774" s="136"/>
      <c r="N774" s="136"/>
      <c r="O774" s="136"/>
      <c r="P774" s="136"/>
      <c r="Q774" s="136"/>
      <c r="R774" s="136"/>
      <c r="S774" s="136"/>
      <c r="T774" s="136"/>
    </row>
    <row r="775" spans="1:20">
      <c r="A775" s="136"/>
      <c r="B775" s="136"/>
      <c r="C775" s="136"/>
      <c r="D775" s="136"/>
      <c r="E775" s="136"/>
      <c r="F775" s="136"/>
      <c r="G775" s="136"/>
      <c r="H775" s="136"/>
      <c r="I775" s="136"/>
      <c r="J775" s="136"/>
      <c r="K775" s="136"/>
      <c r="L775" s="136"/>
      <c r="M775" s="136"/>
      <c r="N775" s="136"/>
      <c r="O775" s="136"/>
      <c r="P775" s="136"/>
      <c r="Q775" s="136"/>
      <c r="R775" s="136"/>
      <c r="S775" s="136"/>
      <c r="T775" s="136"/>
    </row>
    <row r="776" spans="1:20">
      <c r="A776" s="136"/>
      <c r="B776" s="136"/>
      <c r="C776" s="136"/>
      <c r="D776" s="136"/>
      <c r="E776" s="136"/>
      <c r="F776" s="136"/>
      <c r="G776" s="136"/>
      <c r="H776" s="136"/>
      <c r="I776" s="136"/>
      <c r="J776" s="136"/>
      <c r="K776" s="136"/>
      <c r="L776" s="136"/>
      <c r="M776" s="136"/>
      <c r="N776" s="136"/>
      <c r="O776" s="136"/>
      <c r="P776" s="136"/>
      <c r="Q776" s="136"/>
      <c r="R776" s="136"/>
      <c r="S776" s="136"/>
      <c r="T776" s="136"/>
    </row>
    <row r="777" spans="1:20">
      <c r="A777" s="136"/>
      <c r="B777" s="136"/>
      <c r="C777" s="136"/>
      <c r="D777" s="136"/>
      <c r="E777" s="136"/>
      <c r="F777" s="136"/>
      <c r="G777" s="136"/>
      <c r="H777" s="136"/>
      <c r="I777" s="136"/>
      <c r="J777" s="136"/>
      <c r="K777" s="136"/>
      <c r="L777" s="136"/>
      <c r="M777" s="136"/>
      <c r="N777" s="136"/>
      <c r="O777" s="136"/>
      <c r="P777" s="136"/>
      <c r="Q777" s="136"/>
      <c r="R777" s="136"/>
      <c r="S777" s="136"/>
      <c r="T777" s="136"/>
    </row>
    <row r="778" spans="1:20">
      <c r="A778" s="136"/>
      <c r="B778" s="136"/>
      <c r="C778" s="136"/>
      <c r="D778" s="136"/>
      <c r="E778" s="136"/>
      <c r="F778" s="136"/>
      <c r="G778" s="136"/>
      <c r="H778" s="136"/>
      <c r="I778" s="136"/>
      <c r="J778" s="136"/>
      <c r="K778" s="136"/>
      <c r="L778" s="136"/>
      <c r="M778" s="136"/>
      <c r="N778" s="136"/>
      <c r="O778" s="136"/>
      <c r="P778" s="136"/>
      <c r="Q778" s="136"/>
      <c r="R778" s="136"/>
      <c r="S778" s="136"/>
      <c r="T778" s="136"/>
    </row>
    <row r="779" spans="1:20">
      <c r="A779" s="136"/>
      <c r="B779" s="136"/>
      <c r="C779" s="136"/>
      <c r="D779" s="136"/>
      <c r="E779" s="136"/>
      <c r="F779" s="136"/>
      <c r="G779" s="136"/>
      <c r="H779" s="136"/>
      <c r="I779" s="136"/>
      <c r="J779" s="136"/>
      <c r="K779" s="136"/>
      <c r="L779" s="136"/>
      <c r="M779" s="136"/>
      <c r="N779" s="136"/>
      <c r="O779" s="136"/>
      <c r="P779" s="136"/>
      <c r="Q779" s="136"/>
      <c r="R779" s="136"/>
      <c r="S779" s="136"/>
      <c r="T779" s="136"/>
    </row>
    <row r="780" spans="1:20">
      <c r="A780" s="136"/>
      <c r="B780" s="136"/>
      <c r="C780" s="136"/>
      <c r="D780" s="136"/>
      <c r="E780" s="136"/>
      <c r="F780" s="136"/>
      <c r="G780" s="136"/>
      <c r="H780" s="136"/>
      <c r="I780" s="136"/>
      <c r="J780" s="136"/>
      <c r="K780" s="136"/>
      <c r="L780" s="136"/>
      <c r="M780" s="136"/>
      <c r="N780" s="136"/>
      <c r="O780" s="136"/>
      <c r="P780" s="136"/>
      <c r="Q780" s="136"/>
      <c r="R780" s="136"/>
      <c r="S780" s="136"/>
      <c r="T780" s="136"/>
    </row>
    <row r="781" spans="1:20">
      <c r="A781" s="136"/>
      <c r="B781" s="136"/>
      <c r="C781" s="136"/>
      <c r="D781" s="136"/>
      <c r="E781" s="136"/>
      <c r="F781" s="136"/>
      <c r="G781" s="136"/>
      <c r="H781" s="136"/>
      <c r="I781" s="136"/>
      <c r="J781" s="136"/>
      <c r="K781" s="136"/>
      <c r="L781" s="136"/>
      <c r="M781" s="136"/>
      <c r="N781" s="136"/>
      <c r="O781" s="136"/>
      <c r="P781" s="136"/>
      <c r="Q781" s="136"/>
      <c r="R781" s="136"/>
      <c r="S781" s="136"/>
      <c r="T781" s="136"/>
    </row>
    <row r="782" spans="1:20">
      <c r="A782" s="136"/>
      <c r="B782" s="136"/>
      <c r="C782" s="136"/>
      <c r="D782" s="136"/>
      <c r="E782" s="136"/>
      <c r="F782" s="136"/>
      <c r="G782" s="136"/>
      <c r="H782" s="136"/>
      <c r="I782" s="136"/>
      <c r="J782" s="136"/>
      <c r="K782" s="136"/>
      <c r="L782" s="136"/>
      <c r="M782" s="136"/>
      <c r="N782" s="136"/>
      <c r="O782" s="136"/>
      <c r="P782" s="136"/>
      <c r="Q782" s="136"/>
      <c r="R782" s="136"/>
      <c r="S782" s="136"/>
      <c r="T782" s="136"/>
    </row>
    <row r="783" spans="1:20">
      <c r="A783" s="136"/>
      <c r="B783" s="136"/>
      <c r="C783" s="136"/>
      <c r="D783" s="136"/>
      <c r="E783" s="136"/>
      <c r="F783" s="136"/>
      <c r="G783" s="136"/>
      <c r="H783" s="136"/>
      <c r="I783" s="136"/>
      <c r="J783" s="136"/>
      <c r="K783" s="136"/>
      <c r="L783" s="136"/>
      <c r="M783" s="136"/>
      <c r="N783" s="136"/>
      <c r="O783" s="136"/>
      <c r="P783" s="136"/>
      <c r="Q783" s="136"/>
      <c r="R783" s="136"/>
      <c r="S783" s="136"/>
      <c r="T783" s="136"/>
    </row>
    <row r="784" spans="1:20">
      <c r="A784" s="136"/>
      <c r="B784" s="136"/>
      <c r="C784" s="136"/>
      <c r="D784" s="136"/>
      <c r="E784" s="136"/>
      <c r="F784" s="136"/>
      <c r="G784" s="136"/>
      <c r="H784" s="136"/>
      <c r="I784" s="136"/>
      <c r="J784" s="136"/>
      <c r="K784" s="136"/>
      <c r="L784" s="136"/>
      <c r="M784" s="136"/>
      <c r="N784" s="136"/>
      <c r="O784" s="136"/>
      <c r="P784" s="136"/>
      <c r="Q784" s="136"/>
      <c r="R784" s="136"/>
      <c r="S784" s="136"/>
      <c r="T784" s="136"/>
    </row>
    <row r="785" spans="1:20">
      <c r="A785" s="136"/>
      <c r="B785" s="136"/>
      <c r="C785" s="136"/>
      <c r="D785" s="136"/>
      <c r="E785" s="136"/>
      <c r="F785" s="136"/>
      <c r="G785" s="136"/>
      <c r="H785" s="136"/>
      <c r="I785" s="136"/>
      <c r="J785" s="136"/>
      <c r="K785" s="136"/>
      <c r="L785" s="136"/>
      <c r="M785" s="136"/>
      <c r="N785" s="136"/>
      <c r="O785" s="136"/>
      <c r="P785" s="136"/>
      <c r="Q785" s="136"/>
      <c r="R785" s="136"/>
      <c r="S785" s="136"/>
      <c r="T785" s="136"/>
    </row>
    <row r="786" spans="1:20">
      <c r="A786" s="136"/>
      <c r="B786" s="136"/>
      <c r="C786" s="136"/>
      <c r="D786" s="136"/>
      <c r="E786" s="136"/>
      <c r="F786" s="136"/>
      <c r="G786" s="136"/>
      <c r="H786" s="136"/>
      <c r="I786" s="136"/>
      <c r="J786" s="136"/>
      <c r="K786" s="136"/>
      <c r="L786" s="136"/>
      <c r="M786" s="136"/>
      <c r="N786" s="136"/>
      <c r="O786" s="136"/>
      <c r="P786" s="136"/>
      <c r="Q786" s="136"/>
      <c r="R786" s="136"/>
      <c r="S786" s="136"/>
      <c r="T786" s="136"/>
    </row>
    <row r="787" spans="1:20">
      <c r="A787" s="136"/>
      <c r="B787" s="136"/>
      <c r="C787" s="136"/>
      <c r="D787" s="136"/>
      <c r="E787" s="136"/>
      <c r="F787" s="136"/>
      <c r="G787" s="136"/>
      <c r="H787" s="136"/>
      <c r="I787" s="136"/>
      <c r="J787" s="136"/>
      <c r="K787" s="136"/>
      <c r="L787" s="136"/>
      <c r="M787" s="136"/>
      <c r="N787" s="136"/>
      <c r="O787" s="136"/>
      <c r="P787" s="136"/>
      <c r="Q787" s="136"/>
      <c r="R787" s="136"/>
      <c r="S787" s="136"/>
      <c r="T787" s="136"/>
    </row>
    <row r="788" spans="1:20">
      <c r="A788" s="136"/>
      <c r="B788" s="136"/>
      <c r="C788" s="136"/>
      <c r="D788" s="136"/>
      <c r="E788" s="136"/>
      <c r="F788" s="136"/>
      <c r="G788" s="136"/>
      <c r="H788" s="136"/>
      <c r="I788" s="136"/>
      <c r="J788" s="136"/>
      <c r="K788" s="136"/>
      <c r="L788" s="136"/>
      <c r="M788" s="136"/>
      <c r="N788" s="136"/>
      <c r="O788" s="136"/>
      <c r="P788" s="136"/>
      <c r="Q788" s="136"/>
      <c r="R788" s="136"/>
      <c r="S788" s="136"/>
      <c r="T788" s="136"/>
    </row>
    <row r="789" spans="1:20">
      <c r="A789" s="136"/>
      <c r="B789" s="136"/>
      <c r="C789" s="136"/>
      <c r="D789" s="136"/>
      <c r="E789" s="136"/>
      <c r="F789" s="136"/>
      <c r="G789" s="136"/>
      <c r="H789" s="136"/>
      <c r="I789" s="136"/>
      <c r="J789" s="136"/>
      <c r="K789" s="136"/>
      <c r="L789" s="136"/>
      <c r="M789" s="136"/>
      <c r="N789" s="136"/>
      <c r="O789" s="136"/>
      <c r="P789" s="136"/>
      <c r="Q789" s="136"/>
      <c r="R789" s="136"/>
      <c r="S789" s="136"/>
      <c r="T789" s="136"/>
    </row>
    <row r="790" spans="1:20">
      <c r="A790" s="136"/>
      <c r="B790" s="136"/>
      <c r="C790" s="136"/>
      <c r="D790" s="136"/>
      <c r="E790" s="136"/>
      <c r="F790" s="136"/>
      <c r="G790" s="136"/>
      <c r="H790" s="136"/>
      <c r="I790" s="136"/>
      <c r="J790" s="136"/>
      <c r="K790" s="136"/>
      <c r="L790" s="136"/>
      <c r="M790" s="136"/>
      <c r="N790" s="136"/>
      <c r="O790" s="136"/>
      <c r="P790" s="136"/>
      <c r="Q790" s="136"/>
      <c r="R790" s="136"/>
      <c r="S790" s="136"/>
      <c r="T790" s="136"/>
    </row>
    <row r="791" spans="1:20">
      <c r="A791" s="136"/>
      <c r="B791" s="136"/>
      <c r="C791" s="136"/>
      <c r="D791" s="136"/>
      <c r="E791" s="136"/>
      <c r="F791" s="136"/>
      <c r="G791" s="136"/>
      <c r="H791" s="136"/>
      <c r="I791" s="136"/>
      <c r="J791" s="136"/>
      <c r="K791" s="136"/>
      <c r="L791" s="136"/>
      <c r="M791" s="136"/>
      <c r="N791" s="136"/>
      <c r="O791" s="136"/>
      <c r="P791" s="136"/>
      <c r="Q791" s="136"/>
      <c r="R791" s="136"/>
      <c r="S791" s="136"/>
      <c r="T791" s="136"/>
    </row>
    <row r="792" spans="1:20">
      <c r="A792" s="136"/>
      <c r="B792" s="136"/>
      <c r="C792" s="136"/>
      <c r="D792" s="136"/>
      <c r="E792" s="136"/>
      <c r="F792" s="136"/>
      <c r="G792" s="136"/>
      <c r="H792" s="136"/>
      <c r="I792" s="136"/>
      <c r="J792" s="136"/>
      <c r="K792" s="136"/>
      <c r="L792" s="136"/>
      <c r="M792" s="136"/>
      <c r="N792" s="136"/>
      <c r="O792" s="136"/>
      <c r="P792" s="136"/>
      <c r="Q792" s="136"/>
      <c r="R792" s="136"/>
      <c r="S792" s="136"/>
      <c r="T792" s="136"/>
    </row>
    <row r="793" spans="1:20">
      <c r="A793" s="136"/>
      <c r="B793" s="136"/>
      <c r="C793" s="136"/>
      <c r="D793" s="136"/>
      <c r="E793" s="136"/>
      <c r="F793" s="136"/>
      <c r="G793" s="136"/>
      <c r="H793" s="136"/>
      <c r="I793" s="136"/>
      <c r="J793" s="136"/>
      <c r="K793" s="136"/>
      <c r="L793" s="136"/>
      <c r="M793" s="136"/>
      <c r="N793" s="136"/>
      <c r="O793" s="136"/>
      <c r="P793" s="136"/>
      <c r="Q793" s="136"/>
      <c r="R793" s="136"/>
      <c r="S793" s="136"/>
      <c r="T793" s="136"/>
    </row>
    <row r="794" spans="1:20">
      <c r="A794" s="136"/>
      <c r="B794" s="136"/>
      <c r="C794" s="136"/>
      <c r="D794" s="136"/>
      <c r="E794" s="136"/>
      <c r="F794" s="136"/>
      <c r="G794" s="136"/>
      <c r="H794" s="136"/>
      <c r="I794" s="136"/>
      <c r="J794" s="136"/>
      <c r="K794" s="136"/>
      <c r="L794" s="136"/>
      <c r="M794" s="136"/>
      <c r="N794" s="136"/>
      <c r="O794" s="136"/>
      <c r="P794" s="136"/>
      <c r="Q794" s="136"/>
      <c r="R794" s="136"/>
      <c r="S794" s="136"/>
      <c r="T794" s="136"/>
    </row>
    <row r="795" spans="1:20">
      <c r="A795" s="136"/>
      <c r="B795" s="136"/>
      <c r="C795" s="136"/>
      <c r="D795" s="136"/>
      <c r="E795" s="136"/>
      <c r="F795" s="136"/>
      <c r="G795" s="136"/>
      <c r="H795" s="136"/>
      <c r="I795" s="136"/>
      <c r="J795" s="136"/>
      <c r="K795" s="136"/>
      <c r="L795" s="136"/>
      <c r="M795" s="136"/>
      <c r="N795" s="136"/>
      <c r="O795" s="136"/>
      <c r="P795" s="136"/>
      <c r="Q795" s="136"/>
      <c r="R795" s="136"/>
      <c r="S795" s="136"/>
      <c r="T795" s="136"/>
    </row>
    <row r="796" spans="1:20">
      <c r="A796" s="136"/>
      <c r="B796" s="136"/>
      <c r="C796" s="136"/>
      <c r="D796" s="136"/>
      <c r="E796" s="136"/>
      <c r="F796" s="136"/>
      <c r="G796" s="136"/>
      <c r="H796" s="136"/>
      <c r="I796" s="136"/>
      <c r="J796" s="136"/>
      <c r="K796" s="136"/>
      <c r="L796" s="136"/>
      <c r="M796" s="136"/>
      <c r="N796" s="136"/>
      <c r="O796" s="136"/>
      <c r="P796" s="136"/>
      <c r="Q796" s="136"/>
      <c r="R796" s="136"/>
      <c r="S796" s="136"/>
      <c r="T796" s="136"/>
    </row>
    <row r="797" spans="1:20">
      <c r="A797" s="136"/>
      <c r="B797" s="136"/>
      <c r="C797" s="136"/>
      <c r="D797" s="136"/>
      <c r="E797" s="136"/>
      <c r="F797" s="136"/>
      <c r="G797" s="136"/>
      <c r="H797" s="136"/>
      <c r="I797" s="136"/>
      <c r="J797" s="136"/>
      <c r="K797" s="136"/>
      <c r="L797" s="136"/>
      <c r="M797" s="136"/>
      <c r="N797" s="136"/>
      <c r="O797" s="136"/>
      <c r="P797" s="136"/>
      <c r="Q797" s="136"/>
      <c r="R797" s="136"/>
      <c r="S797" s="136"/>
      <c r="T797" s="136"/>
    </row>
    <row r="798" spans="1:20">
      <c r="A798" s="136"/>
      <c r="B798" s="136"/>
      <c r="C798" s="136"/>
      <c r="D798" s="136"/>
      <c r="E798" s="136"/>
      <c r="F798" s="136"/>
      <c r="G798" s="136"/>
      <c r="H798" s="136"/>
      <c r="I798" s="136"/>
      <c r="J798" s="136"/>
      <c r="K798" s="136"/>
      <c r="L798" s="136"/>
      <c r="M798" s="136"/>
      <c r="N798" s="136"/>
      <c r="O798" s="136"/>
      <c r="P798" s="136"/>
      <c r="Q798" s="136"/>
      <c r="R798" s="136"/>
      <c r="S798" s="136"/>
      <c r="T798" s="136"/>
    </row>
    <row r="799" spans="1:20">
      <c r="A799" s="136"/>
      <c r="B799" s="136"/>
      <c r="C799" s="136"/>
      <c r="D799" s="136"/>
      <c r="E799" s="136"/>
      <c r="F799" s="136"/>
      <c r="G799" s="136"/>
      <c r="H799" s="136"/>
      <c r="I799" s="136"/>
      <c r="J799" s="136"/>
      <c r="K799" s="136"/>
      <c r="L799" s="136"/>
      <c r="M799" s="136"/>
      <c r="N799" s="136"/>
      <c r="O799" s="136"/>
      <c r="P799" s="136"/>
      <c r="Q799" s="136"/>
      <c r="R799" s="136"/>
      <c r="S799" s="136"/>
      <c r="T799" s="136"/>
    </row>
    <row r="800" spans="1:20">
      <c r="A800" s="136"/>
      <c r="B800" s="136"/>
      <c r="C800" s="136"/>
      <c r="D800" s="136"/>
      <c r="E800" s="136"/>
      <c r="F800" s="136"/>
      <c r="G800" s="136"/>
      <c r="H800" s="136"/>
      <c r="I800" s="136"/>
      <c r="J800" s="136"/>
      <c r="K800" s="136"/>
      <c r="L800" s="136"/>
      <c r="M800" s="136"/>
      <c r="N800" s="136"/>
      <c r="O800" s="136"/>
      <c r="P800" s="136"/>
      <c r="Q800" s="136"/>
      <c r="R800" s="136"/>
      <c r="S800" s="136"/>
      <c r="T800" s="136"/>
    </row>
    <row r="801" spans="1:20">
      <c r="A801" s="136"/>
      <c r="B801" s="136"/>
      <c r="C801" s="136"/>
      <c r="D801" s="136"/>
      <c r="E801" s="136"/>
      <c r="F801" s="136"/>
      <c r="G801" s="136"/>
      <c r="H801" s="136"/>
      <c r="I801" s="136"/>
      <c r="J801" s="136"/>
      <c r="K801" s="136"/>
      <c r="L801" s="136"/>
      <c r="M801" s="136"/>
      <c r="N801" s="136"/>
      <c r="O801" s="136"/>
      <c r="P801" s="136"/>
      <c r="Q801" s="136"/>
      <c r="R801" s="136"/>
      <c r="S801" s="136"/>
      <c r="T801" s="136"/>
    </row>
    <row r="802" spans="1:20">
      <c r="A802" s="136"/>
      <c r="B802" s="136"/>
      <c r="C802" s="136"/>
      <c r="D802" s="136"/>
      <c r="E802" s="136"/>
      <c r="F802" s="136"/>
      <c r="G802" s="136"/>
      <c r="H802" s="136"/>
      <c r="I802" s="136"/>
      <c r="J802" s="136"/>
      <c r="K802" s="136"/>
      <c r="L802" s="136"/>
      <c r="M802" s="136"/>
      <c r="N802" s="136"/>
      <c r="O802" s="136"/>
      <c r="P802" s="136"/>
      <c r="Q802" s="136"/>
      <c r="R802" s="136"/>
      <c r="S802" s="136"/>
      <c r="T802" s="136"/>
    </row>
    <row r="803" spans="1:20">
      <c r="A803" s="136"/>
      <c r="B803" s="136"/>
      <c r="C803" s="136"/>
      <c r="D803" s="136"/>
      <c r="E803" s="136"/>
      <c r="F803" s="136"/>
      <c r="G803" s="136"/>
      <c r="H803" s="136"/>
      <c r="I803" s="136"/>
      <c r="J803" s="136"/>
      <c r="K803" s="136"/>
      <c r="L803" s="136"/>
      <c r="M803" s="136"/>
      <c r="N803" s="136"/>
      <c r="O803" s="136"/>
      <c r="P803" s="136"/>
      <c r="Q803" s="136"/>
      <c r="R803" s="136"/>
      <c r="S803" s="136"/>
      <c r="T803" s="136"/>
    </row>
    <row r="804" spans="1:20">
      <c r="A804" s="136"/>
      <c r="B804" s="136"/>
      <c r="C804" s="136"/>
      <c r="D804" s="136"/>
      <c r="E804" s="136"/>
      <c r="F804" s="136"/>
      <c r="G804" s="136"/>
      <c r="H804" s="136"/>
      <c r="I804" s="136"/>
      <c r="J804" s="136"/>
      <c r="K804" s="136"/>
      <c r="L804" s="136"/>
      <c r="M804" s="136"/>
      <c r="N804" s="136"/>
      <c r="O804" s="136"/>
      <c r="P804" s="136"/>
      <c r="Q804" s="136"/>
      <c r="R804" s="136"/>
      <c r="S804" s="136"/>
      <c r="T804" s="136"/>
    </row>
    <row r="805" spans="1:20">
      <c r="A805" s="136"/>
      <c r="B805" s="136"/>
      <c r="C805" s="136"/>
      <c r="D805" s="136"/>
      <c r="E805" s="136"/>
      <c r="F805" s="136"/>
      <c r="G805" s="136"/>
      <c r="H805" s="136"/>
      <c r="I805" s="136"/>
      <c r="J805" s="136"/>
      <c r="K805" s="136"/>
      <c r="L805" s="136"/>
      <c r="M805" s="136"/>
      <c r="N805" s="136"/>
      <c r="O805" s="136"/>
      <c r="P805" s="136"/>
      <c r="Q805" s="136"/>
      <c r="R805" s="136"/>
      <c r="S805" s="136"/>
      <c r="T805" s="136"/>
    </row>
    <row r="806" spans="1:20">
      <c r="A806" s="136"/>
      <c r="B806" s="136"/>
      <c r="C806" s="136"/>
      <c r="D806" s="136"/>
      <c r="E806" s="136"/>
      <c r="F806" s="136"/>
      <c r="G806" s="136"/>
      <c r="H806" s="136"/>
      <c r="I806" s="136"/>
      <c r="J806" s="136"/>
      <c r="K806" s="136"/>
      <c r="L806" s="136"/>
      <c r="M806" s="136"/>
      <c r="N806" s="136"/>
      <c r="O806" s="136"/>
      <c r="P806" s="136"/>
      <c r="Q806" s="136"/>
      <c r="R806" s="136"/>
      <c r="S806" s="136"/>
      <c r="T806" s="136"/>
    </row>
    <row r="807" spans="1:20">
      <c r="A807" s="136"/>
      <c r="B807" s="136"/>
      <c r="C807" s="136"/>
      <c r="D807" s="136"/>
      <c r="E807" s="136"/>
      <c r="F807" s="136"/>
      <c r="G807" s="136"/>
      <c r="H807" s="136"/>
      <c r="I807" s="136"/>
      <c r="J807" s="136"/>
      <c r="K807" s="136"/>
      <c r="L807" s="136"/>
      <c r="M807" s="136"/>
      <c r="N807" s="136"/>
      <c r="O807" s="136"/>
      <c r="P807" s="136"/>
      <c r="Q807" s="136"/>
      <c r="R807" s="136"/>
      <c r="S807" s="136"/>
      <c r="T807" s="136"/>
    </row>
    <row r="808" spans="1:20">
      <c r="A808" s="136"/>
      <c r="B808" s="136"/>
      <c r="C808" s="136"/>
      <c r="D808" s="136"/>
      <c r="E808" s="136"/>
      <c r="F808" s="136"/>
      <c r="G808" s="136"/>
      <c r="H808" s="136"/>
      <c r="I808" s="136"/>
      <c r="J808" s="136"/>
      <c r="K808" s="136"/>
      <c r="L808" s="136"/>
      <c r="M808" s="136"/>
      <c r="N808" s="136"/>
      <c r="O808" s="136"/>
      <c r="P808" s="136"/>
      <c r="Q808" s="136"/>
      <c r="R808" s="136"/>
      <c r="S808" s="136"/>
      <c r="T808" s="136"/>
    </row>
    <row r="809" spans="1:20">
      <c r="A809" s="136"/>
      <c r="B809" s="136"/>
      <c r="C809" s="136"/>
      <c r="D809" s="136"/>
      <c r="E809" s="136"/>
      <c r="F809" s="136"/>
      <c r="G809" s="136"/>
      <c r="H809" s="136"/>
      <c r="I809" s="136"/>
      <c r="J809" s="136"/>
      <c r="K809" s="136"/>
      <c r="L809" s="136"/>
      <c r="M809" s="136"/>
      <c r="N809" s="136"/>
      <c r="O809" s="136"/>
      <c r="P809" s="136"/>
      <c r="Q809" s="136"/>
      <c r="R809" s="136"/>
      <c r="S809" s="136"/>
      <c r="T809" s="136"/>
    </row>
    <row r="810" spans="1:20">
      <c r="A810" s="136"/>
      <c r="B810" s="136"/>
      <c r="C810" s="136"/>
      <c r="D810" s="136"/>
      <c r="E810" s="136"/>
      <c r="F810" s="136"/>
      <c r="G810" s="136"/>
      <c r="H810" s="136"/>
      <c r="I810" s="136"/>
      <c r="J810" s="136"/>
      <c r="K810" s="136"/>
      <c r="L810" s="136"/>
      <c r="M810" s="136"/>
      <c r="N810" s="136"/>
      <c r="O810" s="136"/>
      <c r="P810" s="136"/>
      <c r="Q810" s="136"/>
      <c r="R810" s="136"/>
      <c r="S810" s="136"/>
      <c r="T810" s="136"/>
    </row>
    <row r="811" spans="1:20">
      <c r="A811" s="136"/>
      <c r="B811" s="136"/>
      <c r="C811" s="136"/>
      <c r="D811" s="136"/>
      <c r="E811" s="136"/>
      <c r="F811" s="136"/>
      <c r="G811" s="136"/>
      <c r="H811" s="136"/>
      <c r="I811" s="136"/>
      <c r="J811" s="136"/>
      <c r="K811" s="136"/>
      <c r="L811" s="136"/>
      <c r="M811" s="136"/>
      <c r="N811" s="136"/>
      <c r="O811" s="136"/>
      <c r="P811" s="136"/>
      <c r="Q811" s="136"/>
      <c r="R811" s="136"/>
      <c r="S811" s="136"/>
      <c r="T811" s="136"/>
    </row>
    <row r="812" spans="1:20">
      <c r="A812" s="136"/>
      <c r="B812" s="136"/>
      <c r="C812" s="136"/>
      <c r="D812" s="136"/>
      <c r="E812" s="136"/>
      <c r="F812" s="136"/>
      <c r="G812" s="136"/>
      <c r="H812" s="136"/>
      <c r="I812" s="136"/>
      <c r="J812" s="136"/>
      <c r="K812" s="136"/>
      <c r="L812" s="136"/>
      <c r="M812" s="136"/>
      <c r="N812" s="136"/>
      <c r="O812" s="136"/>
      <c r="P812" s="136"/>
      <c r="Q812" s="136"/>
      <c r="R812" s="136"/>
      <c r="S812" s="136"/>
      <c r="T812" s="136"/>
    </row>
    <row r="813" spans="1:20">
      <c r="A813" s="136"/>
      <c r="B813" s="136"/>
      <c r="C813" s="136"/>
      <c r="D813" s="136"/>
      <c r="E813" s="136"/>
      <c r="F813" s="136"/>
      <c r="G813" s="136"/>
      <c r="H813" s="136"/>
      <c r="I813" s="136"/>
      <c r="J813" s="136"/>
      <c r="K813" s="136"/>
      <c r="L813" s="136"/>
      <c r="M813" s="136"/>
      <c r="N813" s="136"/>
      <c r="O813" s="136"/>
      <c r="P813" s="136"/>
      <c r="Q813" s="136"/>
      <c r="R813" s="136"/>
      <c r="S813" s="136"/>
      <c r="T813" s="136"/>
    </row>
    <row r="814" spans="1:20">
      <c r="A814" s="136"/>
      <c r="B814" s="136"/>
      <c r="C814" s="136"/>
      <c r="D814" s="136"/>
      <c r="E814" s="136"/>
      <c r="F814" s="136"/>
      <c r="G814" s="136"/>
      <c r="H814" s="136"/>
      <c r="I814" s="136"/>
      <c r="J814" s="136"/>
      <c r="K814" s="136"/>
      <c r="L814" s="136"/>
      <c r="M814" s="136"/>
      <c r="N814" s="136"/>
      <c r="O814" s="136"/>
      <c r="P814" s="136"/>
      <c r="Q814" s="136"/>
      <c r="R814" s="136"/>
      <c r="S814" s="136"/>
      <c r="T814" s="136"/>
    </row>
    <row r="815" spans="1:20">
      <c r="A815" s="136"/>
      <c r="B815" s="136"/>
      <c r="C815" s="136"/>
      <c r="D815" s="136"/>
      <c r="E815" s="136"/>
      <c r="F815" s="136"/>
      <c r="G815" s="136"/>
      <c r="H815" s="136"/>
      <c r="I815" s="136"/>
      <c r="J815" s="136"/>
      <c r="K815" s="136"/>
      <c r="L815" s="136"/>
      <c r="M815" s="136"/>
      <c r="N815" s="136"/>
      <c r="O815" s="136"/>
      <c r="P815" s="136"/>
      <c r="Q815" s="136"/>
      <c r="R815" s="136"/>
      <c r="S815" s="136"/>
      <c r="T815" s="136"/>
    </row>
    <row r="816" spans="1:20">
      <c r="A816" s="136"/>
      <c r="B816" s="136"/>
      <c r="C816" s="136"/>
      <c r="D816" s="136"/>
      <c r="E816" s="136"/>
      <c r="F816" s="136"/>
      <c r="G816" s="136"/>
      <c r="H816" s="136"/>
      <c r="I816" s="136"/>
      <c r="J816" s="136"/>
      <c r="K816" s="136"/>
      <c r="L816" s="136"/>
      <c r="M816" s="136"/>
      <c r="N816" s="136"/>
      <c r="O816" s="136"/>
      <c r="P816" s="136"/>
      <c r="Q816" s="136"/>
      <c r="R816" s="136"/>
      <c r="S816" s="136"/>
      <c r="T816" s="136"/>
    </row>
    <row r="817" spans="1:20">
      <c r="A817" s="136"/>
      <c r="B817" s="136"/>
      <c r="C817" s="136"/>
      <c r="D817" s="136"/>
      <c r="E817" s="136"/>
      <c r="F817" s="136"/>
      <c r="G817" s="136"/>
      <c r="H817" s="136"/>
      <c r="I817" s="136"/>
      <c r="J817" s="136"/>
      <c r="K817" s="136"/>
      <c r="L817" s="136"/>
      <c r="M817" s="136"/>
      <c r="N817" s="136"/>
      <c r="O817" s="136"/>
      <c r="P817" s="136"/>
      <c r="Q817" s="136"/>
      <c r="R817" s="136"/>
      <c r="S817" s="136"/>
      <c r="T817" s="136"/>
    </row>
    <row r="818" spans="1:20">
      <c r="A818" s="136"/>
      <c r="B818" s="136"/>
      <c r="C818" s="136"/>
      <c r="D818" s="136"/>
      <c r="E818" s="136"/>
      <c r="F818" s="136"/>
      <c r="G818" s="136"/>
      <c r="H818" s="136"/>
      <c r="I818" s="136"/>
      <c r="J818" s="136"/>
      <c r="K818" s="136"/>
      <c r="L818" s="136"/>
      <c r="M818" s="136"/>
      <c r="N818" s="136"/>
      <c r="O818" s="136"/>
      <c r="P818" s="136"/>
      <c r="Q818" s="136"/>
      <c r="R818" s="136"/>
      <c r="S818" s="136"/>
      <c r="T818" s="136"/>
    </row>
    <row r="819" spans="1:20">
      <c r="A819" s="136"/>
      <c r="B819" s="136"/>
      <c r="C819" s="136"/>
      <c r="D819" s="136"/>
      <c r="E819" s="136"/>
      <c r="F819" s="136"/>
      <c r="G819" s="136"/>
      <c r="H819" s="136"/>
      <c r="I819" s="136"/>
      <c r="J819" s="136"/>
      <c r="K819" s="136"/>
      <c r="L819" s="136"/>
      <c r="M819" s="136"/>
      <c r="N819" s="136"/>
      <c r="O819" s="136"/>
      <c r="P819" s="136"/>
      <c r="Q819" s="136"/>
      <c r="R819" s="136"/>
      <c r="S819" s="136"/>
      <c r="T819" s="136"/>
    </row>
    <row r="820" spans="1:20">
      <c r="A820" s="136"/>
      <c r="B820" s="136"/>
      <c r="C820" s="136"/>
      <c r="D820" s="136"/>
      <c r="E820" s="136"/>
      <c r="F820" s="136"/>
      <c r="G820" s="136"/>
      <c r="H820" s="136"/>
      <c r="I820" s="136"/>
      <c r="J820" s="136"/>
      <c r="K820" s="136"/>
      <c r="L820" s="136"/>
      <c r="M820" s="136"/>
      <c r="N820" s="136"/>
      <c r="O820" s="136"/>
      <c r="P820" s="136"/>
      <c r="Q820" s="136"/>
      <c r="R820" s="136"/>
      <c r="S820" s="136"/>
      <c r="T820" s="136"/>
    </row>
    <row r="821" spans="1:20">
      <c r="A821" s="136"/>
      <c r="B821" s="136"/>
      <c r="C821" s="136"/>
      <c r="D821" s="136"/>
      <c r="E821" s="136"/>
      <c r="F821" s="136"/>
      <c r="G821" s="136"/>
      <c r="H821" s="136"/>
      <c r="I821" s="136"/>
      <c r="J821" s="136"/>
      <c r="K821" s="136"/>
      <c r="L821" s="136"/>
      <c r="M821" s="136"/>
      <c r="N821" s="136"/>
      <c r="O821" s="136"/>
      <c r="P821" s="136"/>
      <c r="Q821" s="136"/>
      <c r="R821" s="136"/>
      <c r="S821" s="136"/>
      <c r="T821" s="136"/>
    </row>
    <row r="822" spans="1:20">
      <c r="A822" s="136"/>
      <c r="B822" s="136"/>
      <c r="C822" s="136"/>
      <c r="D822" s="136"/>
      <c r="E822" s="136"/>
      <c r="F822" s="136"/>
      <c r="G822" s="136"/>
      <c r="H822" s="136"/>
      <c r="I822" s="136"/>
      <c r="J822" s="136"/>
      <c r="K822" s="136"/>
      <c r="L822" s="136"/>
      <c r="M822" s="136"/>
      <c r="N822" s="136"/>
      <c r="O822" s="136"/>
      <c r="P822" s="136"/>
      <c r="Q822" s="136"/>
      <c r="R822" s="136"/>
      <c r="S822" s="136"/>
      <c r="T822" s="136"/>
    </row>
    <row r="823" spans="1:20">
      <c r="A823" s="136"/>
      <c r="B823" s="136"/>
      <c r="C823" s="136"/>
      <c r="D823" s="136"/>
      <c r="E823" s="136"/>
      <c r="F823" s="136"/>
      <c r="G823" s="136"/>
      <c r="H823" s="136"/>
      <c r="I823" s="136"/>
      <c r="J823" s="136"/>
      <c r="K823" s="136"/>
      <c r="L823" s="136"/>
      <c r="M823" s="136"/>
      <c r="N823" s="136"/>
      <c r="O823" s="136"/>
      <c r="P823" s="136"/>
      <c r="Q823" s="136"/>
      <c r="R823" s="136"/>
      <c r="S823" s="136"/>
      <c r="T823" s="136"/>
    </row>
    <row r="824" spans="1:20">
      <c r="A824" s="136"/>
      <c r="B824" s="136"/>
      <c r="C824" s="136"/>
      <c r="D824" s="136"/>
      <c r="E824" s="136"/>
      <c r="F824" s="136"/>
      <c r="G824" s="136"/>
      <c r="H824" s="136"/>
      <c r="I824" s="136"/>
      <c r="J824" s="136"/>
      <c r="K824" s="136"/>
      <c r="L824" s="136"/>
      <c r="M824" s="136"/>
      <c r="N824" s="136"/>
      <c r="O824" s="136"/>
      <c r="P824" s="136"/>
      <c r="Q824" s="136"/>
      <c r="R824" s="136"/>
      <c r="S824" s="136"/>
      <c r="T824" s="136"/>
    </row>
    <row r="825" spans="1:20">
      <c r="A825" s="136"/>
      <c r="B825" s="136"/>
      <c r="C825" s="136"/>
      <c r="D825" s="136"/>
      <c r="E825" s="136"/>
      <c r="F825" s="136"/>
      <c r="G825" s="136"/>
      <c r="H825" s="136"/>
      <c r="I825" s="136"/>
      <c r="J825" s="136"/>
      <c r="K825" s="136"/>
      <c r="L825" s="136"/>
      <c r="M825" s="136"/>
      <c r="N825" s="136"/>
      <c r="O825" s="136"/>
      <c r="P825" s="136"/>
      <c r="Q825" s="136"/>
      <c r="R825" s="136"/>
      <c r="S825" s="136"/>
      <c r="T825" s="136"/>
    </row>
    <row r="826" spans="1:20">
      <c r="A826" s="136"/>
      <c r="B826" s="136"/>
      <c r="C826" s="136"/>
      <c r="D826" s="136"/>
      <c r="E826" s="136"/>
      <c r="F826" s="136"/>
      <c r="G826" s="136"/>
      <c r="H826" s="136"/>
      <c r="I826" s="136"/>
      <c r="J826" s="136"/>
      <c r="K826" s="136"/>
      <c r="L826" s="136"/>
      <c r="M826" s="136"/>
      <c r="N826" s="136"/>
      <c r="O826" s="136"/>
      <c r="P826" s="136"/>
      <c r="Q826" s="136"/>
      <c r="R826" s="136"/>
      <c r="S826" s="136"/>
      <c r="T826" s="136"/>
    </row>
    <row r="827" spans="1:20">
      <c r="A827" s="136"/>
      <c r="B827" s="136"/>
      <c r="C827" s="136"/>
      <c r="D827" s="136"/>
      <c r="E827" s="136"/>
      <c r="F827" s="136"/>
      <c r="G827" s="136"/>
      <c r="H827" s="136"/>
      <c r="I827" s="136"/>
      <c r="J827" s="136"/>
      <c r="K827" s="136"/>
      <c r="L827" s="136"/>
      <c r="M827" s="136"/>
      <c r="N827" s="136"/>
      <c r="O827" s="136"/>
      <c r="P827" s="136"/>
      <c r="Q827" s="136"/>
      <c r="R827" s="136"/>
      <c r="S827" s="136"/>
      <c r="T827" s="136"/>
    </row>
    <row r="828" spans="1:20">
      <c r="A828" s="136"/>
      <c r="B828" s="136"/>
      <c r="C828" s="136"/>
      <c r="D828" s="136"/>
      <c r="E828" s="136"/>
      <c r="F828" s="136"/>
      <c r="G828" s="136"/>
      <c r="H828" s="136"/>
      <c r="I828" s="136"/>
      <c r="J828" s="136"/>
      <c r="K828" s="136"/>
      <c r="L828" s="136"/>
      <c r="M828" s="136"/>
      <c r="N828" s="136"/>
      <c r="O828" s="136"/>
      <c r="P828" s="136"/>
      <c r="Q828" s="136"/>
      <c r="R828" s="136"/>
      <c r="S828" s="136"/>
      <c r="T828" s="136"/>
    </row>
    <row r="829" spans="1:20">
      <c r="A829" s="136"/>
      <c r="B829" s="136"/>
      <c r="C829" s="136"/>
      <c r="D829" s="136"/>
      <c r="E829" s="136"/>
      <c r="F829" s="136"/>
      <c r="G829" s="136"/>
      <c r="H829" s="136"/>
      <c r="I829" s="136"/>
      <c r="J829" s="136"/>
      <c r="K829" s="136"/>
      <c r="L829" s="136"/>
      <c r="M829" s="136"/>
      <c r="N829" s="136"/>
      <c r="O829" s="136"/>
      <c r="P829" s="136"/>
      <c r="Q829" s="136"/>
      <c r="R829" s="136"/>
      <c r="S829" s="136"/>
      <c r="T829" s="136"/>
    </row>
    <row r="830" spans="1:20">
      <c r="A830" s="136"/>
      <c r="B830" s="136"/>
      <c r="C830" s="136"/>
      <c r="D830" s="136"/>
      <c r="E830" s="136"/>
      <c r="F830" s="136"/>
      <c r="G830" s="136"/>
      <c r="H830" s="136"/>
      <c r="I830" s="136"/>
      <c r="J830" s="136"/>
      <c r="K830" s="136"/>
      <c r="L830" s="136"/>
      <c r="M830" s="136"/>
      <c r="N830" s="136"/>
      <c r="O830" s="136"/>
      <c r="P830" s="136"/>
      <c r="Q830" s="136"/>
      <c r="R830" s="136"/>
      <c r="S830" s="136"/>
      <c r="T830" s="136"/>
    </row>
    <row r="831" spans="1:20">
      <c r="A831" s="136"/>
      <c r="B831" s="136"/>
      <c r="C831" s="136"/>
      <c r="D831" s="136"/>
      <c r="E831" s="136"/>
      <c r="F831" s="136"/>
      <c r="G831" s="136"/>
      <c r="H831" s="136"/>
      <c r="I831" s="136"/>
      <c r="J831" s="136"/>
      <c r="K831" s="136"/>
      <c r="L831" s="136"/>
      <c r="M831" s="136"/>
      <c r="N831" s="136"/>
      <c r="O831" s="136"/>
      <c r="P831" s="136"/>
      <c r="Q831" s="136"/>
      <c r="R831" s="136"/>
      <c r="S831" s="136"/>
      <c r="T831" s="136"/>
    </row>
    <row r="832" spans="1:20">
      <c r="A832" s="136"/>
      <c r="B832" s="136"/>
      <c r="C832" s="136"/>
      <c r="D832" s="136"/>
      <c r="E832" s="136"/>
      <c r="F832" s="136"/>
      <c r="G832" s="136"/>
      <c r="H832" s="136"/>
      <c r="I832" s="136"/>
      <c r="J832" s="136"/>
      <c r="K832" s="136"/>
      <c r="L832" s="136"/>
      <c r="M832" s="136"/>
      <c r="N832" s="136"/>
      <c r="O832" s="136"/>
      <c r="P832" s="136"/>
      <c r="Q832" s="136"/>
      <c r="R832" s="136"/>
      <c r="S832" s="136"/>
      <c r="T832" s="136"/>
    </row>
    <row r="833" spans="1:20">
      <c r="A833" s="136"/>
      <c r="B833" s="136"/>
      <c r="C833" s="136"/>
      <c r="D833" s="136"/>
      <c r="E833" s="136"/>
      <c r="F833" s="136"/>
      <c r="G833" s="136"/>
      <c r="H833" s="136"/>
      <c r="I833" s="136"/>
      <c r="J833" s="136"/>
      <c r="K833" s="136"/>
      <c r="L833" s="136"/>
      <c r="M833" s="136"/>
      <c r="N833" s="136"/>
      <c r="O833" s="136"/>
      <c r="P833" s="136"/>
      <c r="Q833" s="136"/>
      <c r="R833" s="136"/>
      <c r="S833" s="136"/>
      <c r="T833" s="136"/>
    </row>
    <row r="834" spans="1:20">
      <c r="A834" s="136"/>
      <c r="B834" s="136"/>
      <c r="C834" s="136"/>
      <c r="D834" s="136"/>
      <c r="E834" s="136"/>
      <c r="F834" s="136"/>
      <c r="G834" s="136"/>
      <c r="H834" s="136"/>
      <c r="I834" s="136"/>
      <c r="J834" s="136"/>
      <c r="K834" s="136"/>
      <c r="L834" s="136"/>
      <c r="M834" s="136"/>
      <c r="N834" s="136"/>
      <c r="O834" s="136"/>
      <c r="P834" s="136"/>
      <c r="Q834" s="136"/>
      <c r="R834" s="136"/>
      <c r="S834" s="136"/>
      <c r="T834" s="136"/>
    </row>
    <row r="835" spans="1:20">
      <c r="A835" s="136"/>
      <c r="B835" s="136"/>
      <c r="C835" s="136"/>
      <c r="D835" s="136"/>
      <c r="E835" s="136"/>
      <c r="F835" s="136"/>
      <c r="G835" s="136"/>
      <c r="H835" s="136"/>
      <c r="I835" s="136"/>
      <c r="J835" s="136"/>
      <c r="K835" s="136"/>
      <c r="L835" s="136"/>
      <c r="M835" s="136"/>
      <c r="N835" s="136"/>
      <c r="O835" s="136"/>
      <c r="P835" s="136"/>
      <c r="Q835" s="136"/>
      <c r="R835" s="136"/>
      <c r="S835" s="136"/>
      <c r="T835" s="136"/>
    </row>
    <row r="836" spans="1:20">
      <c r="A836" s="136"/>
      <c r="B836" s="136"/>
      <c r="C836" s="136"/>
      <c r="D836" s="136"/>
      <c r="E836" s="136"/>
      <c r="F836" s="136"/>
      <c r="G836" s="136"/>
      <c r="H836" s="136"/>
      <c r="I836" s="136"/>
      <c r="J836" s="136"/>
      <c r="K836" s="136"/>
      <c r="L836" s="136"/>
      <c r="M836" s="136"/>
      <c r="N836" s="136"/>
      <c r="O836" s="136"/>
      <c r="P836" s="136"/>
      <c r="Q836" s="136"/>
      <c r="R836" s="136"/>
      <c r="S836" s="136"/>
      <c r="T836" s="136"/>
    </row>
    <row r="837" spans="1:20">
      <c r="A837" s="136"/>
      <c r="B837" s="136"/>
      <c r="C837" s="136"/>
      <c r="D837" s="136"/>
      <c r="E837" s="136"/>
      <c r="F837" s="136"/>
      <c r="G837" s="136"/>
      <c r="H837" s="136"/>
      <c r="I837" s="136"/>
      <c r="J837" s="136"/>
      <c r="K837" s="136"/>
      <c r="L837" s="136"/>
      <c r="M837" s="136"/>
      <c r="N837" s="136"/>
      <c r="O837" s="136"/>
      <c r="P837" s="136"/>
      <c r="Q837" s="136"/>
      <c r="R837" s="136"/>
      <c r="S837" s="136"/>
      <c r="T837" s="136"/>
    </row>
    <row r="838" spans="1:20">
      <c r="A838" s="136"/>
      <c r="B838" s="136"/>
      <c r="C838" s="136"/>
      <c r="D838" s="136"/>
      <c r="E838" s="136"/>
      <c r="F838" s="136"/>
      <c r="G838" s="136"/>
      <c r="H838" s="136"/>
      <c r="I838" s="136"/>
      <c r="J838" s="136"/>
      <c r="K838" s="136"/>
      <c r="L838" s="136"/>
      <c r="M838" s="136"/>
      <c r="N838" s="136"/>
      <c r="O838" s="136"/>
      <c r="P838" s="136"/>
      <c r="Q838" s="136"/>
      <c r="R838" s="136"/>
      <c r="S838" s="136"/>
      <c r="T838" s="136"/>
    </row>
    <row r="839" spans="1:20">
      <c r="A839" s="136"/>
      <c r="B839" s="136"/>
      <c r="C839" s="136"/>
      <c r="D839" s="136"/>
      <c r="E839" s="136"/>
      <c r="F839" s="136"/>
      <c r="G839" s="136"/>
      <c r="H839" s="136"/>
      <c r="I839" s="136"/>
      <c r="J839" s="136"/>
      <c r="K839" s="136"/>
      <c r="L839" s="136"/>
      <c r="M839" s="136"/>
      <c r="N839" s="136"/>
      <c r="O839" s="136"/>
      <c r="P839" s="136"/>
      <c r="Q839" s="136"/>
      <c r="R839" s="136"/>
      <c r="S839" s="136"/>
      <c r="T839" s="136"/>
    </row>
    <row r="840" spans="1:20">
      <c r="A840" s="136"/>
      <c r="B840" s="136"/>
      <c r="C840" s="136"/>
      <c r="D840" s="136"/>
      <c r="E840" s="136"/>
      <c r="F840" s="136"/>
      <c r="G840" s="136"/>
      <c r="H840" s="136"/>
      <c r="I840" s="136"/>
      <c r="J840" s="136"/>
      <c r="K840" s="136"/>
      <c r="L840" s="136"/>
      <c r="M840" s="136"/>
      <c r="N840" s="136"/>
      <c r="O840" s="136"/>
      <c r="P840" s="136"/>
      <c r="Q840" s="136"/>
      <c r="R840" s="136"/>
      <c r="S840" s="136"/>
      <c r="T840" s="136"/>
    </row>
    <row r="841" spans="1:20">
      <c r="A841" s="136"/>
      <c r="B841" s="136"/>
      <c r="C841" s="136"/>
      <c r="D841" s="136"/>
      <c r="E841" s="136"/>
      <c r="F841" s="136"/>
      <c r="G841" s="136"/>
      <c r="H841" s="136"/>
      <c r="I841" s="136"/>
      <c r="J841" s="136"/>
      <c r="K841" s="136"/>
      <c r="L841" s="136"/>
      <c r="M841" s="136"/>
      <c r="N841" s="136"/>
      <c r="O841" s="136"/>
      <c r="P841" s="136"/>
      <c r="Q841" s="136"/>
      <c r="R841" s="136"/>
      <c r="S841" s="136"/>
      <c r="T841" s="136"/>
    </row>
    <row r="842" spans="1:20">
      <c r="A842" s="136"/>
      <c r="B842" s="136"/>
      <c r="C842" s="136"/>
      <c r="D842" s="136"/>
      <c r="E842" s="136"/>
      <c r="F842" s="136"/>
      <c r="G842" s="136"/>
      <c r="H842" s="136"/>
      <c r="I842" s="136"/>
      <c r="J842" s="136"/>
      <c r="K842" s="136"/>
      <c r="L842" s="136"/>
      <c r="M842" s="136"/>
      <c r="N842" s="136"/>
      <c r="O842" s="136"/>
      <c r="P842" s="136"/>
      <c r="Q842" s="136"/>
      <c r="R842" s="136"/>
      <c r="S842" s="136"/>
      <c r="T842" s="136"/>
    </row>
    <row r="843" spans="1:20">
      <c r="A843" s="136"/>
      <c r="B843" s="136"/>
      <c r="C843" s="136"/>
      <c r="D843" s="136"/>
      <c r="E843" s="136"/>
      <c r="F843" s="136"/>
      <c r="G843" s="136"/>
      <c r="H843" s="136"/>
      <c r="I843" s="136"/>
      <c r="J843" s="136"/>
      <c r="K843" s="136"/>
      <c r="L843" s="136"/>
      <c r="M843" s="136"/>
      <c r="N843" s="136"/>
      <c r="O843" s="136"/>
      <c r="P843" s="136"/>
      <c r="Q843" s="136"/>
      <c r="R843" s="136"/>
      <c r="S843" s="136"/>
      <c r="T843" s="136"/>
    </row>
    <row r="844" spans="1:20">
      <c r="A844" s="136"/>
      <c r="B844" s="136"/>
      <c r="C844" s="136"/>
      <c r="D844" s="136"/>
      <c r="E844" s="136"/>
      <c r="F844" s="136"/>
      <c r="G844" s="136"/>
      <c r="H844" s="136"/>
      <c r="I844" s="136"/>
      <c r="J844" s="136"/>
      <c r="K844" s="136"/>
      <c r="L844" s="136"/>
      <c r="M844" s="136"/>
      <c r="N844" s="136"/>
      <c r="O844" s="136"/>
      <c r="P844" s="136"/>
      <c r="Q844" s="136"/>
      <c r="R844" s="136"/>
      <c r="S844" s="136"/>
      <c r="T844" s="136"/>
    </row>
    <row r="845" spans="1:20">
      <c r="A845" s="136"/>
      <c r="B845" s="136"/>
      <c r="C845" s="136"/>
      <c r="D845" s="136"/>
      <c r="E845" s="136"/>
      <c r="F845" s="136"/>
      <c r="G845" s="136"/>
      <c r="H845" s="136"/>
      <c r="I845" s="136"/>
      <c r="J845" s="136"/>
      <c r="K845" s="136"/>
      <c r="L845" s="136"/>
      <c r="M845" s="136"/>
      <c r="N845" s="136"/>
      <c r="O845" s="136"/>
      <c r="P845" s="136"/>
      <c r="Q845" s="136"/>
      <c r="R845" s="136"/>
      <c r="S845" s="136"/>
      <c r="T845" s="136"/>
    </row>
    <row r="846" spans="1:20">
      <c r="A846" s="136"/>
      <c r="B846" s="136"/>
      <c r="C846" s="136"/>
      <c r="D846" s="136"/>
      <c r="E846" s="136"/>
      <c r="F846" s="136"/>
      <c r="G846" s="136"/>
      <c r="H846" s="136"/>
      <c r="I846" s="136"/>
      <c r="J846" s="136"/>
      <c r="K846" s="136"/>
      <c r="L846" s="136"/>
      <c r="M846" s="136"/>
      <c r="N846" s="136"/>
      <c r="O846" s="136"/>
      <c r="P846" s="136"/>
      <c r="Q846" s="136"/>
      <c r="R846" s="136"/>
      <c r="S846" s="136"/>
      <c r="T846" s="136"/>
    </row>
    <row r="847" spans="1:20">
      <c r="A847" s="136"/>
      <c r="B847" s="136"/>
      <c r="C847" s="136"/>
      <c r="D847" s="136"/>
      <c r="E847" s="136"/>
      <c r="F847" s="136"/>
      <c r="G847" s="136"/>
      <c r="H847" s="136"/>
      <c r="I847" s="136"/>
      <c r="J847" s="136"/>
      <c r="K847" s="136"/>
      <c r="L847" s="136"/>
      <c r="M847" s="136"/>
      <c r="N847" s="136"/>
      <c r="O847" s="136"/>
      <c r="P847" s="136"/>
      <c r="Q847" s="136"/>
      <c r="R847" s="136"/>
      <c r="S847" s="136"/>
      <c r="T847" s="136"/>
    </row>
    <row r="848" spans="1:20">
      <c r="A848" s="136"/>
      <c r="B848" s="136"/>
      <c r="C848" s="136"/>
      <c r="D848" s="136"/>
      <c r="E848" s="136"/>
      <c r="F848" s="136"/>
      <c r="G848" s="136"/>
      <c r="H848" s="136"/>
      <c r="I848" s="136"/>
      <c r="J848" s="136"/>
      <c r="K848" s="136"/>
      <c r="L848" s="136"/>
      <c r="M848" s="136"/>
      <c r="N848" s="136"/>
      <c r="O848" s="136"/>
      <c r="P848" s="136"/>
      <c r="Q848" s="136"/>
      <c r="R848" s="136"/>
      <c r="S848" s="136"/>
      <c r="T848" s="136"/>
    </row>
    <row r="849" spans="1:20">
      <c r="A849" s="136"/>
      <c r="B849" s="136"/>
      <c r="C849" s="136"/>
      <c r="D849" s="136"/>
      <c r="E849" s="136"/>
      <c r="F849" s="136"/>
      <c r="G849" s="136"/>
      <c r="H849" s="136"/>
      <c r="I849" s="136"/>
      <c r="J849" s="136"/>
      <c r="K849" s="136"/>
      <c r="L849" s="136"/>
      <c r="M849" s="136"/>
      <c r="N849" s="136"/>
      <c r="O849" s="136"/>
      <c r="P849" s="136"/>
      <c r="Q849" s="136"/>
      <c r="R849" s="136"/>
      <c r="S849" s="136"/>
      <c r="T849" s="136"/>
    </row>
    <row r="850" spans="1:20">
      <c r="A850" s="136"/>
      <c r="B850" s="136"/>
      <c r="C850" s="136"/>
      <c r="D850" s="136"/>
      <c r="E850" s="136"/>
      <c r="F850" s="136"/>
      <c r="G850" s="136"/>
      <c r="H850" s="136"/>
      <c r="I850" s="136"/>
      <c r="J850" s="136"/>
      <c r="K850" s="136"/>
      <c r="L850" s="136"/>
      <c r="M850" s="136"/>
      <c r="N850" s="136"/>
      <c r="O850" s="136"/>
      <c r="P850" s="136"/>
      <c r="Q850" s="136"/>
      <c r="R850" s="136"/>
      <c r="S850" s="136"/>
      <c r="T850" s="136"/>
    </row>
    <row r="851" spans="1:20">
      <c r="A851" s="136"/>
      <c r="B851" s="136"/>
      <c r="C851" s="136"/>
      <c r="D851" s="136"/>
      <c r="E851" s="136"/>
      <c r="F851" s="136"/>
      <c r="G851" s="136"/>
      <c r="H851" s="136"/>
      <c r="I851" s="136"/>
      <c r="J851" s="136"/>
      <c r="K851" s="136"/>
      <c r="L851" s="136"/>
      <c r="M851" s="136"/>
      <c r="N851" s="136"/>
      <c r="O851" s="136"/>
      <c r="P851" s="136"/>
      <c r="Q851" s="136"/>
      <c r="R851" s="136"/>
      <c r="S851" s="136"/>
      <c r="T851" s="136"/>
    </row>
    <row r="852" spans="1:20">
      <c r="A852" s="136"/>
      <c r="B852" s="136"/>
      <c r="C852" s="136"/>
      <c r="D852" s="136"/>
      <c r="E852" s="136"/>
      <c r="F852" s="136"/>
      <c r="G852" s="136"/>
      <c r="H852" s="136"/>
      <c r="I852" s="136"/>
      <c r="J852" s="136"/>
      <c r="K852" s="136"/>
      <c r="L852" s="136"/>
      <c r="M852" s="136"/>
      <c r="N852" s="136"/>
      <c r="O852" s="136"/>
      <c r="P852" s="136"/>
      <c r="Q852" s="136"/>
      <c r="R852" s="136"/>
      <c r="S852" s="136"/>
      <c r="T852" s="136"/>
    </row>
    <row r="853" spans="1:20">
      <c r="A853" s="136"/>
      <c r="B853" s="136"/>
      <c r="C853" s="136"/>
      <c r="D853" s="136"/>
      <c r="E853" s="136"/>
      <c r="F853" s="136"/>
      <c r="G853" s="136"/>
      <c r="H853" s="136"/>
      <c r="I853" s="136"/>
      <c r="J853" s="136"/>
      <c r="K853" s="136"/>
      <c r="L853" s="136"/>
      <c r="M853" s="136"/>
      <c r="N853" s="136"/>
      <c r="O853" s="136"/>
      <c r="P853" s="136"/>
      <c r="Q853" s="136"/>
      <c r="R853" s="136"/>
      <c r="S853" s="136"/>
      <c r="T853" s="136"/>
    </row>
    <row r="854" spans="1:20">
      <c r="A854" s="136"/>
      <c r="B854" s="136"/>
      <c r="C854" s="136"/>
      <c r="D854" s="136"/>
      <c r="E854" s="136"/>
      <c r="F854" s="136"/>
      <c r="G854" s="136"/>
      <c r="H854" s="136"/>
      <c r="I854" s="136"/>
      <c r="J854" s="136"/>
      <c r="K854" s="136"/>
      <c r="L854" s="136"/>
      <c r="M854" s="136"/>
      <c r="N854" s="136"/>
      <c r="O854" s="136"/>
      <c r="P854" s="136"/>
      <c r="Q854" s="136"/>
      <c r="R854" s="136"/>
      <c r="S854" s="136"/>
      <c r="T854" s="136"/>
    </row>
    <row r="855" spans="1:20">
      <c r="A855" s="136"/>
      <c r="B855" s="136"/>
      <c r="C855" s="136"/>
      <c r="D855" s="136"/>
      <c r="E855" s="136"/>
      <c r="F855" s="136"/>
      <c r="G855" s="136"/>
      <c r="H855" s="136"/>
      <c r="I855" s="136"/>
      <c r="J855" s="136"/>
      <c r="K855" s="136"/>
      <c r="L855" s="136"/>
      <c r="M855" s="136"/>
      <c r="N855" s="136"/>
      <c r="O855" s="136"/>
      <c r="P855" s="136"/>
      <c r="Q855" s="136"/>
      <c r="R855" s="136"/>
      <c r="S855" s="136"/>
      <c r="T855" s="136"/>
    </row>
    <row r="856" spans="1:20">
      <c r="A856" s="136"/>
      <c r="B856" s="136"/>
      <c r="C856" s="136"/>
      <c r="D856" s="136"/>
      <c r="E856" s="136"/>
      <c r="F856" s="136"/>
      <c r="G856" s="136"/>
      <c r="H856" s="136"/>
      <c r="I856" s="136"/>
      <c r="J856" s="136"/>
      <c r="K856" s="136"/>
      <c r="L856" s="136"/>
      <c r="M856" s="136"/>
      <c r="N856" s="136"/>
      <c r="O856" s="136"/>
      <c r="P856" s="136"/>
      <c r="Q856" s="136"/>
      <c r="R856" s="136"/>
      <c r="S856" s="136"/>
      <c r="T856" s="136"/>
    </row>
    <row r="857" spans="1:20">
      <c r="A857" s="136"/>
      <c r="B857" s="136"/>
      <c r="C857" s="136"/>
      <c r="D857" s="136"/>
      <c r="E857" s="136"/>
      <c r="F857" s="136"/>
      <c r="G857" s="136"/>
      <c r="H857" s="136"/>
      <c r="I857" s="136"/>
      <c r="J857" s="136"/>
      <c r="K857" s="136"/>
      <c r="L857" s="136"/>
      <c r="M857" s="136"/>
      <c r="N857" s="136"/>
      <c r="O857" s="136"/>
      <c r="P857" s="136"/>
      <c r="Q857" s="136"/>
      <c r="R857" s="136"/>
      <c r="S857" s="136"/>
      <c r="T857" s="136"/>
    </row>
    <row r="858" spans="1:20">
      <c r="A858" s="136"/>
      <c r="B858" s="136"/>
      <c r="C858" s="136"/>
      <c r="D858" s="136"/>
      <c r="E858" s="136"/>
      <c r="F858" s="136"/>
      <c r="G858" s="136"/>
      <c r="H858" s="136"/>
      <c r="I858" s="136"/>
      <c r="J858" s="136"/>
      <c r="K858" s="136"/>
      <c r="L858" s="136"/>
      <c r="M858" s="136"/>
      <c r="N858" s="136"/>
      <c r="O858" s="136"/>
      <c r="P858" s="136"/>
      <c r="Q858" s="136"/>
      <c r="R858" s="136"/>
      <c r="S858" s="136"/>
      <c r="T858" s="136"/>
    </row>
    <row r="859" spans="1:20">
      <c r="A859" s="136"/>
      <c r="B859" s="136"/>
      <c r="C859" s="136"/>
      <c r="D859" s="136"/>
      <c r="E859" s="136"/>
      <c r="F859" s="136"/>
      <c r="G859" s="136"/>
      <c r="H859" s="136"/>
      <c r="I859" s="136"/>
      <c r="J859" s="136"/>
      <c r="K859" s="136"/>
      <c r="L859" s="136"/>
      <c r="M859" s="136"/>
      <c r="N859" s="136"/>
      <c r="O859" s="136"/>
      <c r="P859" s="136"/>
      <c r="Q859" s="136"/>
      <c r="R859" s="136"/>
      <c r="S859" s="136"/>
      <c r="T859" s="136"/>
    </row>
    <row r="860" spans="1:20">
      <c r="A860" s="136"/>
      <c r="B860" s="136"/>
      <c r="C860" s="136"/>
      <c r="D860" s="136"/>
      <c r="E860" s="136"/>
      <c r="F860" s="136"/>
      <c r="G860" s="136"/>
      <c r="H860" s="136"/>
      <c r="I860" s="136"/>
      <c r="J860" s="136"/>
      <c r="K860" s="136"/>
      <c r="L860" s="136"/>
      <c r="M860" s="136"/>
      <c r="N860" s="136"/>
      <c r="O860" s="136"/>
      <c r="P860" s="136"/>
      <c r="Q860" s="136"/>
      <c r="R860" s="136"/>
      <c r="S860" s="136"/>
      <c r="T860" s="136"/>
    </row>
    <row r="861" spans="1:20">
      <c r="A861" s="136"/>
      <c r="B861" s="136"/>
      <c r="C861" s="136"/>
      <c r="D861" s="136"/>
      <c r="E861" s="136"/>
      <c r="F861" s="136"/>
      <c r="G861" s="136"/>
      <c r="H861" s="136"/>
      <c r="I861" s="136"/>
      <c r="J861" s="136"/>
      <c r="K861" s="136"/>
      <c r="L861" s="136"/>
      <c r="M861" s="136"/>
      <c r="N861" s="136"/>
      <c r="O861" s="136"/>
      <c r="P861" s="136"/>
      <c r="Q861" s="136"/>
      <c r="R861" s="136"/>
      <c r="S861" s="136"/>
      <c r="T861" s="136"/>
    </row>
    <row r="862" spans="1:20">
      <c r="A862" s="136"/>
      <c r="B862" s="136"/>
      <c r="C862" s="136"/>
      <c r="D862" s="136"/>
      <c r="E862" s="136"/>
      <c r="F862" s="136"/>
      <c r="G862" s="136"/>
      <c r="H862" s="136"/>
      <c r="I862" s="136"/>
      <c r="J862" s="136"/>
      <c r="K862" s="136"/>
      <c r="L862" s="136"/>
      <c r="M862" s="136"/>
      <c r="N862" s="136"/>
      <c r="O862" s="136"/>
      <c r="P862" s="136"/>
      <c r="Q862" s="136"/>
      <c r="R862" s="136"/>
      <c r="S862" s="136"/>
      <c r="T862" s="136"/>
    </row>
    <row r="863" spans="1:20">
      <c r="A863" s="136"/>
      <c r="B863" s="136"/>
      <c r="C863" s="136"/>
      <c r="D863" s="136"/>
      <c r="E863" s="136"/>
      <c r="F863" s="136"/>
      <c r="G863" s="136"/>
      <c r="H863" s="136"/>
      <c r="I863" s="136"/>
      <c r="J863" s="136"/>
      <c r="K863" s="136"/>
      <c r="L863" s="136"/>
      <c r="M863" s="136"/>
      <c r="N863" s="136"/>
      <c r="O863" s="136"/>
      <c r="P863" s="136"/>
      <c r="Q863" s="136"/>
      <c r="R863" s="136"/>
      <c r="S863" s="136"/>
      <c r="T863" s="136"/>
    </row>
    <row r="864" spans="1:20">
      <c r="A864" s="136"/>
      <c r="B864" s="136"/>
      <c r="C864" s="136"/>
      <c r="D864" s="136"/>
      <c r="E864" s="136"/>
      <c r="F864" s="136"/>
      <c r="G864" s="136"/>
      <c r="H864" s="136"/>
      <c r="I864" s="136"/>
      <c r="J864" s="136"/>
      <c r="K864" s="136"/>
      <c r="L864" s="136"/>
      <c r="M864" s="136"/>
      <c r="N864" s="136"/>
      <c r="O864" s="136"/>
      <c r="P864" s="136"/>
      <c r="Q864" s="136"/>
      <c r="R864" s="136"/>
      <c r="S864" s="136"/>
      <c r="T864" s="136"/>
    </row>
    <row r="865" spans="1:20">
      <c r="A865" s="136"/>
      <c r="B865" s="136"/>
      <c r="C865" s="136"/>
      <c r="D865" s="136"/>
      <c r="E865" s="136"/>
      <c r="F865" s="136"/>
      <c r="G865" s="136"/>
      <c r="H865" s="136"/>
      <c r="I865" s="136"/>
      <c r="J865" s="136"/>
      <c r="K865" s="136"/>
      <c r="L865" s="136"/>
      <c r="M865" s="136"/>
      <c r="N865" s="136"/>
      <c r="O865" s="136"/>
      <c r="P865" s="136"/>
      <c r="Q865" s="136"/>
      <c r="R865" s="136"/>
      <c r="S865" s="136"/>
      <c r="T865" s="136"/>
    </row>
    <row r="866" spans="1:20">
      <c r="A866" s="136"/>
      <c r="B866" s="136"/>
      <c r="C866" s="136"/>
      <c r="D866" s="136"/>
      <c r="E866" s="136"/>
      <c r="F866" s="136"/>
      <c r="G866" s="136"/>
      <c r="H866" s="136"/>
      <c r="I866" s="136"/>
      <c r="J866" s="136"/>
      <c r="K866" s="136"/>
      <c r="L866" s="136"/>
      <c r="M866" s="136"/>
      <c r="N866" s="136"/>
      <c r="O866" s="136"/>
      <c r="P866" s="136"/>
      <c r="Q866" s="136"/>
      <c r="R866" s="136"/>
      <c r="S866" s="136"/>
      <c r="T866" s="136"/>
    </row>
    <row r="867" spans="1:20">
      <c r="A867" s="136"/>
      <c r="B867" s="136"/>
      <c r="C867" s="136"/>
      <c r="D867" s="136"/>
      <c r="E867" s="136"/>
      <c r="F867" s="136"/>
      <c r="G867" s="136"/>
      <c r="H867" s="136"/>
      <c r="I867" s="136"/>
      <c r="J867" s="136"/>
      <c r="K867" s="136"/>
      <c r="L867" s="136"/>
      <c r="M867" s="136"/>
      <c r="N867" s="136"/>
      <c r="O867" s="136"/>
      <c r="P867" s="136"/>
      <c r="Q867" s="136"/>
      <c r="R867" s="136"/>
      <c r="S867" s="136"/>
      <c r="T867" s="136"/>
    </row>
    <row r="868" spans="1:20">
      <c r="A868" s="136"/>
      <c r="B868" s="136"/>
      <c r="C868" s="136"/>
      <c r="D868" s="136"/>
      <c r="E868" s="136"/>
      <c r="F868" s="136"/>
      <c r="G868" s="136"/>
      <c r="H868" s="136"/>
      <c r="I868" s="136"/>
      <c r="J868" s="136"/>
      <c r="K868" s="136"/>
      <c r="L868" s="136"/>
      <c r="M868" s="136"/>
      <c r="N868" s="136"/>
      <c r="O868" s="136"/>
      <c r="P868" s="136"/>
      <c r="Q868" s="136"/>
      <c r="R868" s="136"/>
      <c r="S868" s="136"/>
      <c r="T868" s="136"/>
    </row>
    <row r="869" spans="1:20">
      <c r="A869" s="136"/>
      <c r="B869" s="136"/>
      <c r="C869" s="136"/>
      <c r="D869" s="136"/>
      <c r="E869" s="136"/>
      <c r="F869" s="136"/>
      <c r="G869" s="136"/>
      <c r="H869" s="136"/>
      <c r="I869" s="136"/>
      <c r="J869" s="136"/>
      <c r="K869" s="136"/>
      <c r="L869" s="136"/>
      <c r="M869" s="136"/>
      <c r="N869" s="136"/>
      <c r="O869" s="136"/>
      <c r="P869" s="136"/>
      <c r="Q869" s="136"/>
      <c r="R869" s="136"/>
      <c r="S869" s="136"/>
      <c r="T869" s="136"/>
    </row>
    <row r="870" spans="1:20">
      <c r="A870" s="136"/>
      <c r="B870" s="136"/>
      <c r="C870" s="136"/>
      <c r="D870" s="136"/>
      <c r="E870" s="136"/>
      <c r="F870" s="136"/>
      <c r="G870" s="136"/>
      <c r="H870" s="136"/>
      <c r="I870" s="136"/>
      <c r="J870" s="136"/>
      <c r="K870" s="136"/>
      <c r="L870" s="136"/>
      <c r="M870" s="136"/>
      <c r="N870" s="136"/>
      <c r="O870" s="136"/>
      <c r="P870" s="136"/>
      <c r="Q870" s="136"/>
      <c r="R870" s="136"/>
      <c r="S870" s="136"/>
      <c r="T870" s="136"/>
    </row>
    <row r="871" spans="1:20">
      <c r="A871" s="136"/>
      <c r="B871" s="136"/>
      <c r="C871" s="136"/>
      <c r="D871" s="136"/>
      <c r="E871" s="136"/>
      <c r="F871" s="136"/>
      <c r="G871" s="136"/>
      <c r="H871" s="136"/>
      <c r="I871" s="136"/>
      <c r="J871" s="136"/>
      <c r="K871" s="136"/>
      <c r="L871" s="136"/>
      <c r="M871" s="136"/>
      <c r="N871" s="136"/>
      <c r="O871" s="136"/>
      <c r="P871" s="136"/>
      <c r="Q871" s="136"/>
      <c r="R871" s="136"/>
      <c r="S871" s="136"/>
      <c r="T871" s="136"/>
    </row>
    <row r="872" spans="1:20">
      <c r="A872" s="136"/>
      <c r="B872" s="136"/>
      <c r="C872" s="136"/>
      <c r="D872" s="136"/>
      <c r="E872" s="136"/>
      <c r="F872" s="136"/>
      <c r="G872" s="136"/>
      <c r="H872" s="136"/>
      <c r="I872" s="136"/>
      <c r="J872" s="136"/>
      <c r="K872" s="136"/>
      <c r="L872" s="136"/>
      <c r="M872" s="136"/>
      <c r="N872" s="136"/>
      <c r="O872" s="136"/>
      <c r="P872" s="136"/>
      <c r="Q872" s="136"/>
      <c r="R872" s="136"/>
      <c r="S872" s="136"/>
      <c r="T872" s="136"/>
    </row>
    <row r="873" spans="1:20">
      <c r="A873" s="136"/>
      <c r="B873" s="136"/>
      <c r="C873" s="136"/>
      <c r="D873" s="136"/>
      <c r="E873" s="136"/>
      <c r="F873" s="136"/>
      <c r="G873" s="136"/>
      <c r="H873" s="136"/>
      <c r="I873" s="136"/>
      <c r="J873" s="136"/>
      <c r="K873" s="136"/>
      <c r="L873" s="136"/>
      <c r="M873" s="136"/>
      <c r="N873" s="136"/>
      <c r="O873" s="136"/>
      <c r="P873" s="136"/>
      <c r="Q873" s="136"/>
      <c r="R873" s="136"/>
      <c r="S873" s="136"/>
      <c r="T873" s="136"/>
    </row>
    <row r="874" spans="1:20">
      <c r="A874" s="136"/>
      <c r="B874" s="136"/>
      <c r="C874" s="136"/>
      <c r="D874" s="136"/>
      <c r="E874" s="136"/>
      <c r="F874" s="136"/>
      <c r="G874" s="136"/>
      <c r="H874" s="136"/>
      <c r="I874" s="136"/>
      <c r="J874" s="136"/>
      <c r="K874" s="136"/>
      <c r="L874" s="136"/>
      <c r="M874" s="136"/>
      <c r="N874" s="136"/>
      <c r="O874" s="136"/>
      <c r="P874" s="136"/>
      <c r="Q874" s="136"/>
      <c r="R874" s="136"/>
      <c r="S874" s="136"/>
      <c r="T874" s="136"/>
    </row>
    <row r="875" spans="1:20">
      <c r="A875" s="136"/>
      <c r="B875" s="136"/>
      <c r="C875" s="136"/>
      <c r="D875" s="136"/>
      <c r="E875" s="136"/>
      <c r="F875" s="136"/>
      <c r="G875" s="136"/>
      <c r="H875" s="136"/>
      <c r="I875" s="136"/>
      <c r="J875" s="136"/>
      <c r="K875" s="136"/>
      <c r="L875" s="136"/>
      <c r="M875" s="136"/>
      <c r="N875" s="136"/>
      <c r="O875" s="136"/>
      <c r="P875" s="136"/>
      <c r="Q875" s="136"/>
      <c r="R875" s="136"/>
      <c r="S875" s="136"/>
      <c r="T875" s="136"/>
    </row>
    <row r="876" spans="1:20">
      <c r="A876" s="136"/>
      <c r="B876" s="136"/>
      <c r="C876" s="136"/>
      <c r="D876" s="136"/>
      <c r="E876" s="136"/>
      <c r="F876" s="136"/>
      <c r="G876" s="136"/>
      <c r="H876" s="136"/>
      <c r="I876" s="136"/>
      <c r="J876" s="136"/>
      <c r="K876" s="136"/>
      <c r="L876" s="136"/>
      <c r="M876" s="136"/>
      <c r="N876" s="136"/>
      <c r="O876" s="136"/>
      <c r="P876" s="136"/>
      <c r="Q876" s="136"/>
      <c r="R876" s="136"/>
      <c r="S876" s="136"/>
      <c r="T876" s="136"/>
    </row>
    <row r="877" spans="1:20">
      <c r="A877" s="136"/>
      <c r="B877" s="136"/>
      <c r="C877" s="136"/>
      <c r="D877" s="136"/>
      <c r="E877" s="136"/>
      <c r="F877" s="136"/>
      <c r="G877" s="136"/>
      <c r="H877" s="136"/>
      <c r="I877" s="136"/>
      <c r="J877" s="136"/>
      <c r="K877" s="136"/>
      <c r="L877" s="136"/>
      <c r="M877" s="136"/>
      <c r="N877" s="136"/>
      <c r="O877" s="136"/>
      <c r="P877" s="136"/>
      <c r="Q877" s="136"/>
      <c r="R877" s="136"/>
      <c r="S877" s="136"/>
      <c r="T877" s="136"/>
    </row>
    <row r="878" spans="1:20">
      <c r="A878" s="136"/>
      <c r="B878" s="136"/>
      <c r="C878" s="136"/>
      <c r="D878" s="136"/>
      <c r="E878" s="136"/>
      <c r="F878" s="136"/>
      <c r="G878" s="136"/>
      <c r="H878" s="136"/>
      <c r="I878" s="136"/>
      <c r="J878" s="136"/>
      <c r="K878" s="136"/>
      <c r="L878" s="136"/>
      <c r="M878" s="136"/>
      <c r="N878" s="136"/>
      <c r="O878" s="136"/>
      <c r="P878" s="136"/>
      <c r="Q878" s="136"/>
      <c r="R878" s="136"/>
      <c r="S878" s="136"/>
      <c r="T878" s="136"/>
    </row>
    <row r="879" spans="1:20">
      <c r="A879" s="136"/>
      <c r="B879" s="136"/>
      <c r="C879" s="136"/>
      <c r="D879" s="136"/>
      <c r="E879" s="136"/>
      <c r="F879" s="136"/>
      <c r="G879" s="136"/>
      <c r="H879" s="136"/>
      <c r="I879" s="136"/>
      <c r="J879" s="136"/>
      <c r="K879" s="136"/>
      <c r="L879" s="136"/>
      <c r="M879" s="136"/>
      <c r="N879" s="136"/>
      <c r="O879" s="136"/>
      <c r="P879" s="136"/>
      <c r="Q879" s="136"/>
      <c r="R879" s="136"/>
      <c r="S879" s="136"/>
      <c r="T879" s="136"/>
    </row>
    <row r="880" spans="1:20">
      <c r="A880" s="136"/>
      <c r="B880" s="136"/>
      <c r="C880" s="136"/>
      <c r="D880" s="136"/>
      <c r="E880" s="136"/>
      <c r="F880" s="136"/>
      <c r="G880" s="136"/>
      <c r="H880" s="136"/>
      <c r="I880" s="136"/>
      <c r="J880" s="136"/>
      <c r="K880" s="136"/>
      <c r="L880" s="136"/>
      <c r="M880" s="136"/>
      <c r="N880" s="136"/>
      <c r="O880" s="136"/>
      <c r="P880" s="136"/>
      <c r="Q880" s="136"/>
      <c r="R880" s="136"/>
      <c r="S880" s="136"/>
      <c r="T880" s="136"/>
    </row>
    <row r="881" spans="1:20">
      <c r="A881" s="136"/>
      <c r="B881" s="136"/>
      <c r="C881" s="136"/>
      <c r="D881" s="136"/>
      <c r="E881" s="136"/>
      <c r="F881" s="136"/>
      <c r="G881" s="136"/>
      <c r="H881" s="136"/>
      <c r="I881" s="136"/>
      <c r="J881" s="136"/>
      <c r="K881" s="136"/>
      <c r="L881" s="136"/>
      <c r="M881" s="136"/>
      <c r="N881" s="136"/>
      <c r="O881" s="136"/>
      <c r="P881" s="136"/>
      <c r="Q881" s="136"/>
      <c r="R881" s="136"/>
      <c r="S881" s="136"/>
      <c r="T881" s="136"/>
    </row>
    <row r="882" spans="1:20">
      <c r="A882" s="136"/>
      <c r="B882" s="136"/>
      <c r="C882" s="136"/>
      <c r="D882" s="136"/>
      <c r="E882" s="136"/>
      <c r="F882" s="136"/>
      <c r="G882" s="136"/>
      <c r="H882" s="136"/>
      <c r="I882" s="136"/>
      <c r="J882" s="136"/>
      <c r="K882" s="136"/>
      <c r="L882" s="136"/>
      <c r="M882" s="136"/>
      <c r="N882" s="136"/>
      <c r="O882" s="136"/>
      <c r="P882" s="136"/>
      <c r="Q882" s="136"/>
      <c r="R882" s="136"/>
      <c r="S882" s="136"/>
      <c r="T882" s="136"/>
    </row>
    <row r="883" spans="1:20">
      <c r="A883" s="136"/>
      <c r="B883" s="136"/>
      <c r="C883" s="136"/>
      <c r="D883" s="136"/>
      <c r="E883" s="136"/>
      <c r="F883" s="136"/>
      <c r="G883" s="136"/>
      <c r="H883" s="136"/>
      <c r="I883" s="136"/>
      <c r="J883" s="136"/>
      <c r="K883" s="136"/>
      <c r="L883" s="136"/>
      <c r="M883" s="136"/>
      <c r="N883" s="136"/>
      <c r="O883" s="136"/>
      <c r="P883" s="136"/>
      <c r="Q883" s="136"/>
      <c r="R883" s="136"/>
      <c r="S883" s="136"/>
      <c r="T883" s="136"/>
    </row>
    <row r="884" spans="1:20">
      <c r="A884" s="136"/>
      <c r="B884" s="136"/>
      <c r="C884" s="136"/>
      <c r="D884" s="136"/>
      <c r="E884" s="136"/>
      <c r="F884" s="136"/>
      <c r="G884" s="136"/>
      <c r="H884" s="136"/>
      <c r="I884" s="136"/>
      <c r="J884" s="136"/>
      <c r="K884" s="136"/>
      <c r="L884" s="136"/>
      <c r="M884" s="136"/>
      <c r="N884" s="136"/>
      <c r="O884" s="136"/>
      <c r="P884" s="136"/>
      <c r="Q884" s="136"/>
      <c r="R884" s="136"/>
      <c r="S884" s="136"/>
      <c r="T884" s="136"/>
    </row>
    <row r="885" spans="1:20">
      <c r="A885" s="136"/>
      <c r="B885" s="136"/>
      <c r="C885" s="136"/>
      <c r="D885" s="136"/>
      <c r="E885" s="136"/>
      <c r="F885" s="136"/>
      <c r="G885" s="136"/>
      <c r="H885" s="136"/>
      <c r="I885" s="136"/>
      <c r="J885" s="136"/>
      <c r="K885" s="136"/>
      <c r="L885" s="136"/>
      <c r="M885" s="136"/>
      <c r="N885" s="136"/>
      <c r="O885" s="136"/>
      <c r="P885" s="136"/>
      <c r="Q885" s="136"/>
      <c r="R885" s="136"/>
      <c r="S885" s="136"/>
      <c r="T885" s="136"/>
    </row>
    <row r="886" spans="1:20">
      <c r="A886" s="136"/>
      <c r="B886" s="136"/>
      <c r="C886" s="136"/>
      <c r="D886" s="136"/>
      <c r="E886" s="136"/>
      <c r="F886" s="136"/>
      <c r="G886" s="136"/>
      <c r="H886" s="136"/>
      <c r="I886" s="136"/>
      <c r="J886" s="136"/>
      <c r="K886" s="136"/>
      <c r="L886" s="136"/>
      <c r="M886" s="136"/>
      <c r="N886" s="136"/>
      <c r="O886" s="136"/>
      <c r="P886" s="136"/>
      <c r="Q886" s="136"/>
      <c r="R886" s="136"/>
      <c r="S886" s="136"/>
      <c r="T886" s="136"/>
    </row>
    <row r="887" spans="1:20">
      <c r="A887" s="136"/>
      <c r="B887" s="136"/>
      <c r="C887" s="136"/>
      <c r="D887" s="136"/>
      <c r="E887" s="136"/>
      <c r="F887" s="136"/>
      <c r="G887" s="136"/>
      <c r="H887" s="136"/>
      <c r="I887" s="136"/>
      <c r="J887" s="136"/>
      <c r="K887" s="136"/>
      <c r="L887" s="136"/>
      <c r="M887" s="136"/>
      <c r="N887" s="136"/>
      <c r="O887" s="136"/>
      <c r="P887" s="136"/>
      <c r="Q887" s="136"/>
      <c r="R887" s="136"/>
      <c r="S887" s="136"/>
      <c r="T887" s="136"/>
    </row>
    <row r="888" spans="1:20">
      <c r="A888" s="136"/>
      <c r="B888" s="136"/>
      <c r="C888" s="136"/>
      <c r="D888" s="136"/>
      <c r="E888" s="136"/>
      <c r="F888" s="136"/>
      <c r="G888" s="136"/>
      <c r="H888" s="136"/>
      <c r="I888" s="136"/>
      <c r="J888" s="136"/>
      <c r="K888" s="136"/>
      <c r="L888" s="136"/>
      <c r="M888" s="136"/>
      <c r="N888" s="136"/>
      <c r="O888" s="136"/>
      <c r="P888" s="136"/>
      <c r="Q888" s="136"/>
      <c r="R888" s="136"/>
      <c r="S888" s="136"/>
      <c r="T888" s="136"/>
    </row>
    <row r="889" spans="1:20">
      <c r="A889" s="136"/>
      <c r="B889" s="136"/>
      <c r="C889" s="136"/>
      <c r="D889" s="136"/>
      <c r="E889" s="136"/>
      <c r="F889" s="136"/>
      <c r="G889" s="136"/>
      <c r="H889" s="136"/>
      <c r="I889" s="136"/>
      <c r="J889" s="136"/>
      <c r="K889" s="136"/>
      <c r="L889" s="136"/>
      <c r="M889" s="136"/>
      <c r="N889" s="136"/>
      <c r="O889" s="136"/>
      <c r="P889" s="136"/>
      <c r="Q889" s="136"/>
      <c r="R889" s="136"/>
      <c r="S889" s="136"/>
      <c r="T889" s="136"/>
    </row>
    <row r="890" spans="1:20">
      <c r="A890" s="136"/>
      <c r="B890" s="136"/>
      <c r="C890" s="136"/>
      <c r="D890" s="136"/>
      <c r="E890" s="136"/>
      <c r="F890" s="136"/>
      <c r="G890" s="136"/>
      <c r="H890" s="136"/>
      <c r="I890" s="136"/>
      <c r="J890" s="136"/>
      <c r="K890" s="136"/>
      <c r="L890" s="136"/>
      <c r="M890" s="136"/>
      <c r="N890" s="136"/>
      <c r="O890" s="136"/>
      <c r="P890" s="136"/>
      <c r="Q890" s="136"/>
      <c r="R890" s="136"/>
      <c r="S890" s="136"/>
      <c r="T890" s="136"/>
    </row>
    <row r="891" spans="1:20">
      <c r="A891" s="136"/>
      <c r="B891" s="136"/>
      <c r="C891" s="136"/>
      <c r="D891" s="136"/>
      <c r="E891" s="136"/>
      <c r="F891" s="136"/>
      <c r="G891" s="136"/>
      <c r="H891" s="136"/>
      <c r="I891" s="136"/>
      <c r="J891" s="136"/>
      <c r="K891" s="136"/>
      <c r="L891" s="136"/>
      <c r="M891" s="136"/>
      <c r="N891" s="136"/>
      <c r="O891" s="136"/>
      <c r="P891" s="136"/>
      <c r="Q891" s="136"/>
      <c r="R891" s="136"/>
      <c r="S891" s="136"/>
      <c r="T891" s="136"/>
    </row>
    <row r="892" spans="1:20">
      <c r="A892" s="136"/>
      <c r="B892" s="136"/>
      <c r="C892" s="136"/>
      <c r="D892" s="136"/>
      <c r="E892" s="136"/>
      <c r="F892" s="136"/>
      <c r="G892" s="136"/>
      <c r="H892" s="136"/>
      <c r="I892" s="136"/>
      <c r="J892" s="136"/>
      <c r="K892" s="136"/>
      <c r="L892" s="136"/>
      <c r="M892" s="136"/>
      <c r="N892" s="136"/>
      <c r="O892" s="136"/>
      <c r="P892" s="136"/>
      <c r="Q892" s="136"/>
      <c r="R892" s="136"/>
      <c r="S892" s="136"/>
      <c r="T892" s="136"/>
    </row>
    <row r="893" spans="1:20">
      <c r="A893" s="136"/>
      <c r="B893" s="136"/>
      <c r="C893" s="136"/>
      <c r="D893" s="136"/>
      <c r="E893" s="136"/>
      <c r="F893" s="136"/>
      <c r="G893" s="136"/>
      <c r="H893" s="136"/>
      <c r="I893" s="136"/>
      <c r="J893" s="136"/>
      <c r="K893" s="136"/>
      <c r="L893" s="136"/>
      <c r="M893" s="136"/>
      <c r="N893" s="136"/>
      <c r="O893" s="136"/>
      <c r="P893" s="136"/>
      <c r="Q893" s="136"/>
      <c r="R893" s="136"/>
      <c r="S893" s="136"/>
      <c r="T893" s="136"/>
    </row>
    <row r="894" spans="1:20">
      <c r="A894" s="136"/>
      <c r="B894" s="136"/>
      <c r="C894" s="136"/>
      <c r="D894" s="136"/>
      <c r="E894" s="136"/>
      <c r="F894" s="136"/>
      <c r="G894" s="136"/>
      <c r="H894" s="136"/>
      <c r="I894" s="136"/>
      <c r="J894" s="136"/>
      <c r="K894" s="136"/>
      <c r="L894" s="136"/>
      <c r="M894" s="136"/>
      <c r="N894" s="136"/>
      <c r="O894" s="136"/>
      <c r="P894" s="136"/>
      <c r="Q894" s="136"/>
      <c r="R894" s="136"/>
      <c r="S894" s="136"/>
      <c r="T894" s="136"/>
    </row>
    <row r="895" spans="1:20">
      <c r="A895" s="136"/>
      <c r="B895" s="136"/>
      <c r="C895" s="136"/>
      <c r="D895" s="136"/>
      <c r="E895" s="136"/>
      <c r="F895" s="136"/>
      <c r="G895" s="136"/>
      <c r="H895" s="136"/>
      <c r="I895" s="136"/>
      <c r="J895" s="136"/>
      <c r="K895" s="136"/>
      <c r="L895" s="136"/>
      <c r="M895" s="136"/>
      <c r="N895" s="136"/>
      <c r="O895" s="136"/>
      <c r="P895" s="136"/>
      <c r="Q895" s="136"/>
      <c r="R895" s="136"/>
      <c r="S895" s="136"/>
      <c r="T895" s="136"/>
    </row>
    <row r="896" spans="1:20">
      <c r="A896" s="136"/>
      <c r="B896" s="136"/>
      <c r="C896" s="136"/>
      <c r="D896" s="136"/>
      <c r="E896" s="136"/>
      <c r="F896" s="136"/>
      <c r="G896" s="136"/>
      <c r="H896" s="136"/>
      <c r="I896" s="136"/>
      <c r="J896" s="136"/>
      <c r="K896" s="136"/>
      <c r="L896" s="136"/>
      <c r="M896" s="136"/>
      <c r="N896" s="136"/>
      <c r="O896" s="136"/>
      <c r="P896" s="136"/>
      <c r="Q896" s="136"/>
      <c r="R896" s="136"/>
      <c r="S896" s="136"/>
      <c r="T896" s="136"/>
    </row>
    <row r="897" spans="1:20">
      <c r="A897" s="136"/>
      <c r="B897" s="136"/>
      <c r="C897" s="136"/>
      <c r="D897" s="136"/>
      <c r="E897" s="136"/>
      <c r="F897" s="136"/>
      <c r="G897" s="136"/>
      <c r="H897" s="136"/>
      <c r="I897" s="136"/>
      <c r="J897" s="136"/>
      <c r="K897" s="136"/>
      <c r="L897" s="136"/>
      <c r="M897" s="136"/>
      <c r="N897" s="136"/>
      <c r="O897" s="136"/>
      <c r="P897" s="136"/>
      <c r="Q897" s="136"/>
      <c r="R897" s="136"/>
      <c r="S897" s="136"/>
      <c r="T897" s="136"/>
    </row>
    <row r="898" spans="1:20">
      <c r="A898" s="136"/>
      <c r="B898" s="136"/>
      <c r="C898" s="136"/>
      <c r="D898" s="136"/>
      <c r="E898" s="136"/>
      <c r="F898" s="136"/>
      <c r="G898" s="136"/>
      <c r="H898" s="136"/>
      <c r="I898" s="136"/>
      <c r="J898" s="136"/>
      <c r="K898" s="136"/>
      <c r="L898" s="136"/>
      <c r="M898" s="136"/>
      <c r="N898" s="136"/>
      <c r="O898" s="136"/>
      <c r="P898" s="136"/>
      <c r="Q898" s="136"/>
      <c r="R898" s="136"/>
      <c r="S898" s="136"/>
      <c r="T898" s="136"/>
    </row>
    <row r="899" spans="1:20">
      <c r="A899" s="136"/>
      <c r="B899" s="136"/>
      <c r="C899" s="136"/>
      <c r="D899" s="136"/>
      <c r="E899" s="136"/>
      <c r="F899" s="136"/>
      <c r="G899" s="136"/>
      <c r="H899" s="136"/>
      <c r="I899" s="136"/>
      <c r="J899" s="136"/>
      <c r="K899" s="136"/>
      <c r="L899" s="136"/>
      <c r="M899" s="136"/>
      <c r="N899" s="136"/>
      <c r="O899" s="136"/>
      <c r="P899" s="136"/>
      <c r="Q899" s="136"/>
      <c r="R899" s="136"/>
      <c r="S899" s="136"/>
      <c r="T899" s="136"/>
    </row>
    <row r="900" spans="1:20">
      <c r="A900" s="136"/>
      <c r="B900" s="136"/>
      <c r="C900" s="136"/>
      <c r="D900" s="136"/>
      <c r="E900" s="136"/>
      <c r="F900" s="136"/>
      <c r="G900" s="136"/>
      <c r="H900" s="136"/>
      <c r="I900" s="136"/>
      <c r="J900" s="136"/>
      <c r="K900" s="136"/>
      <c r="L900" s="136"/>
      <c r="M900" s="136"/>
      <c r="N900" s="136"/>
      <c r="O900" s="136"/>
      <c r="P900" s="136"/>
      <c r="Q900" s="136"/>
      <c r="R900" s="136"/>
      <c r="S900" s="136"/>
      <c r="T900" s="136"/>
    </row>
    <row r="901" spans="1:20">
      <c r="A901" s="136"/>
      <c r="B901" s="136"/>
      <c r="C901" s="136"/>
      <c r="D901" s="136"/>
      <c r="E901" s="136"/>
      <c r="F901" s="136"/>
      <c r="G901" s="136"/>
      <c r="H901" s="136"/>
      <c r="I901" s="136"/>
      <c r="J901" s="136"/>
      <c r="K901" s="136"/>
      <c r="L901" s="136"/>
      <c r="M901" s="136"/>
      <c r="N901" s="136"/>
      <c r="O901" s="136"/>
      <c r="P901" s="136"/>
      <c r="Q901" s="136"/>
      <c r="R901" s="136"/>
      <c r="S901" s="136"/>
      <c r="T901" s="136"/>
    </row>
    <row r="902" spans="1:20">
      <c r="A902" s="136"/>
      <c r="B902" s="136"/>
      <c r="C902" s="136"/>
      <c r="D902" s="136"/>
      <c r="E902" s="136"/>
      <c r="F902" s="136"/>
      <c r="G902" s="136"/>
      <c r="H902" s="136"/>
      <c r="I902" s="136"/>
      <c r="J902" s="136"/>
      <c r="K902" s="136"/>
      <c r="L902" s="136"/>
      <c r="M902" s="136"/>
      <c r="N902" s="136"/>
      <c r="O902" s="136"/>
      <c r="P902" s="136"/>
      <c r="Q902" s="136"/>
      <c r="R902" s="136"/>
      <c r="S902" s="136"/>
      <c r="T902" s="136"/>
    </row>
    <row r="903" spans="1:20">
      <c r="A903" s="136"/>
      <c r="B903" s="136"/>
      <c r="C903" s="136"/>
      <c r="D903" s="136"/>
      <c r="E903" s="136"/>
      <c r="F903" s="136"/>
      <c r="G903" s="136"/>
      <c r="H903" s="136"/>
      <c r="I903" s="136"/>
      <c r="J903" s="136"/>
      <c r="K903" s="136"/>
      <c r="L903" s="136"/>
      <c r="M903" s="136"/>
      <c r="N903" s="136"/>
      <c r="O903" s="136"/>
      <c r="P903" s="136"/>
      <c r="Q903" s="136"/>
      <c r="R903" s="136"/>
      <c r="S903" s="136"/>
      <c r="T903" s="136"/>
    </row>
    <row r="904" spans="1:20">
      <c r="A904" s="136"/>
      <c r="B904" s="136"/>
      <c r="C904" s="136"/>
      <c r="D904" s="136"/>
      <c r="E904" s="136"/>
      <c r="F904" s="136"/>
      <c r="G904" s="136"/>
      <c r="H904" s="136"/>
      <c r="I904" s="136"/>
      <c r="J904" s="136"/>
      <c r="K904" s="136"/>
      <c r="L904" s="136"/>
      <c r="M904" s="136"/>
      <c r="N904" s="136"/>
      <c r="O904" s="136"/>
      <c r="P904" s="136"/>
      <c r="Q904" s="136"/>
      <c r="R904" s="136"/>
      <c r="S904" s="136"/>
      <c r="T904" s="136"/>
    </row>
    <row r="905" spans="1:20">
      <c r="A905" s="136"/>
      <c r="B905" s="136"/>
      <c r="C905" s="136"/>
      <c r="D905" s="136"/>
      <c r="E905" s="136"/>
      <c r="F905" s="136"/>
      <c r="G905" s="136"/>
      <c r="H905" s="136"/>
      <c r="I905" s="136"/>
      <c r="J905" s="136"/>
      <c r="K905" s="136"/>
      <c r="L905" s="136"/>
      <c r="M905" s="136"/>
      <c r="N905" s="136"/>
      <c r="O905" s="136"/>
      <c r="P905" s="136"/>
      <c r="Q905" s="136"/>
      <c r="R905" s="136"/>
      <c r="S905" s="136"/>
      <c r="T905" s="136"/>
    </row>
    <row r="906" spans="1:20">
      <c r="A906" s="136"/>
      <c r="B906" s="136"/>
      <c r="C906" s="136"/>
      <c r="D906" s="136"/>
      <c r="E906" s="136"/>
      <c r="F906" s="136"/>
      <c r="G906" s="136"/>
      <c r="H906" s="136"/>
      <c r="I906" s="136"/>
      <c r="J906" s="136"/>
      <c r="K906" s="136"/>
      <c r="L906" s="136"/>
      <c r="M906" s="136"/>
      <c r="N906" s="136"/>
      <c r="O906" s="136"/>
      <c r="P906" s="136"/>
      <c r="Q906" s="136"/>
      <c r="R906" s="136"/>
      <c r="S906" s="136"/>
      <c r="T906" s="136"/>
    </row>
    <row r="907" spans="1:20">
      <c r="A907" s="136"/>
      <c r="B907" s="136"/>
      <c r="C907" s="136"/>
      <c r="D907" s="136"/>
      <c r="E907" s="136"/>
      <c r="F907" s="136"/>
      <c r="G907" s="136"/>
      <c r="H907" s="136"/>
      <c r="I907" s="136"/>
      <c r="J907" s="136"/>
      <c r="K907" s="136"/>
      <c r="L907" s="136"/>
      <c r="M907" s="136"/>
      <c r="N907" s="136"/>
      <c r="O907" s="136"/>
      <c r="P907" s="136"/>
      <c r="Q907" s="136"/>
      <c r="R907" s="136"/>
      <c r="S907" s="136"/>
      <c r="T907" s="136"/>
    </row>
    <row r="908" spans="1:20">
      <c r="A908" s="136"/>
      <c r="B908" s="136"/>
      <c r="C908" s="136"/>
      <c r="D908" s="136"/>
      <c r="E908" s="136"/>
      <c r="F908" s="136"/>
      <c r="G908" s="136"/>
      <c r="H908" s="136"/>
      <c r="I908" s="136"/>
      <c r="J908" s="136"/>
      <c r="K908" s="136"/>
      <c r="L908" s="136"/>
      <c r="M908" s="136"/>
      <c r="N908" s="136"/>
      <c r="O908" s="136"/>
      <c r="P908" s="136"/>
      <c r="Q908" s="136"/>
      <c r="R908" s="136"/>
      <c r="S908" s="136"/>
      <c r="T908" s="136"/>
    </row>
    <row r="909" spans="1:20">
      <c r="A909" s="136"/>
      <c r="B909" s="136"/>
      <c r="C909" s="136"/>
      <c r="D909" s="136"/>
      <c r="E909" s="136"/>
      <c r="F909" s="136"/>
      <c r="G909" s="136"/>
      <c r="H909" s="136"/>
      <c r="I909" s="136"/>
      <c r="J909" s="136"/>
      <c r="K909" s="136"/>
      <c r="L909" s="136"/>
      <c r="M909" s="136"/>
      <c r="N909" s="136"/>
      <c r="O909" s="136"/>
      <c r="P909" s="136"/>
      <c r="Q909" s="136"/>
      <c r="R909" s="136"/>
      <c r="S909" s="136"/>
      <c r="T909" s="136"/>
    </row>
    <row r="910" spans="1:20">
      <c r="A910" s="136"/>
      <c r="B910" s="136"/>
      <c r="C910" s="136"/>
      <c r="D910" s="136"/>
      <c r="E910" s="136"/>
      <c r="F910" s="136"/>
      <c r="G910" s="136"/>
      <c r="H910" s="136"/>
      <c r="I910" s="136"/>
      <c r="J910" s="136"/>
      <c r="K910" s="136"/>
      <c r="L910" s="136"/>
      <c r="M910" s="136"/>
      <c r="N910" s="136"/>
      <c r="O910" s="136"/>
      <c r="P910" s="136"/>
      <c r="Q910" s="136"/>
      <c r="R910" s="136"/>
      <c r="S910" s="136"/>
      <c r="T910" s="136"/>
    </row>
    <row r="911" spans="1:20">
      <c r="A911" s="136"/>
      <c r="B911" s="136"/>
      <c r="C911" s="136"/>
      <c r="D911" s="136"/>
      <c r="E911" s="136"/>
      <c r="F911" s="136"/>
      <c r="G911" s="136"/>
      <c r="H911" s="136"/>
      <c r="I911" s="136"/>
      <c r="J911" s="136"/>
      <c r="K911" s="136"/>
      <c r="L911" s="136"/>
      <c r="M911" s="136"/>
      <c r="N911" s="136"/>
      <c r="O911" s="136"/>
      <c r="P911" s="136"/>
      <c r="Q911" s="136"/>
      <c r="R911" s="136"/>
      <c r="S911" s="136"/>
      <c r="T911" s="136"/>
    </row>
    <row r="912" spans="1:20">
      <c r="A912" s="136"/>
      <c r="B912" s="136"/>
      <c r="C912" s="136"/>
      <c r="D912" s="136"/>
      <c r="E912" s="136"/>
      <c r="F912" s="136"/>
      <c r="G912" s="136"/>
      <c r="H912" s="136"/>
      <c r="I912" s="136"/>
      <c r="J912" s="136"/>
      <c r="K912" s="136"/>
      <c r="L912" s="136"/>
      <c r="M912" s="136"/>
      <c r="N912" s="136"/>
      <c r="O912" s="136"/>
      <c r="P912" s="136"/>
      <c r="Q912" s="136"/>
      <c r="R912" s="136"/>
      <c r="S912" s="136"/>
      <c r="T912" s="136"/>
    </row>
    <row r="913" spans="1:20">
      <c r="A913" s="136"/>
      <c r="B913" s="136"/>
      <c r="C913" s="136"/>
      <c r="D913" s="136"/>
      <c r="E913" s="136"/>
      <c r="F913" s="136"/>
      <c r="G913" s="136"/>
      <c r="H913" s="136"/>
      <c r="I913" s="136"/>
      <c r="J913" s="136"/>
      <c r="K913" s="136"/>
      <c r="L913" s="136"/>
      <c r="M913" s="136"/>
      <c r="N913" s="136"/>
      <c r="O913" s="136"/>
      <c r="P913" s="136"/>
      <c r="Q913" s="136"/>
      <c r="R913" s="136"/>
      <c r="S913" s="136"/>
      <c r="T913" s="136"/>
    </row>
    <row r="914" spans="1:20">
      <c r="A914" s="136"/>
      <c r="B914" s="136"/>
      <c r="C914" s="136"/>
      <c r="D914" s="136"/>
      <c r="E914" s="136"/>
      <c r="F914" s="136"/>
      <c r="G914" s="136"/>
      <c r="H914" s="136"/>
      <c r="I914" s="136"/>
      <c r="J914" s="136"/>
      <c r="K914" s="136"/>
      <c r="L914" s="136"/>
      <c r="M914" s="136"/>
      <c r="N914" s="136"/>
      <c r="O914" s="136"/>
      <c r="P914" s="136"/>
      <c r="Q914" s="136"/>
      <c r="R914" s="136"/>
      <c r="S914" s="136"/>
      <c r="T914" s="136"/>
    </row>
    <row r="915" spans="1:20">
      <c r="A915" s="136"/>
      <c r="B915" s="136"/>
      <c r="C915" s="136"/>
      <c r="D915" s="136"/>
      <c r="E915" s="136"/>
      <c r="F915" s="136"/>
      <c r="G915" s="136"/>
      <c r="H915" s="136"/>
      <c r="I915" s="136"/>
      <c r="J915" s="136"/>
      <c r="K915" s="136"/>
      <c r="L915" s="136"/>
      <c r="M915" s="136"/>
      <c r="N915" s="136"/>
      <c r="O915" s="136"/>
      <c r="P915" s="136"/>
      <c r="Q915" s="136"/>
      <c r="R915" s="136"/>
      <c r="S915" s="136"/>
      <c r="T915" s="136"/>
    </row>
    <row r="916" spans="1:20">
      <c r="A916" s="136"/>
      <c r="B916" s="136"/>
      <c r="C916" s="136"/>
      <c r="D916" s="136"/>
      <c r="E916" s="136"/>
      <c r="F916" s="136"/>
      <c r="G916" s="136"/>
      <c r="H916" s="136"/>
      <c r="I916" s="136"/>
      <c r="J916" s="136"/>
      <c r="K916" s="136"/>
      <c r="L916" s="136"/>
      <c r="M916" s="136"/>
      <c r="N916" s="136"/>
      <c r="O916" s="136"/>
      <c r="P916" s="136"/>
      <c r="Q916" s="136"/>
      <c r="R916" s="136"/>
      <c r="S916" s="136"/>
      <c r="T916" s="136"/>
    </row>
    <row r="917" spans="1:20">
      <c r="A917" s="136"/>
      <c r="B917" s="136"/>
      <c r="C917" s="136"/>
      <c r="D917" s="136"/>
      <c r="E917" s="136"/>
      <c r="F917" s="136"/>
      <c r="G917" s="136"/>
      <c r="H917" s="136"/>
      <c r="I917" s="136"/>
      <c r="J917" s="136"/>
      <c r="K917" s="136"/>
      <c r="L917" s="136"/>
      <c r="M917" s="136"/>
      <c r="N917" s="136"/>
      <c r="O917" s="136"/>
      <c r="P917" s="136"/>
      <c r="Q917" s="136"/>
      <c r="R917" s="136"/>
      <c r="S917" s="136"/>
      <c r="T917" s="136"/>
    </row>
    <row r="918" spans="1:20">
      <c r="A918" s="136"/>
      <c r="B918" s="136"/>
      <c r="C918" s="136"/>
      <c r="D918" s="136"/>
      <c r="E918" s="136"/>
      <c r="F918" s="136"/>
      <c r="G918" s="136"/>
      <c r="H918" s="136"/>
      <c r="I918" s="136"/>
      <c r="J918" s="136"/>
      <c r="K918" s="136"/>
      <c r="L918" s="136"/>
      <c r="M918" s="136"/>
      <c r="N918" s="136"/>
      <c r="O918" s="136"/>
      <c r="P918" s="136"/>
      <c r="Q918" s="136"/>
      <c r="R918" s="136"/>
      <c r="S918" s="136"/>
      <c r="T918" s="136"/>
    </row>
    <row r="919" spans="1:20">
      <c r="A919" s="136"/>
      <c r="B919" s="136"/>
      <c r="C919" s="136"/>
      <c r="D919" s="136"/>
      <c r="E919" s="136"/>
      <c r="F919" s="136"/>
      <c r="G919" s="136"/>
      <c r="H919" s="136"/>
      <c r="I919" s="136"/>
      <c r="J919" s="136"/>
      <c r="K919" s="136"/>
      <c r="L919" s="136"/>
      <c r="M919" s="136"/>
      <c r="N919" s="136"/>
      <c r="O919" s="136"/>
      <c r="P919" s="136"/>
      <c r="Q919" s="136"/>
      <c r="R919" s="136"/>
      <c r="S919" s="136"/>
      <c r="T919" s="136"/>
    </row>
    <row r="920" spans="1:20">
      <c r="A920" s="136"/>
      <c r="B920" s="136"/>
      <c r="C920" s="136"/>
      <c r="D920" s="136"/>
      <c r="E920" s="136"/>
      <c r="F920" s="136"/>
      <c r="G920" s="136"/>
      <c r="H920" s="136"/>
      <c r="I920" s="136"/>
      <c r="J920" s="136"/>
      <c r="K920" s="136"/>
      <c r="L920" s="136"/>
      <c r="M920" s="136"/>
      <c r="N920" s="136"/>
      <c r="O920" s="136"/>
      <c r="P920" s="136"/>
      <c r="Q920" s="136"/>
      <c r="R920" s="136"/>
      <c r="S920" s="136"/>
      <c r="T920" s="136"/>
    </row>
    <row r="921" spans="1:20">
      <c r="A921" s="136"/>
      <c r="B921" s="136"/>
      <c r="C921" s="136"/>
      <c r="D921" s="136"/>
      <c r="E921" s="136"/>
      <c r="F921" s="136"/>
      <c r="G921" s="136"/>
      <c r="H921" s="136"/>
      <c r="I921" s="136"/>
      <c r="J921" s="136"/>
      <c r="K921" s="136"/>
      <c r="L921" s="136"/>
      <c r="M921" s="136"/>
      <c r="N921" s="136"/>
      <c r="O921" s="136"/>
      <c r="P921" s="136"/>
      <c r="Q921" s="136"/>
      <c r="R921" s="136"/>
      <c r="S921" s="136"/>
      <c r="T921" s="136"/>
    </row>
    <row r="922" spans="1:20">
      <c r="A922" s="136"/>
      <c r="B922" s="136"/>
      <c r="C922" s="136"/>
      <c r="D922" s="136"/>
      <c r="E922" s="136"/>
      <c r="F922" s="136"/>
      <c r="G922" s="136"/>
      <c r="H922" s="136"/>
      <c r="I922" s="136"/>
      <c r="J922" s="136"/>
      <c r="K922" s="136"/>
      <c r="L922" s="136"/>
      <c r="M922" s="136"/>
      <c r="N922" s="136"/>
      <c r="O922" s="136"/>
      <c r="P922" s="136"/>
      <c r="Q922" s="136"/>
      <c r="R922" s="136"/>
      <c r="S922" s="136"/>
      <c r="T922" s="136"/>
    </row>
    <row r="923" spans="1:20">
      <c r="A923" s="136"/>
      <c r="B923" s="136"/>
      <c r="C923" s="136"/>
      <c r="D923" s="136"/>
      <c r="E923" s="136"/>
      <c r="F923" s="136"/>
      <c r="G923" s="136"/>
      <c r="H923" s="136"/>
      <c r="I923" s="136"/>
      <c r="J923" s="136"/>
      <c r="K923" s="136"/>
      <c r="L923" s="136"/>
      <c r="M923" s="136"/>
      <c r="N923" s="136"/>
      <c r="O923" s="136"/>
      <c r="P923" s="136"/>
      <c r="Q923" s="136"/>
      <c r="R923" s="136"/>
      <c r="S923" s="136"/>
      <c r="T923" s="136"/>
    </row>
    <row r="924" spans="1:20">
      <c r="A924" s="136"/>
      <c r="B924" s="136"/>
      <c r="C924" s="136"/>
      <c r="D924" s="136"/>
      <c r="E924" s="136"/>
      <c r="F924" s="136"/>
      <c r="G924" s="136"/>
      <c r="H924" s="136"/>
      <c r="I924" s="136"/>
      <c r="J924" s="136"/>
      <c r="K924" s="136"/>
      <c r="L924" s="136"/>
      <c r="M924" s="136"/>
      <c r="N924" s="136"/>
      <c r="O924" s="136"/>
      <c r="P924" s="136"/>
      <c r="Q924" s="136"/>
      <c r="R924" s="136"/>
      <c r="S924" s="136"/>
      <c r="T924" s="136"/>
    </row>
    <row r="925" spans="1:20">
      <c r="A925" s="136"/>
      <c r="B925" s="136"/>
      <c r="C925" s="136"/>
      <c r="D925" s="136"/>
      <c r="E925" s="136"/>
      <c r="F925" s="136"/>
      <c r="G925" s="136"/>
      <c r="H925" s="136"/>
      <c r="I925" s="136"/>
      <c r="J925" s="136"/>
      <c r="K925" s="136"/>
      <c r="L925" s="136"/>
      <c r="M925" s="136"/>
      <c r="N925" s="136"/>
      <c r="O925" s="136"/>
      <c r="P925" s="136"/>
      <c r="Q925" s="136"/>
      <c r="R925" s="136"/>
      <c r="S925" s="136"/>
      <c r="T925" s="136"/>
    </row>
    <row r="926" spans="1:20">
      <c r="A926" s="136"/>
      <c r="B926" s="136"/>
      <c r="C926" s="136"/>
      <c r="D926" s="136"/>
      <c r="E926" s="136"/>
      <c r="F926" s="136"/>
      <c r="G926" s="136"/>
      <c r="H926" s="136"/>
      <c r="I926" s="136"/>
      <c r="J926" s="136"/>
      <c r="K926" s="136"/>
      <c r="L926" s="136"/>
      <c r="M926" s="136"/>
      <c r="N926" s="136"/>
      <c r="O926" s="136"/>
      <c r="P926" s="136"/>
      <c r="Q926" s="136"/>
      <c r="R926" s="136"/>
      <c r="S926" s="136"/>
      <c r="T926" s="136"/>
    </row>
    <row r="927" spans="1:20">
      <c r="A927" s="136"/>
      <c r="B927" s="136"/>
      <c r="C927" s="136"/>
      <c r="D927" s="136"/>
      <c r="E927" s="136"/>
      <c r="F927" s="136"/>
      <c r="G927" s="136"/>
      <c r="H927" s="136"/>
      <c r="I927" s="136"/>
      <c r="J927" s="136"/>
      <c r="K927" s="136"/>
      <c r="L927" s="136"/>
      <c r="M927" s="136"/>
      <c r="N927" s="136"/>
      <c r="O927" s="136"/>
      <c r="P927" s="136"/>
      <c r="Q927" s="136"/>
      <c r="R927" s="136"/>
      <c r="S927" s="136"/>
      <c r="T927" s="136"/>
    </row>
    <row r="928" spans="1:20">
      <c r="A928" s="136"/>
      <c r="B928" s="136"/>
      <c r="C928" s="136"/>
      <c r="D928" s="136"/>
      <c r="E928" s="136"/>
      <c r="F928" s="136"/>
      <c r="G928" s="136"/>
      <c r="H928" s="136"/>
      <c r="I928" s="136"/>
      <c r="J928" s="136"/>
      <c r="K928" s="136"/>
      <c r="L928" s="136"/>
      <c r="M928" s="136"/>
      <c r="N928" s="136"/>
      <c r="O928" s="136"/>
      <c r="P928" s="136"/>
      <c r="Q928" s="136"/>
      <c r="R928" s="136"/>
      <c r="S928" s="136"/>
      <c r="T928" s="136"/>
    </row>
    <row r="929" spans="1:20">
      <c r="A929" s="136"/>
      <c r="B929" s="136"/>
      <c r="C929" s="136"/>
      <c r="D929" s="136"/>
      <c r="E929" s="136"/>
      <c r="F929" s="136"/>
      <c r="G929" s="136"/>
      <c r="H929" s="136"/>
      <c r="I929" s="136"/>
      <c r="J929" s="136"/>
      <c r="K929" s="136"/>
      <c r="L929" s="136"/>
      <c r="M929" s="136"/>
      <c r="N929" s="136"/>
      <c r="O929" s="136"/>
      <c r="P929" s="136"/>
      <c r="Q929" s="136"/>
      <c r="R929" s="136"/>
      <c r="S929" s="136"/>
      <c r="T929" s="136"/>
    </row>
    <row r="930" spans="1:20">
      <c r="A930" s="136"/>
      <c r="B930" s="136"/>
      <c r="C930" s="136"/>
      <c r="D930" s="136"/>
      <c r="E930" s="136"/>
      <c r="F930" s="136"/>
      <c r="G930" s="136"/>
      <c r="H930" s="136"/>
      <c r="I930" s="136"/>
      <c r="J930" s="136"/>
      <c r="K930" s="136"/>
      <c r="L930" s="136"/>
      <c r="M930" s="136"/>
      <c r="N930" s="136"/>
      <c r="O930" s="136"/>
      <c r="P930" s="136"/>
      <c r="Q930" s="136"/>
      <c r="R930" s="136"/>
      <c r="S930" s="136"/>
      <c r="T930" s="136"/>
    </row>
    <row r="931" spans="1:20">
      <c r="A931" s="136"/>
      <c r="B931" s="136"/>
      <c r="C931" s="136"/>
      <c r="D931" s="136"/>
      <c r="E931" s="136"/>
      <c r="F931" s="136"/>
      <c r="G931" s="136"/>
      <c r="H931" s="136"/>
      <c r="I931" s="136"/>
      <c r="J931" s="136"/>
      <c r="K931" s="136"/>
      <c r="L931" s="136"/>
      <c r="M931" s="136"/>
      <c r="N931" s="136"/>
      <c r="O931" s="136"/>
      <c r="P931" s="136"/>
      <c r="Q931" s="136"/>
      <c r="R931" s="136"/>
      <c r="S931" s="136"/>
      <c r="T931" s="136"/>
    </row>
    <row r="932" spans="1:20">
      <c r="A932" s="136"/>
      <c r="B932" s="136"/>
      <c r="C932" s="136"/>
      <c r="D932" s="136"/>
      <c r="E932" s="136"/>
      <c r="F932" s="136"/>
      <c r="G932" s="136"/>
      <c r="H932" s="136"/>
      <c r="I932" s="136"/>
      <c r="J932" s="136"/>
      <c r="K932" s="136"/>
      <c r="L932" s="136"/>
      <c r="M932" s="136"/>
      <c r="N932" s="136"/>
      <c r="O932" s="136"/>
      <c r="P932" s="136"/>
      <c r="Q932" s="136"/>
      <c r="R932" s="136"/>
      <c r="S932" s="136"/>
      <c r="T932" s="136"/>
    </row>
    <row r="933" spans="1:20">
      <c r="A933" s="136"/>
      <c r="B933" s="136"/>
      <c r="C933" s="136"/>
      <c r="D933" s="136"/>
      <c r="E933" s="136"/>
      <c r="F933" s="136"/>
      <c r="G933" s="136"/>
      <c r="H933" s="136"/>
      <c r="I933" s="136"/>
      <c r="J933" s="136"/>
      <c r="K933" s="136"/>
      <c r="L933" s="136"/>
      <c r="M933" s="136"/>
      <c r="N933" s="136"/>
      <c r="O933" s="136"/>
      <c r="P933" s="136"/>
      <c r="Q933" s="136"/>
      <c r="R933" s="136"/>
      <c r="S933" s="136"/>
      <c r="T933" s="136"/>
    </row>
    <row r="934" spans="1:20">
      <c r="A934" s="136"/>
      <c r="B934" s="136"/>
      <c r="C934" s="136"/>
      <c r="D934" s="136"/>
      <c r="E934" s="136"/>
      <c r="F934" s="136"/>
      <c r="G934" s="136"/>
      <c r="H934" s="136"/>
      <c r="I934" s="136"/>
      <c r="J934" s="136"/>
      <c r="K934" s="136"/>
      <c r="L934" s="136"/>
      <c r="M934" s="136"/>
      <c r="N934" s="136"/>
      <c r="O934" s="136"/>
      <c r="P934" s="136"/>
      <c r="Q934" s="136"/>
      <c r="R934" s="136"/>
      <c r="S934" s="136"/>
      <c r="T934" s="136"/>
    </row>
    <row r="935" spans="1:20">
      <c r="A935" s="136"/>
      <c r="B935" s="136"/>
      <c r="C935" s="136"/>
      <c r="D935" s="136"/>
      <c r="E935" s="136"/>
      <c r="F935" s="136"/>
      <c r="G935" s="136"/>
      <c r="H935" s="136"/>
      <c r="I935" s="136"/>
      <c r="J935" s="136"/>
      <c r="K935" s="136"/>
      <c r="L935" s="136"/>
      <c r="M935" s="136"/>
      <c r="N935" s="136"/>
      <c r="O935" s="136"/>
      <c r="P935" s="136"/>
      <c r="Q935" s="136"/>
      <c r="R935" s="136"/>
      <c r="S935" s="136"/>
      <c r="T935" s="136"/>
    </row>
    <row r="936" spans="1:20">
      <c r="A936" s="136"/>
      <c r="B936" s="136"/>
      <c r="C936" s="136"/>
      <c r="D936" s="136"/>
      <c r="E936" s="136"/>
      <c r="F936" s="136"/>
      <c r="G936" s="136"/>
      <c r="H936" s="136"/>
      <c r="I936" s="136"/>
      <c r="J936" s="136"/>
      <c r="K936" s="136"/>
      <c r="L936" s="136"/>
      <c r="M936" s="136"/>
      <c r="N936" s="136"/>
      <c r="O936" s="136"/>
      <c r="P936" s="136"/>
      <c r="Q936" s="136"/>
      <c r="R936" s="136"/>
      <c r="S936" s="136"/>
      <c r="T936" s="136"/>
    </row>
    <row r="937" spans="1:20">
      <c r="A937" s="136"/>
      <c r="B937" s="136"/>
      <c r="C937" s="136"/>
      <c r="D937" s="136"/>
      <c r="E937" s="136"/>
      <c r="F937" s="136"/>
      <c r="G937" s="136"/>
      <c r="H937" s="136"/>
      <c r="I937" s="136"/>
      <c r="J937" s="136"/>
      <c r="K937" s="136"/>
      <c r="L937" s="136"/>
      <c r="M937" s="136"/>
      <c r="N937" s="136"/>
      <c r="O937" s="136"/>
      <c r="P937" s="136"/>
      <c r="Q937" s="136"/>
      <c r="R937" s="136"/>
      <c r="S937" s="136"/>
      <c r="T937" s="136"/>
    </row>
    <row r="938" spans="1:20">
      <c r="A938" s="136"/>
      <c r="B938" s="136"/>
      <c r="C938" s="136"/>
      <c r="D938" s="136"/>
      <c r="E938" s="136"/>
      <c r="F938" s="136"/>
      <c r="G938" s="136"/>
      <c r="H938" s="136"/>
      <c r="I938" s="136"/>
      <c r="J938" s="136"/>
      <c r="K938" s="136"/>
      <c r="L938" s="136"/>
      <c r="M938" s="136"/>
      <c r="N938" s="136"/>
      <c r="O938" s="136"/>
      <c r="P938" s="136"/>
      <c r="Q938" s="136"/>
      <c r="R938" s="136"/>
      <c r="S938" s="136"/>
      <c r="T938" s="136"/>
    </row>
    <row r="939" spans="1:20">
      <c r="A939" s="136"/>
      <c r="B939" s="136"/>
      <c r="C939" s="136"/>
      <c r="D939" s="136"/>
      <c r="E939" s="136"/>
      <c r="F939" s="136"/>
      <c r="G939" s="136"/>
      <c r="H939" s="136"/>
      <c r="I939" s="136"/>
      <c r="J939" s="136"/>
      <c r="K939" s="136"/>
      <c r="L939" s="136"/>
      <c r="M939" s="136"/>
      <c r="N939" s="136"/>
      <c r="O939" s="136"/>
      <c r="P939" s="136"/>
      <c r="Q939" s="136"/>
      <c r="R939" s="136"/>
      <c r="S939" s="136"/>
      <c r="T939" s="136"/>
    </row>
    <row r="940" spans="1:20">
      <c r="A940" s="136"/>
      <c r="B940" s="136"/>
      <c r="C940" s="136"/>
      <c r="D940" s="136"/>
      <c r="E940" s="136"/>
      <c r="F940" s="136"/>
      <c r="G940" s="136"/>
      <c r="H940" s="136"/>
      <c r="I940" s="136"/>
      <c r="J940" s="136"/>
      <c r="K940" s="136"/>
      <c r="L940" s="136"/>
      <c r="M940" s="136"/>
      <c r="N940" s="136"/>
      <c r="O940" s="136"/>
      <c r="P940" s="136"/>
      <c r="Q940" s="136"/>
      <c r="R940" s="136"/>
      <c r="S940" s="136"/>
      <c r="T940" s="136"/>
    </row>
    <row r="941" spans="1:20">
      <c r="A941" s="136"/>
      <c r="B941" s="136"/>
      <c r="C941" s="136"/>
      <c r="D941" s="136"/>
      <c r="E941" s="136"/>
      <c r="F941" s="136"/>
      <c r="G941" s="136"/>
      <c r="H941" s="136"/>
      <c r="I941" s="136"/>
      <c r="J941" s="136"/>
      <c r="K941" s="136"/>
      <c r="L941" s="136"/>
      <c r="M941" s="136"/>
      <c r="N941" s="136"/>
      <c r="O941" s="136"/>
      <c r="P941" s="136"/>
      <c r="Q941" s="136"/>
      <c r="R941" s="136"/>
      <c r="S941" s="136"/>
      <c r="T941" s="136"/>
    </row>
    <row r="942" spans="1:20">
      <c r="A942" s="136"/>
      <c r="B942" s="136"/>
      <c r="C942" s="136"/>
      <c r="D942" s="136"/>
      <c r="E942" s="136"/>
      <c r="F942" s="136"/>
      <c r="G942" s="136"/>
      <c r="H942" s="136"/>
      <c r="I942" s="136"/>
      <c r="J942" s="136"/>
      <c r="K942" s="136"/>
      <c r="L942" s="136"/>
      <c r="M942" s="136"/>
      <c r="N942" s="136"/>
      <c r="O942" s="136"/>
      <c r="P942" s="136"/>
      <c r="Q942" s="136"/>
      <c r="R942" s="136"/>
      <c r="S942" s="136"/>
      <c r="T942" s="136"/>
    </row>
    <row r="943" spans="1:20">
      <c r="A943" s="136"/>
      <c r="B943" s="136"/>
      <c r="C943" s="136"/>
      <c r="D943" s="136"/>
      <c r="E943" s="136"/>
      <c r="F943" s="136"/>
      <c r="G943" s="136"/>
      <c r="H943" s="136"/>
      <c r="I943" s="136"/>
      <c r="J943" s="136"/>
      <c r="K943" s="136"/>
      <c r="L943" s="136"/>
      <c r="M943" s="136"/>
      <c r="N943" s="136"/>
      <c r="O943" s="136"/>
      <c r="P943" s="136"/>
      <c r="Q943" s="136"/>
      <c r="R943" s="136"/>
      <c r="S943" s="136"/>
      <c r="T943" s="136"/>
    </row>
    <row r="944" spans="1:20">
      <c r="A944" s="136"/>
      <c r="B944" s="136"/>
      <c r="C944" s="136"/>
      <c r="D944" s="136"/>
      <c r="E944" s="136"/>
      <c r="F944" s="136"/>
      <c r="G944" s="136"/>
      <c r="H944" s="136"/>
      <c r="I944" s="136"/>
      <c r="J944" s="136"/>
      <c r="K944" s="136"/>
      <c r="L944" s="136"/>
      <c r="M944" s="136"/>
      <c r="N944" s="136"/>
      <c r="O944" s="136"/>
      <c r="P944" s="136"/>
      <c r="Q944" s="136"/>
      <c r="R944" s="136"/>
      <c r="S944" s="136"/>
      <c r="T944" s="136"/>
    </row>
    <row r="945" spans="1:20">
      <c r="A945" s="136"/>
      <c r="B945" s="136"/>
      <c r="C945" s="136"/>
      <c r="D945" s="136"/>
      <c r="E945" s="136"/>
      <c r="F945" s="136"/>
      <c r="G945" s="136"/>
      <c r="H945" s="136"/>
      <c r="I945" s="136"/>
      <c r="J945" s="136"/>
      <c r="K945" s="136"/>
      <c r="L945" s="136"/>
      <c r="M945" s="136"/>
      <c r="N945" s="136"/>
      <c r="O945" s="136"/>
      <c r="P945" s="136"/>
      <c r="Q945" s="136"/>
      <c r="R945" s="136"/>
      <c r="S945" s="136"/>
      <c r="T945" s="136"/>
    </row>
    <row r="946" spans="1:20">
      <c r="A946" s="136"/>
      <c r="B946" s="136"/>
      <c r="C946" s="136"/>
      <c r="D946" s="136"/>
      <c r="E946" s="136"/>
      <c r="F946" s="136"/>
      <c r="G946" s="136"/>
      <c r="H946" s="136"/>
      <c r="I946" s="136"/>
      <c r="J946" s="136"/>
      <c r="K946" s="136"/>
      <c r="L946" s="136"/>
      <c r="M946" s="136"/>
      <c r="N946" s="136"/>
      <c r="O946" s="136"/>
      <c r="P946" s="136"/>
      <c r="Q946" s="136"/>
      <c r="R946" s="136"/>
      <c r="S946" s="136"/>
      <c r="T946" s="136"/>
    </row>
    <row r="947" spans="1:20">
      <c r="A947" s="136"/>
      <c r="B947" s="136"/>
      <c r="C947" s="136"/>
      <c r="D947" s="136"/>
      <c r="E947" s="136"/>
      <c r="F947" s="136"/>
      <c r="G947" s="136"/>
      <c r="H947" s="136"/>
      <c r="I947" s="136"/>
      <c r="J947" s="136"/>
      <c r="K947" s="136"/>
      <c r="L947" s="136"/>
      <c r="M947" s="136"/>
      <c r="N947" s="136"/>
      <c r="O947" s="136"/>
      <c r="P947" s="136"/>
      <c r="Q947" s="136"/>
      <c r="R947" s="136"/>
      <c r="S947" s="136"/>
      <c r="T947" s="136"/>
    </row>
    <row r="948" spans="1:20">
      <c r="A948" s="136"/>
      <c r="B948" s="136"/>
      <c r="C948" s="136"/>
      <c r="D948" s="136"/>
      <c r="E948" s="136"/>
      <c r="F948" s="136"/>
      <c r="G948" s="136"/>
      <c r="H948" s="136"/>
      <c r="I948" s="136"/>
      <c r="J948" s="136"/>
      <c r="K948" s="136"/>
      <c r="L948" s="136"/>
      <c r="M948" s="136"/>
      <c r="N948" s="136"/>
      <c r="O948" s="136"/>
      <c r="P948" s="136"/>
      <c r="Q948" s="136"/>
      <c r="R948" s="136"/>
      <c r="S948" s="136"/>
      <c r="T948" s="136"/>
    </row>
    <row r="949" spans="1:20">
      <c r="A949" s="136"/>
      <c r="B949" s="136"/>
      <c r="C949" s="136"/>
      <c r="D949" s="136"/>
      <c r="E949" s="136"/>
      <c r="F949" s="136"/>
      <c r="G949" s="136"/>
      <c r="H949" s="136"/>
      <c r="I949" s="136"/>
      <c r="J949" s="136"/>
      <c r="K949" s="136"/>
      <c r="L949" s="136"/>
      <c r="M949" s="136"/>
      <c r="N949" s="136"/>
      <c r="O949" s="136"/>
      <c r="P949" s="136"/>
      <c r="Q949" s="136"/>
      <c r="R949" s="136"/>
      <c r="S949" s="136"/>
      <c r="T949" s="136"/>
    </row>
    <row r="950" spans="1:20">
      <c r="A950" s="136"/>
      <c r="B950" s="136"/>
      <c r="C950" s="136"/>
      <c r="D950" s="136"/>
      <c r="E950" s="136"/>
      <c r="F950" s="136"/>
      <c r="G950" s="136"/>
      <c r="H950" s="136"/>
      <c r="I950" s="136"/>
      <c r="J950" s="136"/>
      <c r="K950" s="136"/>
      <c r="L950" s="136"/>
      <c r="M950" s="136"/>
      <c r="N950" s="136"/>
      <c r="O950" s="136"/>
      <c r="P950" s="136"/>
      <c r="Q950" s="136"/>
      <c r="R950" s="136"/>
      <c r="S950" s="136"/>
      <c r="T950" s="136"/>
    </row>
    <row r="951" spans="1:20">
      <c r="A951" s="136"/>
      <c r="B951" s="136"/>
      <c r="C951" s="136"/>
      <c r="D951" s="136"/>
      <c r="E951" s="136"/>
      <c r="F951" s="136"/>
      <c r="G951" s="136"/>
      <c r="H951" s="136"/>
      <c r="I951" s="136"/>
      <c r="J951" s="136"/>
      <c r="K951" s="136"/>
      <c r="L951" s="136"/>
      <c r="M951" s="136"/>
      <c r="N951" s="136"/>
      <c r="O951" s="136"/>
      <c r="P951" s="136"/>
      <c r="Q951" s="136"/>
      <c r="R951" s="136"/>
      <c r="S951" s="136"/>
      <c r="T951" s="136"/>
    </row>
    <row r="952" spans="1:20">
      <c r="A952" s="136"/>
      <c r="B952" s="136"/>
      <c r="C952" s="136"/>
      <c r="D952" s="136"/>
      <c r="E952" s="136"/>
      <c r="F952" s="136"/>
      <c r="G952" s="136"/>
      <c r="H952" s="136"/>
      <c r="I952" s="136"/>
      <c r="J952" s="136"/>
      <c r="K952" s="136"/>
      <c r="L952" s="136"/>
      <c r="M952" s="136"/>
      <c r="N952" s="136"/>
      <c r="O952" s="136"/>
      <c r="P952" s="136"/>
      <c r="Q952" s="136"/>
      <c r="R952" s="136"/>
      <c r="S952" s="136"/>
      <c r="T952" s="136"/>
    </row>
    <row r="953" spans="1:20">
      <c r="A953" s="136"/>
      <c r="B953" s="136"/>
      <c r="C953" s="136"/>
      <c r="D953" s="136"/>
      <c r="E953" s="136"/>
      <c r="F953" s="136"/>
      <c r="G953" s="136"/>
      <c r="H953" s="136"/>
      <c r="I953" s="136"/>
      <c r="J953" s="136"/>
      <c r="K953" s="136"/>
      <c r="L953" s="136"/>
      <c r="M953" s="136"/>
      <c r="N953" s="136"/>
      <c r="O953" s="136"/>
      <c r="P953" s="136"/>
      <c r="Q953" s="136"/>
      <c r="R953" s="136"/>
      <c r="S953" s="136"/>
      <c r="T953" s="136"/>
    </row>
    <row r="954" spans="1:20">
      <c r="A954" s="136"/>
      <c r="B954" s="136"/>
      <c r="C954" s="136"/>
      <c r="D954" s="136"/>
      <c r="E954" s="136"/>
      <c r="F954" s="136"/>
      <c r="G954" s="136"/>
      <c r="H954" s="136"/>
      <c r="I954" s="136"/>
      <c r="J954" s="136"/>
      <c r="K954" s="136"/>
      <c r="L954" s="136"/>
      <c r="M954" s="136"/>
      <c r="N954" s="136"/>
      <c r="O954" s="136"/>
      <c r="P954" s="136"/>
      <c r="Q954" s="136"/>
      <c r="R954" s="136"/>
      <c r="S954" s="136"/>
      <c r="T954" s="136"/>
    </row>
    <row r="955" spans="1:20">
      <c r="A955" s="136"/>
      <c r="B955" s="136"/>
      <c r="C955" s="136"/>
      <c r="D955" s="136"/>
      <c r="E955" s="136"/>
      <c r="F955" s="136"/>
      <c r="G955" s="136"/>
      <c r="H955" s="136"/>
      <c r="I955" s="136"/>
      <c r="J955" s="136"/>
      <c r="K955" s="136"/>
      <c r="L955" s="136"/>
      <c r="M955" s="136"/>
      <c r="N955" s="136"/>
      <c r="O955" s="136"/>
      <c r="P955" s="136"/>
      <c r="Q955" s="136"/>
      <c r="R955" s="136"/>
      <c r="S955" s="136"/>
      <c r="T955" s="136"/>
    </row>
    <row r="956" spans="1:20">
      <c r="A956" s="136"/>
      <c r="B956" s="136"/>
      <c r="C956" s="136"/>
      <c r="D956" s="136"/>
      <c r="E956" s="136"/>
      <c r="F956" s="136"/>
      <c r="G956" s="136"/>
      <c r="H956" s="136"/>
      <c r="I956" s="136"/>
      <c r="J956" s="136"/>
      <c r="K956" s="136"/>
      <c r="L956" s="136"/>
      <c r="M956" s="136"/>
      <c r="N956" s="136"/>
      <c r="O956" s="136"/>
      <c r="P956" s="136"/>
      <c r="Q956" s="136"/>
      <c r="R956" s="136"/>
      <c r="S956" s="136"/>
      <c r="T956" s="136"/>
    </row>
    <row r="957" spans="1:20">
      <c r="A957" s="136"/>
      <c r="B957" s="136"/>
      <c r="C957" s="136"/>
      <c r="D957" s="136"/>
      <c r="E957" s="136"/>
      <c r="F957" s="136"/>
      <c r="G957" s="136"/>
      <c r="H957" s="136"/>
      <c r="I957" s="136"/>
      <c r="J957" s="136"/>
      <c r="K957" s="136"/>
      <c r="L957" s="136"/>
      <c r="M957" s="136"/>
      <c r="N957" s="136"/>
      <c r="O957" s="136"/>
      <c r="P957" s="136"/>
      <c r="Q957" s="136"/>
      <c r="R957" s="136"/>
      <c r="S957" s="136"/>
      <c r="T957" s="136"/>
    </row>
    <row r="958" spans="1:20">
      <c r="A958" s="136"/>
      <c r="B958" s="136"/>
      <c r="C958" s="136"/>
      <c r="D958" s="136"/>
      <c r="E958" s="136"/>
      <c r="F958" s="136"/>
      <c r="G958" s="136"/>
      <c r="H958" s="136"/>
      <c r="I958" s="136"/>
      <c r="J958" s="136"/>
      <c r="K958" s="136"/>
      <c r="L958" s="136"/>
      <c r="M958" s="136"/>
      <c r="N958" s="136"/>
      <c r="O958" s="136"/>
      <c r="P958" s="136"/>
      <c r="Q958" s="136"/>
      <c r="R958" s="136"/>
      <c r="S958" s="136"/>
      <c r="T958" s="136"/>
    </row>
    <row r="959" spans="1:20">
      <c r="A959" s="136"/>
      <c r="B959" s="136"/>
      <c r="C959" s="136"/>
      <c r="D959" s="136"/>
      <c r="E959" s="136"/>
      <c r="F959" s="136"/>
      <c r="G959" s="136"/>
      <c r="H959" s="136"/>
      <c r="I959" s="136"/>
      <c r="J959" s="136"/>
      <c r="K959" s="136"/>
      <c r="L959" s="136"/>
      <c r="M959" s="136"/>
      <c r="N959" s="136"/>
      <c r="O959" s="136"/>
      <c r="P959" s="136"/>
      <c r="Q959" s="136"/>
      <c r="R959" s="136"/>
      <c r="S959" s="136"/>
      <c r="T959" s="136"/>
    </row>
    <row r="960" spans="1:20">
      <c r="A960" s="136"/>
      <c r="B960" s="136"/>
      <c r="C960" s="136"/>
      <c r="D960" s="136"/>
      <c r="E960" s="136"/>
      <c r="F960" s="136"/>
      <c r="G960" s="136"/>
      <c r="H960" s="136"/>
      <c r="I960" s="136"/>
      <c r="J960" s="136"/>
      <c r="K960" s="136"/>
      <c r="L960" s="136"/>
      <c r="M960" s="136"/>
      <c r="N960" s="136"/>
      <c r="O960" s="136"/>
      <c r="P960" s="136"/>
      <c r="Q960" s="136"/>
      <c r="R960" s="136"/>
      <c r="S960" s="136"/>
      <c r="T960" s="136"/>
    </row>
    <row r="961" spans="1:20">
      <c r="A961" s="136"/>
      <c r="B961" s="136"/>
      <c r="C961" s="136"/>
      <c r="D961" s="136"/>
      <c r="E961" s="136"/>
      <c r="F961" s="136"/>
      <c r="G961" s="136"/>
      <c r="H961" s="136"/>
      <c r="I961" s="136"/>
      <c r="J961" s="136"/>
      <c r="K961" s="136"/>
      <c r="L961" s="136"/>
      <c r="M961" s="136"/>
      <c r="N961" s="136"/>
      <c r="O961" s="136"/>
      <c r="P961" s="136"/>
      <c r="Q961" s="136"/>
      <c r="R961" s="136"/>
      <c r="S961" s="136"/>
      <c r="T961" s="136"/>
    </row>
    <row r="962" spans="1:20">
      <c r="A962" s="136"/>
      <c r="B962" s="136"/>
      <c r="C962" s="136"/>
      <c r="D962" s="136"/>
      <c r="E962" s="136"/>
      <c r="F962" s="136"/>
      <c r="G962" s="136"/>
      <c r="H962" s="136"/>
      <c r="I962" s="136"/>
      <c r="J962" s="136"/>
      <c r="K962" s="136"/>
      <c r="L962" s="136"/>
      <c r="M962" s="136"/>
      <c r="N962" s="136"/>
      <c r="O962" s="136"/>
      <c r="P962" s="136"/>
      <c r="Q962" s="136"/>
      <c r="R962" s="136"/>
      <c r="S962" s="136"/>
      <c r="T962" s="136"/>
    </row>
    <row r="963" spans="1:20">
      <c r="A963" s="136"/>
      <c r="B963" s="136"/>
      <c r="C963" s="136"/>
      <c r="D963" s="136"/>
      <c r="E963" s="136"/>
      <c r="F963" s="136"/>
      <c r="G963" s="136"/>
      <c r="H963" s="136"/>
      <c r="I963" s="136"/>
      <c r="J963" s="136"/>
      <c r="K963" s="136"/>
      <c r="L963" s="136"/>
      <c r="M963" s="136"/>
      <c r="N963" s="136"/>
      <c r="O963" s="136"/>
      <c r="P963" s="136"/>
      <c r="Q963" s="136"/>
      <c r="R963" s="136"/>
      <c r="S963" s="136"/>
      <c r="T963" s="136"/>
    </row>
    <row r="964" spans="1:20">
      <c r="A964" s="136"/>
      <c r="B964" s="136"/>
      <c r="C964" s="136"/>
      <c r="D964" s="136"/>
      <c r="E964" s="136"/>
      <c r="F964" s="136"/>
      <c r="G964" s="136"/>
      <c r="H964" s="136"/>
      <c r="I964" s="136"/>
      <c r="J964" s="136"/>
      <c r="K964" s="136"/>
      <c r="L964" s="136"/>
      <c r="M964" s="136"/>
      <c r="N964" s="136"/>
      <c r="O964" s="136"/>
      <c r="P964" s="136"/>
      <c r="Q964" s="136"/>
      <c r="R964" s="136"/>
      <c r="S964" s="136"/>
      <c r="T964" s="136"/>
    </row>
    <row r="965" spans="1:20">
      <c r="A965" s="136"/>
      <c r="B965" s="136"/>
      <c r="C965" s="136"/>
      <c r="D965" s="136"/>
      <c r="E965" s="136"/>
      <c r="F965" s="136"/>
      <c r="G965" s="136"/>
      <c r="H965" s="136"/>
      <c r="I965" s="136"/>
      <c r="J965" s="136"/>
      <c r="K965" s="136"/>
      <c r="L965" s="136"/>
      <c r="M965" s="136"/>
      <c r="N965" s="136"/>
      <c r="O965" s="136"/>
      <c r="P965" s="136"/>
      <c r="Q965" s="136"/>
      <c r="R965" s="136"/>
      <c r="S965" s="136"/>
      <c r="T965" s="136"/>
    </row>
    <row r="966" spans="1:20">
      <c r="A966" s="136"/>
      <c r="B966" s="136"/>
      <c r="C966" s="136"/>
      <c r="D966" s="136"/>
      <c r="E966" s="136"/>
      <c r="F966" s="136"/>
      <c r="G966" s="136"/>
      <c r="H966" s="136"/>
      <c r="I966" s="136"/>
      <c r="J966" s="136"/>
      <c r="K966" s="136"/>
      <c r="L966" s="136"/>
      <c r="M966" s="136"/>
      <c r="N966" s="136"/>
      <c r="O966" s="136"/>
      <c r="P966" s="136"/>
      <c r="Q966" s="136"/>
      <c r="R966" s="136"/>
      <c r="S966" s="136"/>
      <c r="T966" s="136"/>
    </row>
    <row r="967" spans="1:20">
      <c r="A967" s="136"/>
      <c r="B967" s="136"/>
      <c r="C967" s="136"/>
      <c r="D967" s="136"/>
      <c r="E967" s="136"/>
      <c r="F967" s="136"/>
      <c r="G967" s="136"/>
      <c r="H967" s="136"/>
      <c r="I967" s="136"/>
      <c r="J967" s="136"/>
      <c r="K967" s="136"/>
      <c r="L967" s="136"/>
      <c r="M967" s="136"/>
      <c r="N967" s="136"/>
      <c r="O967" s="136"/>
      <c r="P967" s="136"/>
      <c r="Q967" s="136"/>
      <c r="R967" s="136"/>
      <c r="S967" s="136"/>
      <c r="T967" s="136"/>
    </row>
    <row r="968" spans="1:20">
      <c r="A968" s="136"/>
      <c r="B968" s="136"/>
      <c r="C968" s="136"/>
      <c r="D968" s="136"/>
      <c r="E968" s="136"/>
      <c r="F968" s="136"/>
      <c r="G968" s="136"/>
      <c r="H968" s="136"/>
      <c r="I968" s="136"/>
      <c r="J968" s="136"/>
      <c r="K968" s="136"/>
      <c r="L968" s="136"/>
      <c r="M968" s="136"/>
      <c r="N968" s="136"/>
      <c r="O968" s="136"/>
      <c r="P968" s="136"/>
      <c r="Q968" s="136"/>
      <c r="R968" s="136"/>
      <c r="S968" s="136"/>
      <c r="T968" s="136"/>
    </row>
    <row r="969" spans="1:20">
      <c r="A969" s="136"/>
      <c r="B969" s="136"/>
      <c r="C969" s="136"/>
      <c r="D969" s="136"/>
      <c r="E969" s="136"/>
      <c r="F969" s="136"/>
      <c r="G969" s="136"/>
      <c r="H969" s="136"/>
      <c r="I969" s="136"/>
      <c r="J969" s="136"/>
      <c r="K969" s="136"/>
      <c r="L969" s="136"/>
      <c r="M969" s="136"/>
      <c r="N969" s="136"/>
      <c r="O969" s="136"/>
      <c r="P969" s="136"/>
      <c r="Q969" s="136"/>
      <c r="R969" s="136"/>
      <c r="S969" s="136"/>
      <c r="T969" s="136"/>
    </row>
    <row r="970" spans="1:20">
      <c r="A970" s="136"/>
      <c r="B970" s="136"/>
      <c r="C970" s="136"/>
      <c r="D970" s="136"/>
      <c r="E970" s="136"/>
      <c r="F970" s="136"/>
      <c r="G970" s="136"/>
      <c r="H970" s="136"/>
      <c r="I970" s="136"/>
      <c r="J970" s="136"/>
      <c r="K970" s="136"/>
      <c r="L970" s="136"/>
      <c r="M970" s="136"/>
      <c r="N970" s="136"/>
      <c r="O970" s="136"/>
      <c r="P970" s="136"/>
      <c r="Q970" s="136"/>
      <c r="R970" s="136"/>
      <c r="S970" s="136"/>
      <c r="T970" s="136"/>
    </row>
    <row r="971" spans="1:20">
      <c r="A971" s="136"/>
      <c r="B971" s="136"/>
      <c r="C971" s="136"/>
      <c r="D971" s="136"/>
      <c r="E971" s="136"/>
      <c r="F971" s="136"/>
      <c r="G971" s="136"/>
      <c r="H971" s="136"/>
      <c r="I971" s="136"/>
      <c r="J971" s="136"/>
      <c r="K971" s="136"/>
      <c r="L971" s="136"/>
      <c r="M971" s="136"/>
      <c r="N971" s="136"/>
      <c r="O971" s="136"/>
      <c r="P971" s="136"/>
      <c r="Q971" s="136"/>
      <c r="R971" s="136"/>
      <c r="S971" s="136"/>
      <c r="T971" s="136"/>
    </row>
    <row r="972" spans="1:20">
      <c r="A972" s="136"/>
      <c r="B972" s="136"/>
      <c r="C972" s="136"/>
      <c r="D972" s="136"/>
      <c r="E972" s="136"/>
      <c r="F972" s="136"/>
      <c r="G972" s="136"/>
      <c r="H972" s="136"/>
      <c r="I972" s="136"/>
      <c r="J972" s="136"/>
      <c r="K972" s="136"/>
      <c r="L972" s="136"/>
      <c r="M972" s="136"/>
      <c r="N972" s="136"/>
      <c r="O972" s="136"/>
      <c r="P972" s="136"/>
      <c r="Q972" s="136"/>
      <c r="R972" s="136"/>
      <c r="S972" s="136"/>
      <c r="T972" s="136"/>
    </row>
    <row r="973" spans="1:20">
      <c r="A973" s="136"/>
      <c r="B973" s="136"/>
      <c r="C973" s="136"/>
      <c r="D973" s="136"/>
      <c r="E973" s="136"/>
      <c r="F973" s="136"/>
      <c r="G973" s="136"/>
      <c r="H973" s="136"/>
      <c r="I973" s="136"/>
      <c r="J973" s="136"/>
      <c r="K973" s="136"/>
      <c r="L973" s="136"/>
      <c r="M973" s="136"/>
      <c r="N973" s="136"/>
      <c r="O973" s="136"/>
      <c r="P973" s="136"/>
      <c r="Q973" s="136"/>
      <c r="R973" s="136"/>
      <c r="S973" s="136"/>
      <c r="T973" s="136"/>
    </row>
    <row r="974" spans="1:20">
      <c r="A974" s="136"/>
      <c r="B974" s="136"/>
      <c r="C974" s="136"/>
      <c r="D974" s="136"/>
      <c r="E974" s="136"/>
      <c r="F974" s="136"/>
      <c r="G974" s="136"/>
      <c r="H974" s="136"/>
      <c r="I974" s="136"/>
      <c r="J974" s="136"/>
      <c r="K974" s="136"/>
      <c r="L974" s="136"/>
      <c r="M974" s="136"/>
      <c r="N974" s="136"/>
      <c r="O974" s="136"/>
      <c r="P974" s="136"/>
      <c r="Q974" s="136"/>
      <c r="R974" s="136"/>
      <c r="S974" s="136"/>
      <c r="T974" s="136"/>
    </row>
    <row r="975" spans="1:20">
      <c r="A975" s="136"/>
      <c r="B975" s="136"/>
      <c r="C975" s="136"/>
      <c r="D975" s="136"/>
      <c r="E975" s="136"/>
      <c r="F975" s="136"/>
      <c r="G975" s="136"/>
      <c r="H975" s="136"/>
      <c r="I975" s="136"/>
      <c r="J975" s="136"/>
      <c r="K975" s="136"/>
      <c r="L975" s="136"/>
      <c r="M975" s="136"/>
      <c r="N975" s="136"/>
      <c r="O975" s="136"/>
      <c r="P975" s="136"/>
      <c r="Q975" s="136"/>
      <c r="R975" s="136"/>
      <c r="S975" s="136"/>
      <c r="T975" s="136"/>
    </row>
    <row r="976" spans="1:20">
      <c r="A976" s="136"/>
      <c r="B976" s="136"/>
      <c r="C976" s="136"/>
      <c r="D976" s="136"/>
      <c r="E976" s="136"/>
      <c r="F976" s="136"/>
      <c r="G976" s="136"/>
      <c r="H976" s="136"/>
      <c r="I976" s="136"/>
      <c r="J976" s="136"/>
      <c r="K976" s="136"/>
      <c r="L976" s="136"/>
      <c r="M976" s="136"/>
      <c r="N976" s="136"/>
      <c r="O976" s="136"/>
      <c r="P976" s="136"/>
      <c r="Q976" s="136"/>
      <c r="R976" s="136"/>
      <c r="S976" s="136"/>
      <c r="T976" s="136"/>
    </row>
    <row r="977" spans="1:20">
      <c r="A977" s="136"/>
      <c r="B977" s="136"/>
      <c r="C977" s="136"/>
      <c r="D977" s="136"/>
      <c r="E977" s="136"/>
      <c r="F977" s="136"/>
      <c r="G977" s="136"/>
      <c r="H977" s="136"/>
      <c r="I977" s="136"/>
      <c r="J977" s="136"/>
      <c r="K977" s="136"/>
      <c r="L977" s="136"/>
      <c r="M977" s="136"/>
      <c r="N977" s="136"/>
      <c r="O977" s="136"/>
      <c r="P977" s="136"/>
      <c r="Q977" s="136"/>
      <c r="R977" s="136"/>
      <c r="S977" s="136"/>
      <c r="T977" s="136"/>
    </row>
    <row r="978" spans="1:20">
      <c r="A978" s="136"/>
      <c r="B978" s="136"/>
      <c r="C978" s="136"/>
      <c r="D978" s="136"/>
      <c r="E978" s="136"/>
      <c r="F978" s="136"/>
      <c r="G978" s="136"/>
      <c r="H978" s="136"/>
      <c r="I978" s="136"/>
      <c r="J978" s="136"/>
      <c r="K978" s="136"/>
      <c r="L978" s="136"/>
      <c r="M978" s="136"/>
      <c r="N978" s="136"/>
      <c r="O978" s="136"/>
      <c r="P978" s="136"/>
      <c r="Q978" s="136"/>
      <c r="R978" s="136"/>
      <c r="S978" s="136"/>
      <c r="T978" s="136"/>
    </row>
    <row r="979" spans="1:20">
      <c r="A979" s="136"/>
      <c r="B979" s="136"/>
      <c r="C979" s="136"/>
      <c r="D979" s="136"/>
      <c r="E979" s="136"/>
      <c r="F979" s="136"/>
      <c r="G979" s="136"/>
      <c r="H979" s="136"/>
      <c r="I979" s="136"/>
      <c r="J979" s="136"/>
      <c r="K979" s="136"/>
      <c r="L979" s="136"/>
      <c r="M979" s="136"/>
      <c r="N979" s="136"/>
      <c r="O979" s="136"/>
      <c r="P979" s="136"/>
      <c r="Q979" s="136"/>
      <c r="R979" s="136"/>
      <c r="S979" s="136"/>
      <c r="T979" s="136"/>
    </row>
    <row r="980" spans="1:20">
      <c r="A980" s="136"/>
      <c r="B980" s="136"/>
      <c r="C980" s="136"/>
      <c r="D980" s="136"/>
      <c r="E980" s="136"/>
      <c r="F980" s="136"/>
      <c r="G980" s="136"/>
      <c r="H980" s="136"/>
      <c r="I980" s="136"/>
      <c r="J980" s="136"/>
      <c r="K980" s="136"/>
      <c r="L980" s="136"/>
      <c r="M980" s="136"/>
      <c r="N980" s="136"/>
      <c r="O980" s="136"/>
      <c r="P980" s="136"/>
      <c r="Q980" s="136"/>
      <c r="R980" s="136"/>
      <c r="S980" s="136"/>
      <c r="T980" s="136"/>
    </row>
    <row r="981" spans="1:20">
      <c r="A981" s="136"/>
      <c r="B981" s="136"/>
      <c r="C981" s="136"/>
      <c r="D981" s="136"/>
      <c r="E981" s="136"/>
      <c r="F981" s="136"/>
      <c r="G981" s="136"/>
      <c r="H981" s="136"/>
      <c r="I981" s="136"/>
      <c r="J981" s="136"/>
      <c r="K981" s="136"/>
      <c r="L981" s="136"/>
      <c r="M981" s="136"/>
      <c r="N981" s="136"/>
      <c r="O981" s="136"/>
      <c r="P981" s="136"/>
      <c r="Q981" s="136"/>
      <c r="R981" s="136"/>
      <c r="S981" s="136"/>
      <c r="T981" s="136"/>
    </row>
    <row r="982" spans="1:20">
      <c r="A982" s="136"/>
      <c r="B982" s="136"/>
      <c r="C982" s="136"/>
      <c r="D982" s="136"/>
      <c r="E982" s="136"/>
      <c r="F982" s="136"/>
      <c r="G982" s="136"/>
      <c r="H982" s="136"/>
      <c r="I982" s="136"/>
      <c r="J982" s="136"/>
      <c r="K982" s="136"/>
      <c r="L982" s="136"/>
      <c r="M982" s="136"/>
      <c r="N982" s="136"/>
      <c r="O982" s="136"/>
      <c r="P982" s="136"/>
      <c r="Q982" s="136"/>
      <c r="R982" s="136"/>
      <c r="S982" s="136"/>
      <c r="T982" s="136"/>
    </row>
    <row r="983" spans="1:20">
      <c r="A983" s="136"/>
      <c r="B983" s="136"/>
      <c r="C983" s="136"/>
      <c r="D983" s="136"/>
      <c r="E983" s="136"/>
      <c r="F983" s="136"/>
      <c r="G983" s="136"/>
      <c r="H983" s="136"/>
      <c r="I983" s="136"/>
      <c r="J983" s="136"/>
      <c r="K983" s="136"/>
      <c r="L983" s="136"/>
      <c r="M983" s="136"/>
      <c r="N983" s="136"/>
      <c r="O983" s="136"/>
      <c r="P983" s="136"/>
      <c r="Q983" s="136"/>
      <c r="R983" s="136"/>
      <c r="S983" s="136"/>
      <c r="T983" s="136"/>
    </row>
    <row r="984" spans="1:20">
      <c r="A984" s="136"/>
      <c r="B984" s="136"/>
      <c r="C984" s="136"/>
      <c r="D984" s="136"/>
      <c r="E984" s="136"/>
      <c r="F984" s="136"/>
      <c r="G984" s="136"/>
      <c r="H984" s="136"/>
      <c r="I984" s="136"/>
      <c r="J984" s="136"/>
      <c r="K984" s="136"/>
      <c r="L984" s="136"/>
      <c r="M984" s="136"/>
      <c r="N984" s="136"/>
      <c r="O984" s="136"/>
      <c r="P984" s="136"/>
      <c r="Q984" s="136"/>
      <c r="R984" s="136"/>
      <c r="S984" s="136"/>
      <c r="T984" s="136"/>
    </row>
    <row r="985" spans="1:20">
      <c r="A985" s="136"/>
      <c r="B985" s="136"/>
      <c r="C985" s="136"/>
      <c r="D985" s="136"/>
      <c r="E985" s="136"/>
      <c r="F985" s="136"/>
      <c r="G985" s="136"/>
      <c r="H985" s="136"/>
      <c r="I985" s="136"/>
      <c r="J985" s="136"/>
      <c r="K985" s="136"/>
      <c r="L985" s="136"/>
      <c r="M985" s="136"/>
      <c r="N985" s="136"/>
      <c r="O985" s="136"/>
      <c r="P985" s="136"/>
      <c r="Q985" s="136"/>
      <c r="R985" s="136"/>
      <c r="S985" s="136"/>
      <c r="T985" s="136"/>
    </row>
    <row r="986" spans="1:20">
      <c r="A986" s="136"/>
      <c r="B986" s="136"/>
      <c r="C986" s="136"/>
      <c r="D986" s="136"/>
      <c r="E986" s="136"/>
      <c r="F986" s="136"/>
      <c r="G986" s="136"/>
      <c r="H986" s="136"/>
      <c r="I986" s="136"/>
      <c r="J986" s="136"/>
      <c r="K986" s="136"/>
      <c r="L986" s="136"/>
      <c r="M986" s="136"/>
      <c r="N986" s="136"/>
      <c r="O986" s="136"/>
      <c r="P986" s="136"/>
      <c r="Q986" s="136"/>
      <c r="R986" s="136"/>
      <c r="S986" s="136"/>
      <c r="T986" s="136"/>
    </row>
    <row r="987" spans="1:20">
      <c r="A987" s="136"/>
      <c r="B987" s="136"/>
      <c r="C987" s="136"/>
      <c r="D987" s="136"/>
      <c r="E987" s="136"/>
      <c r="F987" s="136"/>
      <c r="G987" s="136"/>
      <c r="H987" s="136"/>
      <c r="I987" s="136"/>
      <c r="J987" s="136"/>
      <c r="K987" s="136"/>
      <c r="L987" s="136"/>
      <c r="M987" s="136"/>
      <c r="N987" s="136"/>
      <c r="O987" s="136"/>
      <c r="P987" s="136"/>
      <c r="Q987" s="136"/>
      <c r="R987" s="136"/>
      <c r="S987" s="136"/>
      <c r="T987" s="136"/>
    </row>
    <row r="988" spans="1:20">
      <c r="A988" s="136"/>
      <c r="B988" s="136"/>
      <c r="C988" s="136"/>
      <c r="D988" s="136"/>
      <c r="E988" s="136"/>
      <c r="F988" s="136"/>
      <c r="G988" s="136"/>
      <c r="H988" s="136"/>
      <c r="I988" s="136"/>
      <c r="J988" s="136"/>
      <c r="K988" s="136"/>
      <c r="L988" s="136"/>
      <c r="M988" s="136"/>
      <c r="N988" s="136"/>
      <c r="O988" s="136"/>
      <c r="P988" s="136"/>
      <c r="Q988" s="136"/>
      <c r="R988" s="136"/>
      <c r="S988" s="136"/>
      <c r="T988" s="136"/>
    </row>
    <row r="989" spans="1:20">
      <c r="A989" s="136"/>
      <c r="B989" s="136"/>
      <c r="C989" s="136"/>
      <c r="D989" s="136"/>
      <c r="E989" s="136"/>
      <c r="F989" s="136"/>
      <c r="G989" s="136"/>
      <c r="H989" s="136"/>
      <c r="I989" s="136"/>
      <c r="J989" s="136"/>
      <c r="K989" s="136"/>
      <c r="L989" s="136"/>
      <c r="M989" s="136"/>
      <c r="N989" s="136"/>
      <c r="O989" s="136"/>
      <c r="P989" s="136"/>
      <c r="Q989" s="136"/>
      <c r="R989" s="136"/>
      <c r="S989" s="136"/>
      <c r="T989" s="136"/>
    </row>
    <row r="990" spans="1:20">
      <c r="A990" s="136"/>
      <c r="B990" s="136"/>
      <c r="C990" s="136"/>
      <c r="D990" s="136"/>
      <c r="E990" s="136"/>
      <c r="F990" s="136"/>
      <c r="G990" s="136"/>
      <c r="H990" s="136"/>
      <c r="I990" s="136"/>
      <c r="J990" s="136"/>
      <c r="K990" s="136"/>
      <c r="L990" s="136"/>
      <c r="M990" s="136"/>
      <c r="N990" s="136"/>
      <c r="O990" s="136"/>
      <c r="P990" s="136"/>
      <c r="Q990" s="136"/>
      <c r="R990" s="136"/>
      <c r="S990" s="136"/>
      <c r="T990" s="136"/>
    </row>
    <row r="991" spans="1:20">
      <c r="A991" s="136"/>
      <c r="B991" s="136"/>
      <c r="C991" s="136"/>
      <c r="D991" s="136"/>
      <c r="E991" s="136"/>
      <c r="F991" s="136"/>
      <c r="G991" s="136"/>
      <c r="H991" s="136"/>
      <c r="I991" s="136"/>
      <c r="J991" s="136"/>
      <c r="K991" s="136"/>
      <c r="L991" s="136"/>
      <c r="M991" s="136"/>
      <c r="N991" s="136"/>
      <c r="O991" s="136"/>
      <c r="P991" s="136"/>
      <c r="Q991" s="136"/>
      <c r="R991" s="136"/>
      <c r="S991" s="136"/>
      <c r="T991" s="136"/>
    </row>
    <row r="992" spans="1:20">
      <c r="A992" s="136"/>
      <c r="B992" s="136"/>
      <c r="C992" s="136"/>
      <c r="D992" s="136"/>
      <c r="E992" s="136"/>
      <c r="F992" s="136"/>
      <c r="G992" s="136"/>
      <c r="H992" s="136"/>
      <c r="I992" s="136"/>
      <c r="J992" s="136"/>
      <c r="K992" s="136"/>
      <c r="L992" s="136"/>
      <c r="M992" s="136"/>
      <c r="N992" s="136"/>
      <c r="O992" s="136"/>
      <c r="P992" s="136"/>
      <c r="Q992" s="136"/>
      <c r="R992" s="136"/>
      <c r="S992" s="136"/>
      <c r="T992" s="136"/>
    </row>
    <row r="993" spans="1:20">
      <c r="A993" s="136"/>
      <c r="B993" s="136"/>
      <c r="C993" s="136"/>
      <c r="D993" s="136"/>
      <c r="E993" s="136"/>
      <c r="F993" s="136"/>
      <c r="G993" s="136"/>
      <c r="H993" s="136"/>
      <c r="I993" s="136"/>
      <c r="J993" s="136"/>
      <c r="K993" s="136"/>
      <c r="L993" s="136"/>
      <c r="M993" s="136"/>
      <c r="N993" s="136"/>
      <c r="O993" s="136"/>
      <c r="P993" s="136"/>
      <c r="Q993" s="136"/>
      <c r="R993" s="136"/>
      <c r="S993" s="136"/>
      <c r="T993" s="136"/>
    </row>
    <row r="994" spans="1:20">
      <c r="A994" s="136"/>
      <c r="B994" s="136"/>
      <c r="C994" s="136"/>
      <c r="D994" s="136"/>
      <c r="E994" s="136"/>
      <c r="F994" s="136"/>
      <c r="G994" s="136"/>
      <c r="H994" s="136"/>
      <c r="I994" s="136"/>
      <c r="J994" s="136"/>
      <c r="K994" s="136"/>
      <c r="L994" s="136"/>
      <c r="M994" s="136"/>
      <c r="N994" s="136"/>
      <c r="O994" s="136"/>
      <c r="P994" s="136"/>
      <c r="Q994" s="136"/>
      <c r="R994" s="136"/>
      <c r="S994" s="136"/>
      <c r="T994" s="136"/>
    </row>
    <row r="995" spans="1:20">
      <c r="A995" s="136"/>
      <c r="B995" s="136"/>
      <c r="C995" s="136"/>
      <c r="D995" s="136"/>
      <c r="E995" s="136"/>
      <c r="F995" s="136"/>
      <c r="G995" s="136"/>
      <c r="H995" s="136"/>
      <c r="I995" s="136"/>
      <c r="J995" s="136"/>
      <c r="K995" s="136"/>
      <c r="L995" s="136"/>
      <c r="M995" s="136"/>
      <c r="N995" s="136"/>
      <c r="O995" s="136"/>
      <c r="P995" s="136"/>
      <c r="Q995" s="136"/>
      <c r="R995" s="136"/>
      <c r="S995" s="136"/>
      <c r="T995" s="136"/>
    </row>
    <row r="996" spans="1:20">
      <c r="A996" s="136"/>
      <c r="B996" s="136"/>
      <c r="C996" s="136"/>
      <c r="D996" s="136"/>
      <c r="E996" s="136"/>
      <c r="F996" s="136"/>
      <c r="G996" s="136"/>
      <c r="H996" s="136"/>
      <c r="I996" s="136"/>
      <c r="J996" s="136"/>
      <c r="K996" s="136"/>
      <c r="L996" s="136"/>
      <c r="M996" s="136"/>
      <c r="N996" s="136"/>
      <c r="O996" s="136"/>
      <c r="P996" s="136"/>
      <c r="Q996" s="136"/>
      <c r="R996" s="136"/>
      <c r="S996" s="136"/>
      <c r="T996" s="136"/>
    </row>
    <row r="997" spans="1:20">
      <c r="A997" s="136"/>
      <c r="B997" s="136"/>
      <c r="C997" s="136"/>
      <c r="D997" s="136"/>
      <c r="E997" s="136"/>
      <c r="F997" s="136"/>
      <c r="G997" s="136"/>
      <c r="H997" s="136"/>
      <c r="I997" s="136"/>
      <c r="J997" s="136"/>
      <c r="K997" s="136"/>
      <c r="L997" s="136"/>
      <c r="M997" s="136"/>
      <c r="N997" s="136"/>
      <c r="O997" s="136"/>
      <c r="P997" s="136"/>
      <c r="Q997" s="136"/>
      <c r="R997" s="136"/>
      <c r="S997" s="136"/>
      <c r="T997" s="136"/>
    </row>
    <row r="998" spans="1:20">
      <c r="A998" s="136"/>
      <c r="B998" s="136"/>
      <c r="C998" s="136"/>
      <c r="D998" s="136"/>
      <c r="E998" s="136"/>
      <c r="F998" s="136"/>
      <c r="G998" s="136"/>
      <c r="H998" s="136"/>
      <c r="I998" s="136"/>
      <c r="J998" s="136"/>
      <c r="K998" s="136"/>
      <c r="L998" s="136"/>
      <c r="M998" s="136"/>
      <c r="N998" s="136"/>
      <c r="O998" s="136"/>
      <c r="P998" s="136"/>
      <c r="Q998" s="136"/>
      <c r="R998" s="136"/>
      <c r="S998" s="136"/>
      <c r="T998" s="136"/>
    </row>
    <row r="999" spans="1:20">
      <c r="A999" s="136"/>
      <c r="B999" s="136"/>
      <c r="C999" s="136"/>
      <c r="D999" s="136"/>
      <c r="E999" s="136"/>
      <c r="F999" s="136"/>
      <c r="G999" s="136"/>
      <c r="H999" s="136"/>
      <c r="I999" s="136"/>
      <c r="J999" s="136"/>
      <c r="K999" s="136"/>
      <c r="L999" s="136"/>
      <c r="M999" s="136"/>
      <c r="N999" s="136"/>
      <c r="O999" s="136"/>
      <c r="P999" s="136"/>
      <c r="Q999" s="136"/>
      <c r="R999" s="136"/>
      <c r="S999" s="136"/>
      <c r="T999" s="136"/>
    </row>
    <row r="1000" spans="1:20">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row>
    <row r="1001" spans="1:20">
      <c r="A1001" s="136"/>
      <c r="B1001" s="136"/>
      <c r="C1001" s="136"/>
      <c r="D1001" s="136"/>
      <c r="E1001" s="136"/>
      <c r="F1001" s="136"/>
      <c r="G1001" s="136"/>
      <c r="H1001" s="136"/>
      <c r="I1001" s="136"/>
      <c r="J1001" s="136"/>
      <c r="K1001" s="136"/>
      <c r="L1001" s="136"/>
      <c r="M1001" s="136"/>
      <c r="N1001" s="136"/>
      <c r="O1001" s="136"/>
      <c r="P1001" s="136"/>
      <c r="Q1001" s="136"/>
      <c r="R1001" s="136"/>
      <c r="S1001" s="136"/>
      <c r="T1001" s="136"/>
    </row>
    <row r="1002" spans="1:20">
      <c r="A1002" s="136"/>
      <c r="B1002" s="136"/>
      <c r="C1002" s="136"/>
      <c r="D1002" s="136"/>
      <c r="E1002" s="136"/>
      <c r="F1002" s="136"/>
      <c r="G1002" s="136"/>
      <c r="H1002" s="136"/>
      <c r="I1002" s="136"/>
      <c r="J1002" s="136"/>
      <c r="K1002" s="136"/>
      <c r="L1002" s="136"/>
      <c r="M1002" s="136"/>
      <c r="N1002" s="136"/>
      <c r="O1002" s="136"/>
      <c r="P1002" s="136"/>
      <c r="Q1002" s="136"/>
      <c r="R1002" s="136"/>
      <c r="S1002" s="136"/>
      <c r="T1002" s="136"/>
    </row>
    <row r="1003" spans="1:20">
      <c r="A1003" s="136"/>
      <c r="B1003" s="136"/>
      <c r="C1003" s="136"/>
      <c r="D1003" s="136"/>
      <c r="E1003" s="136"/>
      <c r="F1003" s="136"/>
      <c r="G1003" s="136"/>
      <c r="H1003" s="136"/>
      <c r="I1003" s="136"/>
      <c r="J1003" s="136"/>
      <c r="K1003" s="136"/>
      <c r="L1003" s="136"/>
      <c r="M1003" s="136"/>
      <c r="N1003" s="136"/>
      <c r="O1003" s="136"/>
      <c r="P1003" s="136"/>
      <c r="Q1003" s="136"/>
      <c r="R1003" s="136"/>
      <c r="S1003" s="136"/>
      <c r="T1003" s="136"/>
    </row>
    <row r="1004" spans="1:20">
      <c r="A1004" s="136"/>
      <c r="B1004" s="136"/>
      <c r="C1004" s="136"/>
      <c r="D1004" s="136"/>
      <c r="E1004" s="136"/>
      <c r="F1004" s="136"/>
      <c r="G1004" s="136"/>
      <c r="H1004" s="136"/>
      <c r="I1004" s="136"/>
      <c r="J1004" s="136"/>
      <c r="K1004" s="136"/>
      <c r="L1004" s="136"/>
      <c r="M1004" s="136"/>
      <c r="N1004" s="136"/>
      <c r="O1004" s="136"/>
      <c r="P1004" s="136"/>
      <c r="Q1004" s="136"/>
      <c r="R1004" s="136"/>
      <c r="S1004" s="136"/>
      <c r="T1004" s="136"/>
    </row>
    <row r="1005" spans="1:20">
      <c r="A1005" s="136"/>
      <c r="B1005" s="136"/>
      <c r="C1005" s="136"/>
      <c r="D1005" s="136"/>
      <c r="E1005" s="136"/>
      <c r="F1005" s="136"/>
      <c r="G1005" s="136"/>
      <c r="H1005" s="136"/>
      <c r="I1005" s="136"/>
      <c r="J1005" s="136"/>
      <c r="K1005" s="136"/>
      <c r="L1005" s="136"/>
      <c r="M1005" s="136"/>
      <c r="N1005" s="136"/>
      <c r="O1005" s="136"/>
      <c r="P1005" s="136"/>
      <c r="Q1005" s="136"/>
      <c r="R1005" s="136"/>
      <c r="S1005" s="136"/>
      <c r="T1005" s="136"/>
    </row>
    <row r="1006" spans="1:20">
      <c r="A1006" s="136"/>
      <c r="B1006" s="136"/>
      <c r="C1006" s="136"/>
      <c r="D1006" s="136"/>
      <c r="E1006" s="136"/>
      <c r="F1006" s="136"/>
      <c r="G1006" s="136"/>
      <c r="H1006" s="136"/>
      <c r="I1006" s="136"/>
      <c r="J1006" s="136"/>
      <c r="K1006" s="136"/>
      <c r="L1006" s="136"/>
      <c r="M1006" s="136"/>
      <c r="N1006" s="136"/>
      <c r="O1006" s="136"/>
      <c r="P1006" s="136"/>
      <c r="Q1006" s="136"/>
      <c r="R1006" s="136"/>
      <c r="S1006" s="136"/>
      <c r="T1006" s="136"/>
    </row>
    <row r="1007" spans="1:20">
      <c r="A1007" s="136"/>
      <c r="B1007" s="136"/>
      <c r="C1007" s="136"/>
      <c r="D1007" s="136"/>
      <c r="E1007" s="136"/>
      <c r="F1007" s="136"/>
      <c r="G1007" s="136"/>
      <c r="H1007" s="136"/>
      <c r="I1007" s="136"/>
      <c r="J1007" s="136"/>
      <c r="K1007" s="136"/>
      <c r="L1007" s="136"/>
      <c r="M1007" s="136"/>
      <c r="N1007" s="136"/>
      <c r="O1007" s="136"/>
      <c r="P1007" s="136"/>
      <c r="Q1007" s="136"/>
      <c r="R1007" s="136"/>
      <c r="S1007" s="136"/>
      <c r="T1007" s="136"/>
    </row>
    <row r="1008" spans="1:20">
      <c r="A1008" s="136"/>
      <c r="B1008" s="136"/>
      <c r="C1008" s="136"/>
      <c r="D1008" s="136"/>
      <c r="E1008" s="136"/>
      <c r="F1008" s="136"/>
      <c r="G1008" s="136"/>
      <c r="H1008" s="136"/>
      <c r="I1008" s="136"/>
      <c r="J1008" s="136"/>
      <c r="K1008" s="136"/>
      <c r="L1008" s="136"/>
      <c r="M1008" s="136"/>
      <c r="N1008" s="136"/>
      <c r="O1008" s="136"/>
      <c r="P1008" s="136"/>
      <c r="Q1008" s="136"/>
      <c r="R1008" s="136"/>
      <c r="S1008" s="136"/>
      <c r="T1008" s="136"/>
    </row>
    <row r="1009" spans="1:20">
      <c r="A1009" s="136"/>
      <c r="B1009" s="136"/>
      <c r="C1009" s="136"/>
      <c r="D1009" s="136"/>
      <c r="E1009" s="136"/>
      <c r="F1009" s="136"/>
      <c r="G1009" s="136"/>
      <c r="H1009" s="136"/>
      <c r="I1009" s="136"/>
      <c r="J1009" s="136"/>
      <c r="K1009" s="136"/>
      <c r="L1009" s="136"/>
      <c r="M1009" s="136"/>
      <c r="N1009" s="136"/>
      <c r="O1009" s="136"/>
      <c r="P1009" s="136"/>
      <c r="Q1009" s="136"/>
      <c r="R1009" s="136"/>
      <c r="S1009" s="136"/>
      <c r="T1009" s="136"/>
    </row>
    <row r="1010" spans="1:20">
      <c r="A1010" s="136"/>
      <c r="B1010" s="136"/>
      <c r="C1010" s="136"/>
      <c r="D1010" s="136"/>
      <c r="E1010" s="136"/>
      <c r="F1010" s="136"/>
      <c r="G1010" s="136"/>
      <c r="H1010" s="136"/>
      <c r="I1010" s="136"/>
      <c r="J1010" s="136"/>
      <c r="K1010" s="136"/>
      <c r="L1010" s="136"/>
      <c r="M1010" s="136"/>
      <c r="N1010" s="136"/>
      <c r="O1010" s="136"/>
      <c r="P1010" s="136"/>
      <c r="Q1010" s="136"/>
      <c r="R1010" s="136"/>
      <c r="S1010" s="136"/>
      <c r="T1010" s="136"/>
    </row>
    <row r="1011" spans="1:20">
      <c r="A1011" s="136"/>
      <c r="B1011" s="136"/>
      <c r="C1011" s="136"/>
      <c r="D1011" s="136"/>
      <c r="E1011" s="136"/>
      <c r="F1011" s="136"/>
      <c r="G1011" s="136"/>
      <c r="H1011" s="136"/>
      <c r="I1011" s="136"/>
      <c r="J1011" s="136"/>
      <c r="K1011" s="136"/>
      <c r="L1011" s="136"/>
      <c r="M1011" s="136"/>
      <c r="N1011" s="136"/>
      <c r="O1011" s="136"/>
      <c r="P1011" s="136"/>
      <c r="Q1011" s="136"/>
      <c r="R1011" s="136"/>
      <c r="S1011" s="136"/>
      <c r="T1011" s="136"/>
    </row>
    <row r="1012" spans="1:20">
      <c r="A1012" s="136"/>
      <c r="B1012" s="136"/>
      <c r="C1012" s="136"/>
      <c r="D1012" s="136"/>
      <c r="E1012" s="136"/>
      <c r="F1012" s="136"/>
      <c r="G1012" s="136"/>
      <c r="H1012" s="136"/>
      <c r="I1012" s="136"/>
      <c r="J1012" s="136"/>
      <c r="K1012" s="136"/>
      <c r="L1012" s="136"/>
      <c r="M1012" s="136"/>
      <c r="N1012" s="136"/>
      <c r="O1012" s="136"/>
      <c r="P1012" s="136"/>
      <c r="Q1012" s="136"/>
      <c r="R1012" s="136"/>
      <c r="S1012" s="136"/>
      <c r="T1012" s="136"/>
    </row>
    <row r="1013" spans="1:20">
      <c r="A1013" s="136"/>
      <c r="B1013" s="136"/>
      <c r="C1013" s="136"/>
      <c r="D1013" s="136"/>
      <c r="E1013" s="136"/>
      <c r="F1013" s="136"/>
      <c r="G1013" s="136"/>
      <c r="H1013" s="136"/>
      <c r="I1013" s="136"/>
      <c r="J1013" s="136"/>
      <c r="K1013" s="136"/>
      <c r="L1013" s="136"/>
      <c r="M1013" s="136"/>
      <c r="N1013" s="136"/>
      <c r="O1013" s="136"/>
      <c r="P1013" s="136"/>
      <c r="Q1013" s="136"/>
      <c r="R1013" s="136"/>
      <c r="S1013" s="136"/>
      <c r="T1013" s="136"/>
    </row>
    <row r="1014" spans="1:20">
      <c r="A1014" s="136"/>
      <c r="B1014" s="136"/>
      <c r="C1014" s="136"/>
      <c r="D1014" s="136"/>
      <c r="E1014" s="136"/>
      <c r="F1014" s="136"/>
      <c r="G1014" s="136"/>
      <c r="H1014" s="136"/>
      <c r="I1014" s="136"/>
      <c r="J1014" s="136"/>
      <c r="K1014" s="136"/>
      <c r="L1014" s="136"/>
      <c r="M1014" s="136"/>
      <c r="N1014" s="136"/>
      <c r="O1014" s="136"/>
      <c r="P1014" s="136"/>
      <c r="Q1014" s="136"/>
      <c r="R1014" s="136"/>
      <c r="S1014" s="136"/>
      <c r="T1014" s="136"/>
    </row>
    <row r="1015" spans="1:20">
      <c r="A1015" s="136"/>
      <c r="B1015" s="136"/>
      <c r="C1015" s="136"/>
      <c r="D1015" s="136"/>
      <c r="E1015" s="136"/>
      <c r="F1015" s="136"/>
      <c r="G1015" s="136"/>
      <c r="H1015" s="136"/>
      <c r="I1015" s="136"/>
      <c r="J1015" s="136"/>
      <c r="K1015" s="136"/>
      <c r="L1015" s="136"/>
      <c r="M1015" s="136"/>
      <c r="N1015" s="136"/>
      <c r="O1015" s="136"/>
      <c r="P1015" s="136"/>
      <c r="Q1015" s="136"/>
      <c r="R1015" s="136"/>
      <c r="S1015" s="136"/>
      <c r="T1015" s="136"/>
    </row>
    <row r="1016" spans="1:20">
      <c r="A1016" s="136"/>
      <c r="B1016" s="136"/>
      <c r="C1016" s="136"/>
      <c r="D1016" s="136"/>
      <c r="E1016" s="136"/>
      <c r="F1016" s="136"/>
      <c r="G1016" s="136"/>
      <c r="H1016" s="136"/>
      <c r="I1016" s="136"/>
      <c r="J1016" s="136"/>
      <c r="K1016" s="136"/>
      <c r="L1016" s="136"/>
      <c r="M1016" s="136"/>
      <c r="N1016" s="136"/>
      <c r="O1016" s="136"/>
      <c r="P1016" s="136"/>
      <c r="Q1016" s="136"/>
      <c r="R1016" s="136"/>
      <c r="S1016" s="136"/>
      <c r="T1016" s="136"/>
    </row>
    <row r="1017" spans="1:20">
      <c r="A1017" s="136"/>
      <c r="B1017" s="136"/>
      <c r="C1017" s="136"/>
      <c r="D1017" s="136"/>
      <c r="E1017" s="136"/>
      <c r="F1017" s="136"/>
      <c r="G1017" s="136"/>
      <c r="H1017" s="136"/>
      <c r="I1017" s="136"/>
      <c r="J1017" s="136"/>
      <c r="K1017" s="136"/>
      <c r="L1017" s="136"/>
      <c r="M1017" s="136"/>
      <c r="N1017" s="136"/>
      <c r="O1017" s="136"/>
      <c r="P1017" s="136"/>
      <c r="Q1017" s="136"/>
      <c r="R1017" s="136"/>
      <c r="S1017" s="136"/>
      <c r="T1017" s="136"/>
    </row>
    <row r="1018" spans="1:20">
      <c r="A1018" s="136"/>
      <c r="B1018" s="136"/>
      <c r="C1018" s="136"/>
      <c r="D1018" s="136"/>
      <c r="E1018" s="136"/>
      <c r="F1018" s="136"/>
      <c r="G1018" s="136"/>
      <c r="H1018" s="136"/>
      <c r="I1018" s="136"/>
      <c r="J1018" s="136"/>
      <c r="K1018" s="136"/>
      <c r="L1018" s="136"/>
      <c r="M1018" s="136"/>
      <c r="N1018" s="136"/>
      <c r="O1018" s="136"/>
      <c r="P1018" s="136"/>
      <c r="Q1018" s="136"/>
      <c r="R1018" s="136"/>
      <c r="S1018" s="136"/>
      <c r="T1018" s="136"/>
    </row>
    <row r="1019" spans="1:20">
      <c r="A1019" s="136"/>
      <c r="B1019" s="136"/>
      <c r="C1019" s="136"/>
      <c r="D1019" s="136"/>
      <c r="E1019" s="136"/>
      <c r="F1019" s="136"/>
      <c r="G1019" s="136"/>
      <c r="H1019" s="136"/>
      <c r="I1019" s="136"/>
      <c r="J1019" s="136"/>
      <c r="K1019" s="136"/>
      <c r="L1019" s="136"/>
      <c r="M1019" s="136"/>
      <c r="N1019" s="136"/>
      <c r="O1019" s="136"/>
      <c r="P1019" s="136"/>
      <c r="Q1019" s="136"/>
      <c r="R1019" s="136"/>
      <c r="S1019" s="136"/>
      <c r="T1019" s="136"/>
    </row>
    <row r="1020" spans="1:20">
      <c r="A1020" s="136"/>
      <c r="B1020" s="136"/>
      <c r="C1020" s="136"/>
      <c r="D1020" s="136"/>
      <c r="E1020" s="136"/>
      <c r="F1020" s="136"/>
      <c r="G1020" s="136"/>
      <c r="H1020" s="136"/>
      <c r="I1020" s="136"/>
      <c r="J1020" s="136"/>
      <c r="K1020" s="136"/>
      <c r="L1020" s="136"/>
      <c r="M1020" s="136"/>
      <c r="N1020" s="136"/>
      <c r="O1020" s="136"/>
      <c r="P1020" s="136"/>
      <c r="Q1020" s="136"/>
      <c r="R1020" s="136"/>
      <c r="S1020" s="136"/>
      <c r="T1020" s="136"/>
    </row>
    <row r="1021" spans="1:20">
      <c r="A1021" s="136"/>
      <c r="B1021" s="136"/>
      <c r="C1021" s="136"/>
      <c r="D1021" s="136"/>
      <c r="E1021" s="136"/>
      <c r="F1021" s="136"/>
      <c r="G1021" s="136"/>
      <c r="H1021" s="136"/>
      <c r="I1021" s="136"/>
      <c r="J1021" s="136"/>
      <c r="K1021" s="136"/>
      <c r="L1021" s="136"/>
      <c r="M1021" s="136"/>
      <c r="N1021" s="136"/>
      <c r="O1021" s="136"/>
      <c r="P1021" s="136"/>
      <c r="Q1021" s="136"/>
      <c r="R1021" s="136"/>
      <c r="S1021" s="136"/>
      <c r="T1021" s="136"/>
    </row>
    <row r="1022" spans="1:20">
      <c r="A1022" s="136"/>
      <c r="B1022" s="136"/>
      <c r="C1022" s="136"/>
      <c r="D1022" s="136"/>
      <c r="E1022" s="136"/>
      <c r="F1022" s="136"/>
      <c r="G1022" s="136"/>
      <c r="H1022" s="136"/>
      <c r="I1022" s="136"/>
      <c r="J1022" s="136"/>
      <c r="K1022" s="136"/>
      <c r="L1022" s="136"/>
      <c r="M1022" s="136"/>
      <c r="N1022" s="136"/>
      <c r="O1022" s="136"/>
      <c r="P1022" s="136"/>
      <c r="Q1022" s="136"/>
      <c r="R1022" s="136"/>
      <c r="S1022" s="136"/>
      <c r="T1022" s="136"/>
    </row>
    <row r="1023" spans="1:20">
      <c r="A1023" s="136"/>
      <c r="B1023" s="136"/>
      <c r="C1023" s="136"/>
      <c r="D1023" s="136"/>
      <c r="E1023" s="136"/>
      <c r="F1023" s="136"/>
      <c r="G1023" s="136"/>
      <c r="H1023" s="136"/>
      <c r="I1023" s="136"/>
      <c r="J1023" s="136"/>
      <c r="K1023" s="136"/>
      <c r="L1023" s="136"/>
      <c r="M1023" s="136"/>
      <c r="N1023" s="136"/>
      <c r="O1023" s="136"/>
      <c r="P1023" s="136"/>
      <c r="Q1023" s="136"/>
      <c r="R1023" s="136"/>
      <c r="S1023" s="136"/>
      <c r="T1023" s="136"/>
    </row>
    <row r="1024" spans="1:20">
      <c r="A1024" s="136"/>
      <c r="B1024" s="136"/>
      <c r="C1024" s="136"/>
      <c r="D1024" s="136"/>
      <c r="E1024" s="136"/>
      <c r="F1024" s="136"/>
      <c r="G1024" s="136"/>
      <c r="H1024" s="136"/>
      <c r="I1024" s="136"/>
      <c r="J1024" s="136"/>
      <c r="K1024" s="136"/>
      <c r="L1024" s="136"/>
      <c r="M1024" s="136"/>
      <c r="N1024" s="136"/>
      <c r="O1024" s="136"/>
      <c r="P1024" s="136"/>
      <c r="Q1024" s="136"/>
      <c r="R1024" s="136"/>
      <c r="S1024" s="136"/>
      <c r="T1024" s="136"/>
    </row>
    <row r="1025" spans="1:20">
      <c r="A1025" s="136"/>
      <c r="B1025" s="136"/>
      <c r="C1025" s="136"/>
      <c r="D1025" s="136"/>
      <c r="E1025" s="136"/>
      <c r="F1025" s="136"/>
      <c r="G1025" s="136"/>
      <c r="H1025" s="136"/>
      <c r="I1025" s="136"/>
      <c r="J1025" s="136"/>
      <c r="K1025" s="136"/>
      <c r="L1025" s="136"/>
      <c r="M1025" s="136"/>
      <c r="N1025" s="136"/>
      <c r="O1025" s="136"/>
      <c r="P1025" s="136"/>
      <c r="Q1025" s="136"/>
      <c r="R1025" s="136"/>
      <c r="S1025" s="136"/>
      <c r="T1025" s="136"/>
    </row>
    <row r="1026" spans="1:20">
      <c r="A1026" s="136"/>
      <c r="B1026" s="136"/>
      <c r="C1026" s="136"/>
      <c r="D1026" s="136"/>
      <c r="E1026" s="136"/>
      <c r="F1026" s="136"/>
      <c r="G1026" s="136"/>
      <c r="H1026" s="136"/>
      <c r="I1026" s="136"/>
      <c r="J1026" s="136"/>
      <c r="K1026" s="136"/>
      <c r="L1026" s="136"/>
      <c r="M1026" s="136"/>
      <c r="N1026" s="136"/>
      <c r="O1026" s="136"/>
      <c r="P1026" s="136"/>
      <c r="Q1026" s="136"/>
      <c r="R1026" s="136"/>
      <c r="S1026" s="136"/>
      <c r="T1026" s="136"/>
    </row>
    <row r="1027" spans="1:20">
      <c r="A1027" s="136"/>
      <c r="B1027" s="136"/>
      <c r="C1027" s="136"/>
      <c r="D1027" s="136"/>
      <c r="E1027" s="136"/>
      <c r="F1027" s="136"/>
      <c r="G1027" s="136"/>
      <c r="H1027" s="136"/>
      <c r="I1027" s="136"/>
      <c r="J1027" s="136"/>
      <c r="K1027" s="136"/>
      <c r="L1027" s="136"/>
      <c r="M1027" s="136"/>
      <c r="N1027" s="136"/>
      <c r="O1027" s="136"/>
      <c r="P1027" s="136"/>
      <c r="Q1027" s="136"/>
      <c r="R1027" s="136"/>
      <c r="S1027" s="136"/>
      <c r="T1027" s="136"/>
    </row>
    <row r="1028" spans="1:20">
      <c r="A1028" s="136"/>
      <c r="B1028" s="136"/>
      <c r="C1028" s="136"/>
      <c r="D1028" s="136"/>
      <c r="E1028" s="136"/>
      <c r="F1028" s="136"/>
      <c r="G1028" s="136"/>
      <c r="H1028" s="136"/>
      <c r="I1028" s="136"/>
      <c r="J1028" s="136"/>
      <c r="K1028" s="136"/>
      <c r="L1028" s="136"/>
      <c r="M1028" s="136"/>
      <c r="N1028" s="136"/>
      <c r="O1028" s="136"/>
      <c r="P1028" s="136"/>
      <c r="Q1028" s="136"/>
      <c r="R1028" s="136"/>
      <c r="S1028" s="136"/>
      <c r="T1028" s="136"/>
    </row>
    <row r="1029" spans="1:20">
      <c r="A1029" s="136"/>
      <c r="B1029" s="136"/>
      <c r="C1029" s="136"/>
      <c r="D1029" s="136"/>
      <c r="E1029" s="136"/>
      <c r="F1029" s="136"/>
      <c r="G1029" s="136"/>
      <c r="H1029" s="136"/>
      <c r="I1029" s="136"/>
      <c r="J1029" s="136"/>
      <c r="K1029" s="136"/>
      <c r="L1029" s="136"/>
      <c r="M1029" s="136"/>
      <c r="N1029" s="136"/>
      <c r="O1029" s="136"/>
      <c r="P1029" s="136"/>
      <c r="Q1029" s="136"/>
      <c r="R1029" s="136"/>
      <c r="S1029" s="136"/>
      <c r="T1029" s="136"/>
    </row>
    <row r="1030" spans="1:20">
      <c r="A1030" s="136"/>
      <c r="B1030" s="136"/>
      <c r="C1030" s="136"/>
      <c r="D1030" s="136"/>
      <c r="E1030" s="136"/>
      <c r="F1030" s="136"/>
      <c r="G1030" s="136"/>
      <c r="H1030" s="136"/>
      <c r="I1030" s="136"/>
      <c r="J1030" s="136"/>
      <c r="K1030" s="136"/>
      <c r="L1030" s="136"/>
      <c r="M1030" s="136"/>
      <c r="N1030" s="136"/>
      <c r="O1030" s="136"/>
      <c r="P1030" s="136"/>
      <c r="Q1030" s="136"/>
      <c r="R1030" s="136"/>
      <c r="S1030" s="136"/>
      <c r="T1030" s="136"/>
    </row>
    <row r="1031" spans="1:20">
      <c r="A1031" s="136"/>
      <c r="B1031" s="136"/>
      <c r="C1031" s="136"/>
      <c r="D1031" s="136"/>
      <c r="E1031" s="136"/>
      <c r="F1031" s="136"/>
      <c r="G1031" s="136"/>
      <c r="H1031" s="136"/>
      <c r="I1031" s="136"/>
      <c r="J1031" s="136"/>
      <c r="K1031" s="136"/>
      <c r="L1031" s="136"/>
      <c r="M1031" s="136"/>
      <c r="N1031" s="136"/>
      <c r="O1031" s="136"/>
      <c r="P1031" s="136"/>
      <c r="Q1031" s="136"/>
      <c r="R1031" s="136"/>
      <c r="S1031" s="136"/>
      <c r="T1031" s="136"/>
    </row>
    <row r="1032" spans="1:20">
      <c r="A1032" s="136"/>
      <c r="B1032" s="136"/>
      <c r="C1032" s="136"/>
      <c r="D1032" s="136"/>
      <c r="E1032" s="136"/>
      <c r="F1032" s="136"/>
      <c r="G1032" s="136"/>
      <c r="H1032" s="136"/>
      <c r="I1032" s="136"/>
      <c r="J1032" s="136"/>
      <c r="K1032" s="136"/>
      <c r="L1032" s="136"/>
      <c r="M1032" s="136"/>
      <c r="N1032" s="136"/>
      <c r="O1032" s="136"/>
      <c r="P1032" s="136"/>
      <c r="Q1032" s="136"/>
      <c r="R1032" s="136"/>
      <c r="S1032" s="136"/>
      <c r="T1032" s="136"/>
    </row>
    <row r="1033" spans="1:20">
      <c r="A1033" s="136"/>
      <c r="B1033" s="136"/>
      <c r="C1033" s="136"/>
      <c r="D1033" s="136"/>
      <c r="E1033" s="136"/>
      <c r="F1033" s="136"/>
      <c r="G1033" s="136"/>
      <c r="H1033" s="136"/>
      <c r="I1033" s="136"/>
      <c r="J1033" s="136"/>
      <c r="K1033" s="136"/>
      <c r="L1033" s="136"/>
      <c r="M1033" s="136"/>
      <c r="N1033" s="136"/>
      <c r="O1033" s="136"/>
      <c r="P1033" s="136"/>
      <c r="Q1033" s="136"/>
      <c r="R1033" s="136"/>
      <c r="S1033" s="136"/>
      <c r="T1033" s="136"/>
    </row>
    <row r="1034" spans="1:20">
      <c r="A1034" s="136"/>
      <c r="B1034" s="136"/>
      <c r="C1034" s="136"/>
      <c r="D1034" s="136"/>
      <c r="E1034" s="136"/>
      <c r="F1034" s="136"/>
      <c r="G1034" s="136"/>
      <c r="H1034" s="136"/>
      <c r="I1034" s="136"/>
      <c r="J1034" s="136"/>
      <c r="K1034" s="136"/>
      <c r="L1034" s="136"/>
      <c r="M1034" s="136"/>
      <c r="N1034" s="136"/>
      <c r="O1034" s="136"/>
      <c r="P1034" s="136"/>
      <c r="Q1034" s="136"/>
      <c r="R1034" s="136"/>
      <c r="S1034" s="136"/>
      <c r="T1034" s="136"/>
    </row>
    <row r="1035" spans="1:20">
      <c r="A1035" s="136"/>
      <c r="B1035" s="136"/>
      <c r="C1035" s="136"/>
      <c r="D1035" s="136"/>
      <c r="E1035" s="136"/>
      <c r="F1035" s="136"/>
      <c r="G1035" s="136"/>
      <c r="H1035" s="136"/>
      <c r="I1035" s="136"/>
      <c r="J1035" s="136"/>
      <c r="K1035" s="136"/>
      <c r="L1035" s="136"/>
      <c r="M1035" s="136"/>
      <c r="N1035" s="136"/>
      <c r="O1035" s="136"/>
      <c r="P1035" s="136"/>
      <c r="Q1035" s="136"/>
      <c r="R1035" s="136"/>
      <c r="S1035" s="136"/>
      <c r="T1035" s="136"/>
    </row>
    <row r="1036" spans="1:20">
      <c r="A1036" s="136"/>
      <c r="B1036" s="136"/>
      <c r="C1036" s="136"/>
      <c r="D1036" s="136"/>
      <c r="E1036" s="136"/>
      <c r="F1036" s="136"/>
      <c r="G1036" s="136"/>
      <c r="H1036" s="136"/>
      <c r="I1036" s="136"/>
      <c r="J1036" s="136"/>
      <c r="K1036" s="136"/>
      <c r="L1036" s="136"/>
      <c r="M1036" s="136"/>
      <c r="N1036" s="136"/>
      <c r="O1036" s="136"/>
      <c r="P1036" s="136"/>
      <c r="Q1036" s="136"/>
      <c r="R1036" s="136"/>
      <c r="S1036" s="136"/>
      <c r="T1036" s="136"/>
    </row>
    <row r="1037" spans="1:20">
      <c r="A1037" s="136"/>
      <c r="B1037" s="136"/>
      <c r="C1037" s="136"/>
      <c r="D1037" s="136"/>
      <c r="E1037" s="136"/>
      <c r="F1037" s="136"/>
      <c r="G1037" s="136"/>
      <c r="H1037" s="136"/>
      <c r="I1037" s="136"/>
      <c r="J1037" s="136"/>
      <c r="K1037" s="136"/>
      <c r="L1037" s="136"/>
      <c r="M1037" s="136"/>
      <c r="N1037" s="136"/>
      <c r="O1037" s="136"/>
      <c r="P1037" s="136"/>
      <c r="Q1037" s="136"/>
      <c r="R1037" s="136"/>
      <c r="S1037" s="136"/>
      <c r="T1037" s="136"/>
    </row>
    <row r="1038" spans="1:20">
      <c r="A1038" s="136"/>
      <c r="B1038" s="136"/>
      <c r="C1038" s="136"/>
      <c r="D1038" s="136"/>
      <c r="E1038" s="136"/>
      <c r="F1038" s="136"/>
      <c r="G1038" s="136"/>
      <c r="H1038" s="136"/>
      <c r="I1038" s="136"/>
      <c r="J1038" s="136"/>
      <c r="K1038" s="136"/>
      <c r="L1038" s="136"/>
      <c r="M1038" s="136"/>
      <c r="N1038" s="136"/>
      <c r="O1038" s="136"/>
      <c r="P1038" s="136"/>
      <c r="Q1038" s="136"/>
      <c r="R1038" s="136"/>
      <c r="S1038" s="136"/>
      <c r="T1038" s="136"/>
    </row>
    <row r="1039" spans="1:20">
      <c r="A1039" s="136"/>
      <c r="B1039" s="136"/>
      <c r="C1039" s="136"/>
      <c r="D1039" s="136"/>
      <c r="E1039" s="136"/>
      <c r="F1039" s="136"/>
      <c r="G1039" s="136"/>
      <c r="H1039" s="136"/>
      <c r="I1039" s="136"/>
      <c r="J1039" s="136"/>
      <c r="K1039" s="136"/>
      <c r="L1039" s="136"/>
      <c r="M1039" s="136"/>
      <c r="N1039" s="136"/>
      <c r="O1039" s="136"/>
      <c r="P1039" s="136"/>
      <c r="Q1039" s="136"/>
      <c r="R1039" s="136"/>
      <c r="S1039" s="136"/>
      <c r="T1039" s="136"/>
    </row>
    <row r="1040" spans="1:20">
      <c r="A1040" s="136"/>
      <c r="B1040" s="136"/>
      <c r="C1040" s="136"/>
      <c r="D1040" s="136"/>
      <c r="E1040" s="136"/>
      <c r="F1040" s="136"/>
      <c r="G1040" s="136"/>
      <c r="H1040" s="136"/>
      <c r="I1040" s="136"/>
      <c r="J1040" s="136"/>
      <c r="K1040" s="136"/>
      <c r="L1040" s="136"/>
      <c r="M1040" s="136"/>
      <c r="N1040" s="136"/>
      <c r="O1040" s="136"/>
      <c r="P1040" s="136"/>
      <c r="Q1040" s="136"/>
      <c r="R1040" s="136"/>
      <c r="S1040" s="136"/>
      <c r="T1040" s="136"/>
    </row>
    <row r="1041" spans="1:20">
      <c r="A1041" s="136"/>
      <c r="B1041" s="136"/>
      <c r="C1041" s="136"/>
      <c r="D1041" s="136"/>
      <c r="E1041" s="136"/>
      <c r="F1041" s="136"/>
      <c r="G1041" s="136"/>
      <c r="H1041" s="136"/>
      <c r="I1041" s="136"/>
      <c r="J1041" s="136"/>
      <c r="K1041" s="136"/>
      <c r="L1041" s="136"/>
      <c r="M1041" s="136"/>
      <c r="N1041" s="136"/>
      <c r="O1041" s="136"/>
      <c r="P1041" s="136"/>
      <c r="Q1041" s="136"/>
      <c r="R1041" s="136"/>
      <c r="S1041" s="136"/>
      <c r="T1041" s="136"/>
    </row>
    <row r="1042" spans="1:20">
      <c r="A1042" s="136"/>
      <c r="B1042" s="136"/>
      <c r="C1042" s="136"/>
      <c r="D1042" s="136"/>
      <c r="E1042" s="136"/>
      <c r="F1042" s="136"/>
      <c r="G1042" s="136"/>
      <c r="H1042" s="136"/>
      <c r="I1042" s="136"/>
      <c r="J1042" s="136"/>
      <c r="K1042" s="136"/>
      <c r="L1042" s="136"/>
      <c r="M1042" s="136"/>
      <c r="N1042" s="136"/>
      <c r="O1042" s="136"/>
      <c r="P1042" s="136"/>
      <c r="Q1042" s="136"/>
      <c r="R1042" s="136"/>
      <c r="S1042" s="136"/>
      <c r="T1042" s="136"/>
    </row>
    <row r="1043" spans="1:20">
      <c r="A1043" s="136"/>
      <c r="B1043" s="136"/>
      <c r="C1043" s="136"/>
      <c r="D1043" s="136"/>
      <c r="E1043" s="136"/>
      <c r="F1043" s="136"/>
      <c r="G1043" s="136"/>
      <c r="H1043" s="136"/>
      <c r="I1043" s="136"/>
      <c r="J1043" s="136"/>
      <c r="K1043" s="136"/>
      <c r="L1043" s="136"/>
      <c r="M1043" s="136"/>
      <c r="N1043" s="136"/>
      <c r="O1043" s="136"/>
      <c r="P1043" s="136"/>
      <c r="Q1043" s="136"/>
      <c r="R1043" s="136"/>
      <c r="S1043" s="136"/>
      <c r="T1043" s="136"/>
    </row>
    <row r="1044" spans="1:20">
      <c r="A1044" s="136"/>
      <c r="B1044" s="136"/>
      <c r="C1044" s="136"/>
      <c r="D1044" s="136"/>
      <c r="E1044" s="136"/>
      <c r="F1044" s="136"/>
      <c r="G1044" s="136"/>
      <c r="H1044" s="136"/>
      <c r="I1044" s="136"/>
      <c r="J1044" s="136"/>
      <c r="K1044" s="136"/>
      <c r="L1044" s="136"/>
      <c r="M1044" s="136"/>
      <c r="N1044" s="136"/>
      <c r="O1044" s="136"/>
      <c r="P1044" s="136"/>
      <c r="Q1044" s="136"/>
      <c r="R1044" s="136"/>
      <c r="S1044" s="136"/>
      <c r="T1044" s="136"/>
    </row>
    <row r="1045" spans="1:20">
      <c r="A1045" s="136"/>
      <c r="B1045" s="136"/>
      <c r="C1045" s="136"/>
      <c r="D1045" s="136"/>
      <c r="E1045" s="136"/>
      <c r="F1045" s="136"/>
      <c r="G1045" s="136"/>
      <c r="H1045" s="136"/>
      <c r="I1045" s="136"/>
      <c r="J1045" s="136"/>
      <c r="K1045" s="136"/>
      <c r="L1045" s="136"/>
      <c r="M1045" s="136"/>
      <c r="N1045" s="136"/>
      <c r="O1045" s="136"/>
      <c r="P1045" s="136"/>
      <c r="Q1045" s="136"/>
      <c r="R1045" s="136"/>
      <c r="S1045" s="136"/>
      <c r="T1045" s="136"/>
    </row>
    <row r="1046" spans="1:20">
      <c r="A1046" s="136"/>
      <c r="B1046" s="136"/>
      <c r="C1046" s="136"/>
      <c r="D1046" s="136"/>
      <c r="E1046" s="136"/>
      <c r="F1046" s="136"/>
      <c r="G1046" s="136"/>
      <c r="H1046" s="136"/>
      <c r="I1046" s="136"/>
      <c r="J1046" s="136"/>
      <c r="K1046" s="136"/>
      <c r="L1046" s="136"/>
      <c r="M1046" s="136"/>
      <c r="N1046" s="136"/>
      <c r="O1046" s="136"/>
      <c r="P1046" s="136"/>
      <c r="Q1046" s="136"/>
      <c r="R1046" s="136"/>
      <c r="S1046" s="136"/>
      <c r="T1046" s="136"/>
    </row>
    <row r="1047" spans="1:20">
      <c r="A1047" s="136"/>
      <c r="B1047" s="136"/>
      <c r="C1047" s="136"/>
      <c r="D1047" s="136"/>
      <c r="E1047" s="136"/>
      <c r="F1047" s="136"/>
      <c r="G1047" s="136"/>
      <c r="H1047" s="136"/>
      <c r="I1047" s="136"/>
      <c r="J1047" s="136"/>
      <c r="K1047" s="136"/>
      <c r="L1047" s="136"/>
      <c r="M1047" s="136"/>
      <c r="N1047" s="136"/>
      <c r="O1047" s="136"/>
      <c r="P1047" s="136"/>
      <c r="Q1047" s="136"/>
      <c r="R1047" s="136"/>
      <c r="S1047" s="136"/>
      <c r="T1047" s="136"/>
    </row>
    <row r="1048" spans="1:20">
      <c r="A1048" s="136"/>
      <c r="B1048" s="136"/>
      <c r="C1048" s="136"/>
      <c r="D1048" s="136"/>
      <c r="E1048" s="136"/>
      <c r="F1048" s="136"/>
      <c r="G1048" s="136"/>
      <c r="H1048" s="136"/>
      <c r="I1048" s="136"/>
      <c r="J1048" s="136"/>
      <c r="K1048" s="136"/>
      <c r="L1048" s="136"/>
      <c r="M1048" s="136"/>
      <c r="N1048" s="136"/>
      <c r="O1048" s="136"/>
      <c r="P1048" s="136"/>
      <c r="Q1048" s="136"/>
      <c r="R1048" s="136"/>
      <c r="S1048" s="136"/>
      <c r="T1048" s="136"/>
    </row>
    <row r="1049" spans="1:20">
      <c r="A1049" s="136"/>
      <c r="B1049" s="136"/>
      <c r="C1049" s="136"/>
      <c r="D1049" s="136"/>
      <c r="E1049" s="136"/>
      <c r="F1049" s="136"/>
      <c r="G1049" s="136"/>
      <c r="H1049" s="136"/>
      <c r="I1049" s="136"/>
      <c r="J1049" s="136"/>
      <c r="K1049" s="136"/>
      <c r="L1049" s="136"/>
      <c r="M1049" s="136"/>
      <c r="N1049" s="136"/>
      <c r="O1049" s="136"/>
      <c r="P1049" s="136"/>
      <c r="Q1049" s="136"/>
      <c r="R1049" s="136"/>
      <c r="S1049" s="136"/>
      <c r="T1049" s="136"/>
    </row>
    <row r="1050" spans="1:20">
      <c r="A1050" s="136"/>
      <c r="B1050" s="136"/>
      <c r="C1050" s="136"/>
      <c r="D1050" s="136"/>
      <c r="E1050" s="136"/>
      <c r="F1050" s="136"/>
      <c r="G1050" s="136"/>
      <c r="H1050" s="136"/>
      <c r="I1050" s="136"/>
      <c r="J1050" s="136"/>
      <c r="K1050" s="136"/>
      <c r="L1050" s="136"/>
      <c r="M1050" s="136"/>
      <c r="N1050" s="136"/>
      <c r="O1050" s="136"/>
      <c r="P1050" s="136"/>
      <c r="Q1050" s="136"/>
      <c r="R1050" s="136"/>
      <c r="S1050" s="136"/>
      <c r="T1050" s="136"/>
    </row>
    <row r="1051" spans="1:20">
      <c r="A1051" s="136"/>
      <c r="B1051" s="136"/>
      <c r="C1051" s="136"/>
      <c r="D1051" s="136"/>
      <c r="E1051" s="136"/>
      <c r="F1051" s="136"/>
      <c r="G1051" s="136"/>
      <c r="H1051" s="136"/>
      <c r="I1051" s="136"/>
      <c r="J1051" s="136"/>
      <c r="K1051" s="136"/>
      <c r="L1051" s="136"/>
      <c r="M1051" s="136"/>
      <c r="N1051" s="136"/>
      <c r="O1051" s="136"/>
      <c r="P1051" s="136"/>
      <c r="Q1051" s="136"/>
      <c r="R1051" s="136"/>
      <c r="S1051" s="136"/>
      <c r="T1051" s="136"/>
    </row>
    <row r="1052" spans="1:20">
      <c r="A1052" s="136"/>
      <c r="B1052" s="136"/>
      <c r="C1052" s="136"/>
      <c r="D1052" s="136"/>
      <c r="E1052" s="136"/>
      <c r="F1052" s="136"/>
      <c r="G1052" s="136"/>
      <c r="H1052" s="136"/>
      <c r="I1052" s="136"/>
      <c r="J1052" s="136"/>
      <c r="K1052" s="136"/>
      <c r="L1052" s="136"/>
      <c r="M1052" s="136"/>
      <c r="N1052" s="136"/>
      <c r="O1052" s="136"/>
      <c r="P1052" s="136"/>
      <c r="Q1052" s="136"/>
      <c r="R1052" s="136"/>
      <c r="S1052" s="136"/>
      <c r="T1052" s="136"/>
    </row>
    <row r="1053" spans="1:20">
      <c r="A1053" s="136"/>
      <c r="B1053" s="136"/>
      <c r="C1053" s="136"/>
      <c r="D1053" s="136"/>
      <c r="E1053" s="136"/>
      <c r="F1053" s="136"/>
      <c r="G1053" s="136"/>
      <c r="H1053" s="136"/>
      <c r="I1053" s="136"/>
      <c r="J1053" s="136"/>
      <c r="K1053" s="136"/>
      <c r="L1053" s="136"/>
      <c r="M1053" s="136"/>
      <c r="N1053" s="136"/>
      <c r="O1053" s="136"/>
      <c r="P1053" s="136"/>
      <c r="Q1053" s="136"/>
      <c r="R1053" s="136"/>
      <c r="S1053" s="136"/>
      <c r="T1053" s="136"/>
    </row>
    <row r="1054" spans="1:20">
      <c r="A1054" s="136"/>
      <c r="B1054" s="136"/>
      <c r="C1054" s="136"/>
      <c r="D1054" s="136"/>
      <c r="E1054" s="136"/>
      <c r="F1054" s="136"/>
      <c r="G1054" s="136"/>
      <c r="H1054" s="136"/>
      <c r="I1054" s="136"/>
      <c r="J1054" s="136"/>
      <c r="K1054" s="136"/>
      <c r="L1054" s="136"/>
      <c r="M1054" s="136"/>
      <c r="N1054" s="136"/>
      <c r="O1054" s="136"/>
      <c r="P1054" s="136"/>
      <c r="Q1054" s="136"/>
      <c r="R1054" s="136"/>
      <c r="S1054" s="136"/>
      <c r="T1054" s="136"/>
    </row>
    <row r="1055" spans="1:20">
      <c r="A1055" s="136"/>
      <c r="B1055" s="136"/>
      <c r="C1055" s="136"/>
      <c r="D1055" s="136"/>
      <c r="E1055" s="136"/>
      <c r="F1055" s="136"/>
      <c r="G1055" s="136"/>
      <c r="H1055" s="136"/>
      <c r="I1055" s="136"/>
      <c r="J1055" s="136"/>
      <c r="K1055" s="136"/>
      <c r="L1055" s="136"/>
      <c r="M1055" s="136"/>
      <c r="N1055" s="136"/>
      <c r="O1055" s="136"/>
      <c r="P1055" s="136"/>
      <c r="Q1055" s="136"/>
      <c r="R1055" s="136"/>
      <c r="S1055" s="136"/>
      <c r="T1055" s="136"/>
    </row>
    <row r="1056" spans="1:20">
      <c r="A1056" s="136"/>
      <c r="B1056" s="136"/>
      <c r="C1056" s="136"/>
      <c r="D1056" s="136"/>
      <c r="E1056" s="136"/>
      <c r="F1056" s="136"/>
      <c r="G1056" s="136"/>
      <c r="H1056" s="136"/>
      <c r="I1056" s="136"/>
      <c r="J1056" s="136"/>
      <c r="K1056" s="136"/>
      <c r="L1056" s="136"/>
      <c r="M1056" s="136"/>
      <c r="N1056" s="136"/>
      <c r="O1056" s="136"/>
      <c r="P1056" s="136"/>
      <c r="Q1056" s="136"/>
      <c r="R1056" s="136"/>
      <c r="S1056" s="136"/>
      <c r="T1056" s="136"/>
    </row>
    <row r="1057" spans="1:20">
      <c r="A1057" s="136"/>
      <c r="B1057" s="136"/>
      <c r="C1057" s="136"/>
      <c r="D1057" s="136"/>
      <c r="E1057" s="136"/>
      <c r="F1057" s="136"/>
      <c r="G1057" s="136"/>
      <c r="H1057" s="136"/>
      <c r="I1057" s="136"/>
      <c r="J1057" s="136"/>
      <c r="K1057" s="136"/>
      <c r="L1057" s="136"/>
      <c r="M1057" s="136"/>
      <c r="N1057" s="136"/>
      <c r="O1057" s="136"/>
      <c r="P1057" s="136"/>
      <c r="Q1057" s="136"/>
      <c r="R1057" s="136"/>
      <c r="S1057" s="136"/>
      <c r="T1057" s="136"/>
    </row>
    <row r="1058" spans="1:20">
      <c r="A1058" s="136"/>
      <c r="B1058" s="136"/>
      <c r="C1058" s="136"/>
      <c r="D1058" s="136"/>
      <c r="E1058" s="136"/>
      <c r="F1058" s="136"/>
      <c r="G1058" s="136"/>
      <c r="H1058" s="136"/>
      <c r="I1058" s="136"/>
      <c r="J1058" s="136"/>
      <c r="K1058" s="136"/>
      <c r="L1058" s="136"/>
      <c r="M1058" s="136"/>
      <c r="N1058" s="136"/>
      <c r="O1058" s="136"/>
      <c r="P1058" s="136"/>
      <c r="Q1058" s="136"/>
      <c r="R1058" s="136"/>
      <c r="S1058" s="136"/>
      <c r="T1058" s="136"/>
    </row>
    <row r="1059" spans="1:20">
      <c r="A1059" s="136"/>
      <c r="B1059" s="136"/>
      <c r="C1059" s="136"/>
      <c r="D1059" s="136"/>
      <c r="E1059" s="136"/>
      <c r="F1059" s="136"/>
      <c r="G1059" s="136"/>
      <c r="H1059" s="136"/>
      <c r="I1059" s="136"/>
      <c r="J1059" s="136"/>
      <c r="K1059" s="136"/>
      <c r="L1059" s="136"/>
      <c r="M1059" s="136"/>
      <c r="N1059" s="136"/>
      <c r="O1059" s="136"/>
      <c r="P1059" s="136"/>
      <c r="Q1059" s="136"/>
      <c r="R1059" s="136"/>
      <c r="S1059" s="136"/>
      <c r="T1059" s="136"/>
    </row>
    <row r="1060" spans="1:20">
      <c r="A1060" s="136"/>
      <c r="B1060" s="136"/>
      <c r="C1060" s="136"/>
      <c r="D1060" s="136"/>
      <c r="E1060" s="136"/>
      <c r="F1060" s="136"/>
      <c r="G1060" s="136"/>
      <c r="H1060" s="136"/>
      <c r="I1060" s="136"/>
      <c r="J1060" s="136"/>
      <c r="K1060" s="136"/>
      <c r="L1060" s="136"/>
      <c r="M1060" s="136"/>
      <c r="N1060" s="136"/>
      <c r="O1060" s="136"/>
      <c r="P1060" s="136"/>
      <c r="Q1060" s="136"/>
      <c r="R1060" s="136"/>
      <c r="S1060" s="136"/>
      <c r="T1060" s="136"/>
    </row>
    <row r="1061" spans="1:20">
      <c r="A1061" s="136"/>
      <c r="B1061" s="136"/>
      <c r="C1061" s="136"/>
      <c r="D1061" s="136"/>
      <c r="E1061" s="136"/>
      <c r="F1061" s="136"/>
      <c r="G1061" s="136"/>
      <c r="H1061" s="136"/>
      <c r="I1061" s="136"/>
      <c r="J1061" s="136"/>
      <c r="K1061" s="136"/>
      <c r="L1061" s="136"/>
      <c r="M1061" s="136"/>
      <c r="N1061" s="136"/>
      <c r="O1061" s="136"/>
      <c r="P1061" s="136"/>
      <c r="Q1061" s="136"/>
      <c r="R1061" s="136"/>
      <c r="S1061" s="136"/>
      <c r="T1061" s="136"/>
    </row>
    <row r="1062" spans="1:20">
      <c r="A1062" s="136"/>
      <c r="B1062" s="136"/>
      <c r="C1062" s="136"/>
      <c r="D1062" s="136"/>
      <c r="E1062" s="136"/>
      <c r="F1062" s="136"/>
      <c r="G1062" s="136"/>
      <c r="H1062" s="136"/>
      <c r="I1062" s="136"/>
      <c r="J1062" s="136"/>
      <c r="K1062" s="136"/>
      <c r="L1062" s="136"/>
      <c r="M1062" s="136"/>
      <c r="N1062" s="136"/>
      <c r="O1062" s="136"/>
      <c r="P1062" s="136"/>
      <c r="Q1062" s="136"/>
      <c r="R1062" s="136"/>
      <c r="S1062" s="136"/>
      <c r="T1062" s="136"/>
    </row>
    <row r="1063" spans="1:20">
      <c r="A1063" s="136"/>
      <c r="B1063" s="136"/>
      <c r="C1063" s="136"/>
      <c r="D1063" s="136"/>
      <c r="E1063" s="136"/>
      <c r="F1063" s="136"/>
      <c r="G1063" s="136"/>
      <c r="H1063" s="136"/>
      <c r="I1063" s="136"/>
      <c r="J1063" s="136"/>
      <c r="K1063" s="136"/>
      <c r="L1063" s="136"/>
      <c r="M1063" s="136"/>
      <c r="N1063" s="136"/>
      <c r="O1063" s="136"/>
      <c r="P1063" s="136"/>
      <c r="Q1063" s="136"/>
      <c r="R1063" s="136"/>
      <c r="S1063" s="136"/>
      <c r="T1063" s="136"/>
    </row>
    <row r="1064" spans="1:20">
      <c r="A1064" s="136"/>
      <c r="B1064" s="136"/>
      <c r="C1064" s="136"/>
      <c r="D1064" s="136"/>
      <c r="E1064" s="136"/>
      <c r="F1064" s="136"/>
      <c r="G1064" s="136"/>
      <c r="H1064" s="136"/>
      <c r="I1064" s="136"/>
      <c r="J1064" s="136"/>
      <c r="K1064" s="136"/>
      <c r="L1064" s="136"/>
      <c r="M1064" s="136"/>
      <c r="N1064" s="136"/>
      <c r="O1064" s="136"/>
      <c r="P1064" s="136"/>
      <c r="Q1064" s="136"/>
      <c r="R1064" s="136"/>
      <c r="S1064" s="136"/>
      <c r="T1064" s="136"/>
    </row>
    <row r="1065" spans="1:20">
      <c r="A1065" s="136"/>
      <c r="B1065" s="136"/>
      <c r="C1065" s="136"/>
      <c r="D1065" s="136"/>
      <c r="E1065" s="136"/>
      <c r="F1065" s="136"/>
      <c r="G1065" s="136"/>
      <c r="H1065" s="136"/>
      <c r="I1065" s="136"/>
      <c r="J1065" s="136"/>
      <c r="K1065" s="136"/>
      <c r="L1065" s="136"/>
      <c r="M1065" s="136"/>
      <c r="N1065" s="136"/>
      <c r="O1065" s="136"/>
      <c r="P1065" s="136"/>
      <c r="Q1065" s="136"/>
      <c r="R1065" s="136"/>
      <c r="S1065" s="136"/>
      <c r="T1065" s="136"/>
    </row>
    <row r="1066" spans="1:20">
      <c r="A1066" s="136"/>
      <c r="B1066" s="136"/>
      <c r="C1066" s="136"/>
      <c r="D1066" s="136"/>
      <c r="E1066" s="136"/>
      <c r="F1066" s="136"/>
      <c r="G1066" s="136"/>
      <c r="H1066" s="136"/>
      <c r="I1066" s="136"/>
      <c r="J1066" s="136"/>
      <c r="K1066" s="136"/>
      <c r="L1066" s="136"/>
      <c r="M1066" s="136"/>
      <c r="N1066" s="136"/>
      <c r="O1066" s="136"/>
      <c r="P1066" s="136"/>
      <c r="Q1066" s="136"/>
      <c r="R1066" s="136"/>
      <c r="S1066" s="136"/>
      <c r="T1066" s="136"/>
    </row>
    <row r="1067" spans="1:20">
      <c r="A1067" s="136"/>
      <c r="B1067" s="136"/>
      <c r="C1067" s="136"/>
      <c r="D1067" s="136"/>
      <c r="E1067" s="136"/>
      <c r="F1067" s="136"/>
      <c r="G1067" s="136"/>
      <c r="H1067" s="136"/>
      <c r="I1067" s="136"/>
      <c r="J1067" s="136"/>
      <c r="K1067" s="136"/>
      <c r="L1067" s="136"/>
      <c r="M1067" s="136"/>
      <c r="N1067" s="136"/>
      <c r="O1067" s="136"/>
      <c r="P1067" s="136"/>
      <c r="Q1067" s="136"/>
      <c r="R1067" s="136"/>
      <c r="S1067" s="136"/>
      <c r="T1067" s="136"/>
    </row>
    <row r="1068" spans="1:20">
      <c r="A1068" s="136"/>
      <c r="B1068" s="136"/>
      <c r="C1068" s="136"/>
      <c r="D1068" s="136"/>
      <c r="E1068" s="136"/>
      <c r="F1068" s="136"/>
      <c r="G1068" s="136"/>
      <c r="H1068" s="136"/>
      <c r="I1068" s="136"/>
      <c r="J1068" s="136"/>
      <c r="K1068" s="136"/>
      <c r="L1068" s="136"/>
      <c r="M1068" s="136"/>
      <c r="N1068" s="136"/>
      <c r="O1068" s="136"/>
      <c r="P1068" s="136"/>
      <c r="Q1068" s="136"/>
      <c r="R1068" s="136"/>
      <c r="S1068" s="136"/>
      <c r="T1068" s="136"/>
    </row>
    <row r="1069" spans="1:20">
      <c r="A1069" s="136"/>
      <c r="B1069" s="136"/>
      <c r="C1069" s="136"/>
      <c r="D1069" s="136"/>
      <c r="E1069" s="136"/>
      <c r="F1069" s="136"/>
      <c r="G1069" s="136"/>
      <c r="H1069" s="136"/>
      <c r="I1069" s="136"/>
      <c r="J1069" s="136"/>
      <c r="K1069" s="136"/>
      <c r="L1069" s="136"/>
      <c r="M1069" s="136"/>
      <c r="N1069" s="136"/>
      <c r="O1069" s="136"/>
      <c r="P1069" s="136"/>
      <c r="Q1069" s="136"/>
      <c r="R1069" s="136"/>
      <c r="S1069" s="136"/>
      <c r="T1069" s="136"/>
    </row>
    <row r="1070" spans="1:20">
      <c r="A1070" s="136"/>
      <c r="B1070" s="136"/>
      <c r="C1070" s="136"/>
      <c r="D1070" s="136"/>
      <c r="E1070" s="136"/>
      <c r="F1070" s="136"/>
      <c r="G1070" s="136"/>
      <c r="H1070" s="136"/>
      <c r="I1070" s="136"/>
      <c r="J1070" s="136"/>
      <c r="K1070" s="136"/>
      <c r="L1070" s="136"/>
      <c r="M1070" s="136"/>
      <c r="N1070" s="136"/>
      <c r="O1070" s="136"/>
      <c r="P1070" s="136"/>
      <c r="Q1070" s="136"/>
      <c r="R1070" s="136"/>
      <c r="S1070" s="136"/>
      <c r="T1070" s="136"/>
    </row>
    <row r="1071" spans="1:20">
      <c r="A1071" s="136"/>
      <c r="B1071" s="136"/>
      <c r="C1071" s="136"/>
      <c r="D1071" s="136"/>
      <c r="E1071" s="136"/>
      <c r="F1071" s="136"/>
      <c r="G1071" s="136"/>
      <c r="H1071" s="136"/>
      <c r="I1071" s="136"/>
      <c r="J1071" s="136"/>
      <c r="K1071" s="136"/>
      <c r="L1071" s="136"/>
      <c r="M1071" s="136"/>
      <c r="N1071" s="136"/>
      <c r="O1071" s="136"/>
      <c r="P1071" s="136"/>
      <c r="Q1071" s="136"/>
      <c r="R1071" s="136"/>
      <c r="S1071" s="136"/>
      <c r="T1071" s="136"/>
    </row>
    <row r="1072" spans="1:20">
      <c r="A1072" s="136"/>
      <c r="B1072" s="136"/>
      <c r="C1072" s="136"/>
      <c r="D1072" s="136"/>
      <c r="E1072" s="136"/>
      <c r="F1072" s="136"/>
      <c r="G1072" s="136"/>
      <c r="H1072" s="136"/>
      <c r="I1072" s="136"/>
      <c r="J1072" s="136"/>
      <c r="K1072" s="136"/>
      <c r="L1072" s="136"/>
      <c r="M1072" s="136"/>
      <c r="N1072" s="136"/>
      <c r="O1072" s="136"/>
      <c r="P1072" s="136"/>
      <c r="Q1072" s="136"/>
      <c r="R1072" s="136"/>
      <c r="S1072" s="136"/>
      <c r="T1072" s="136"/>
    </row>
    <row r="1073" spans="1:20">
      <c r="A1073" s="136"/>
      <c r="B1073" s="136"/>
      <c r="C1073" s="136"/>
      <c r="D1073" s="136"/>
      <c r="E1073" s="136"/>
      <c r="F1073" s="136"/>
      <c r="G1073" s="136"/>
      <c r="H1073" s="136"/>
      <c r="I1073" s="136"/>
      <c r="J1073" s="136"/>
      <c r="K1073" s="136"/>
      <c r="L1073" s="136"/>
      <c r="M1073" s="136"/>
      <c r="N1073" s="136"/>
      <c r="O1073" s="136"/>
      <c r="P1073" s="136"/>
      <c r="Q1073" s="136"/>
      <c r="R1073" s="136"/>
      <c r="S1073" s="136"/>
      <c r="T1073" s="136"/>
    </row>
    <row r="1074" spans="1:20">
      <c r="A1074" s="136"/>
      <c r="B1074" s="136"/>
      <c r="C1074" s="136"/>
      <c r="D1074" s="136"/>
      <c r="E1074" s="136"/>
      <c r="F1074" s="136"/>
      <c r="G1074" s="136"/>
      <c r="H1074" s="136"/>
      <c r="I1074" s="136"/>
      <c r="J1074" s="136"/>
      <c r="K1074" s="136"/>
      <c r="L1074" s="136"/>
      <c r="M1074" s="136"/>
      <c r="N1074" s="136"/>
      <c r="O1074" s="136"/>
      <c r="P1074" s="136"/>
      <c r="Q1074" s="136"/>
      <c r="R1074" s="136"/>
      <c r="S1074" s="136"/>
      <c r="T1074" s="136"/>
    </row>
    <row r="1075" spans="1:20">
      <c r="A1075" s="136"/>
      <c r="B1075" s="136"/>
      <c r="C1075" s="136"/>
      <c r="D1075" s="136"/>
      <c r="E1075" s="136"/>
      <c r="F1075" s="136"/>
      <c r="G1075" s="136"/>
      <c r="H1075" s="136"/>
      <c r="I1075" s="136"/>
      <c r="J1075" s="136"/>
      <c r="K1075" s="136"/>
      <c r="L1075" s="136"/>
      <c r="M1075" s="136"/>
      <c r="N1075" s="136"/>
      <c r="O1075" s="136"/>
      <c r="P1075" s="136"/>
      <c r="Q1075" s="136"/>
      <c r="R1075" s="136"/>
      <c r="S1075" s="136"/>
      <c r="T1075" s="136"/>
    </row>
    <row r="1076" spans="1:20">
      <c r="A1076" s="136"/>
      <c r="B1076" s="136"/>
      <c r="C1076" s="136"/>
      <c r="D1076" s="136"/>
      <c r="E1076" s="136"/>
      <c r="F1076" s="136"/>
      <c r="G1076" s="136"/>
      <c r="H1076" s="136"/>
      <c r="I1076" s="136"/>
      <c r="J1076" s="136"/>
      <c r="K1076" s="136"/>
      <c r="L1076" s="136"/>
      <c r="M1076" s="136"/>
      <c r="N1076" s="136"/>
      <c r="O1076" s="136"/>
      <c r="P1076" s="136"/>
      <c r="Q1076" s="136"/>
      <c r="R1076" s="136"/>
      <c r="S1076" s="136"/>
      <c r="T1076" s="136"/>
    </row>
    <row r="1077" spans="1:20">
      <c r="A1077" s="136"/>
      <c r="B1077" s="136"/>
      <c r="C1077" s="136"/>
      <c r="D1077" s="136"/>
      <c r="E1077" s="136"/>
      <c r="F1077" s="136"/>
      <c r="G1077" s="136"/>
      <c r="H1077" s="136"/>
      <c r="I1077" s="136"/>
      <c r="J1077" s="136"/>
      <c r="K1077" s="136"/>
      <c r="L1077" s="136"/>
      <c r="M1077" s="136"/>
      <c r="N1077" s="136"/>
      <c r="O1077" s="136"/>
      <c r="P1077" s="136"/>
      <c r="Q1077" s="136"/>
      <c r="R1077" s="136"/>
      <c r="S1077" s="136"/>
      <c r="T1077" s="136"/>
    </row>
    <row r="1078" spans="1:20">
      <c r="A1078" s="136"/>
      <c r="B1078" s="136"/>
      <c r="C1078" s="136"/>
      <c r="D1078" s="136"/>
      <c r="E1078" s="136"/>
      <c r="F1078" s="136"/>
      <c r="G1078" s="136"/>
      <c r="H1078" s="136"/>
      <c r="I1078" s="136"/>
      <c r="J1078" s="136"/>
      <c r="K1078" s="136"/>
      <c r="L1078" s="136"/>
      <c r="M1078" s="136"/>
      <c r="N1078" s="136"/>
      <c r="O1078" s="136"/>
      <c r="P1078" s="136"/>
      <c r="Q1078" s="136"/>
      <c r="R1078" s="136"/>
      <c r="S1078" s="136"/>
      <c r="T1078" s="136"/>
    </row>
    <row r="1079" spans="1:20">
      <c r="A1079" s="136"/>
      <c r="B1079" s="136"/>
      <c r="C1079" s="136"/>
      <c r="D1079" s="136"/>
      <c r="E1079" s="136"/>
      <c r="F1079" s="136"/>
      <c r="G1079" s="136"/>
      <c r="H1079" s="136"/>
      <c r="I1079" s="136"/>
      <c r="J1079" s="136"/>
      <c r="K1079" s="136"/>
      <c r="L1079" s="136"/>
      <c r="M1079" s="136"/>
      <c r="N1079" s="136"/>
      <c r="O1079" s="136"/>
      <c r="P1079" s="136"/>
      <c r="Q1079" s="136"/>
      <c r="R1079" s="136"/>
      <c r="S1079" s="136"/>
      <c r="T1079" s="136"/>
    </row>
    <row r="1080" spans="1:20">
      <c r="A1080" s="136"/>
      <c r="B1080" s="136"/>
      <c r="C1080" s="136"/>
      <c r="D1080" s="136"/>
      <c r="E1080" s="136"/>
      <c r="F1080" s="136"/>
      <c r="G1080" s="136"/>
      <c r="H1080" s="136"/>
      <c r="I1080" s="136"/>
      <c r="J1080" s="136"/>
      <c r="K1080" s="136"/>
      <c r="L1080" s="136"/>
      <c r="M1080" s="136"/>
      <c r="N1080" s="136"/>
      <c r="O1080" s="136"/>
      <c r="P1080" s="136"/>
      <c r="Q1080" s="136"/>
      <c r="R1080" s="136"/>
      <c r="S1080" s="136"/>
      <c r="T1080" s="136"/>
    </row>
    <row r="1081" spans="1:20">
      <c r="A1081" s="136"/>
      <c r="B1081" s="136"/>
      <c r="C1081" s="136"/>
      <c r="D1081" s="136"/>
      <c r="E1081" s="136"/>
      <c r="F1081" s="136"/>
      <c r="G1081" s="136"/>
      <c r="H1081" s="136"/>
      <c r="I1081" s="136"/>
      <c r="J1081" s="136"/>
      <c r="K1081" s="136"/>
      <c r="L1081" s="136"/>
      <c r="M1081" s="136"/>
      <c r="N1081" s="136"/>
      <c r="O1081" s="136"/>
      <c r="P1081" s="136"/>
      <c r="Q1081" s="136"/>
      <c r="R1081" s="136"/>
      <c r="S1081" s="136"/>
      <c r="T1081" s="136"/>
    </row>
    <row r="1082" spans="1:20">
      <c r="A1082" s="136"/>
      <c r="B1082" s="136"/>
      <c r="C1082" s="136"/>
      <c r="D1082" s="136"/>
      <c r="E1082" s="136"/>
      <c r="F1082" s="136"/>
      <c r="G1082" s="136"/>
      <c r="H1082" s="136"/>
      <c r="I1082" s="136"/>
      <c r="J1082" s="136"/>
      <c r="K1082" s="136"/>
      <c r="L1082" s="136"/>
      <c r="M1082" s="136"/>
      <c r="N1082" s="136"/>
      <c r="O1082" s="136"/>
      <c r="P1082" s="136"/>
      <c r="Q1082" s="136"/>
      <c r="R1082" s="136"/>
      <c r="S1082" s="136"/>
      <c r="T1082" s="136"/>
    </row>
    <row r="1083" spans="1:20">
      <c r="A1083" s="136"/>
      <c r="B1083" s="136"/>
      <c r="C1083" s="136"/>
      <c r="D1083" s="136"/>
      <c r="E1083" s="136"/>
      <c r="F1083" s="136"/>
      <c r="G1083" s="136"/>
      <c r="H1083" s="136"/>
      <c r="I1083" s="136"/>
      <c r="J1083" s="136"/>
      <c r="K1083" s="136"/>
      <c r="L1083" s="136"/>
      <c r="M1083" s="136"/>
      <c r="N1083" s="136"/>
      <c r="O1083" s="136"/>
      <c r="P1083" s="136"/>
      <c r="Q1083" s="136"/>
      <c r="R1083" s="136"/>
      <c r="S1083" s="136"/>
      <c r="T1083" s="136"/>
    </row>
    <row r="1084" spans="1:20">
      <c r="A1084" s="136"/>
      <c r="B1084" s="136"/>
      <c r="C1084" s="136"/>
      <c r="D1084" s="136"/>
      <c r="E1084" s="136"/>
      <c r="F1084" s="136"/>
      <c r="G1084" s="136"/>
      <c r="H1084" s="136"/>
      <c r="I1084" s="136"/>
      <c r="J1084" s="136"/>
      <c r="K1084" s="136"/>
      <c r="L1084" s="136"/>
      <c r="M1084" s="136"/>
      <c r="N1084" s="136"/>
      <c r="O1084" s="136"/>
      <c r="P1084" s="136"/>
      <c r="Q1084" s="136"/>
      <c r="R1084" s="136"/>
      <c r="S1084" s="136"/>
      <c r="T1084" s="136"/>
    </row>
    <row r="1085" spans="1:20">
      <c r="A1085" s="136"/>
      <c r="B1085" s="136"/>
      <c r="C1085" s="136"/>
      <c r="D1085" s="136"/>
      <c r="E1085" s="136"/>
      <c r="F1085" s="136"/>
      <c r="G1085" s="136"/>
      <c r="H1085" s="136"/>
      <c r="I1085" s="136"/>
      <c r="J1085" s="136"/>
      <c r="K1085" s="136"/>
      <c r="L1085" s="136"/>
      <c r="M1085" s="136"/>
      <c r="N1085" s="136"/>
      <c r="O1085" s="136"/>
      <c r="P1085" s="136"/>
      <c r="Q1085" s="136"/>
      <c r="R1085" s="136"/>
      <c r="S1085" s="136"/>
      <c r="T1085" s="136"/>
    </row>
    <row r="1086" spans="1:20">
      <c r="A1086" s="136"/>
      <c r="B1086" s="136"/>
      <c r="C1086" s="136"/>
      <c r="D1086" s="136"/>
      <c r="E1086" s="136"/>
      <c r="F1086" s="136"/>
      <c r="G1086" s="136"/>
      <c r="H1086" s="136"/>
      <c r="I1086" s="136"/>
      <c r="J1086" s="136"/>
      <c r="K1086" s="136"/>
      <c r="L1086" s="136"/>
      <c r="M1086" s="136"/>
      <c r="N1086" s="136"/>
      <c r="O1086" s="136"/>
      <c r="P1086" s="136"/>
      <c r="Q1086" s="136"/>
      <c r="R1086" s="136"/>
      <c r="S1086" s="136"/>
      <c r="T1086" s="136"/>
    </row>
    <row r="1087" spans="1:20">
      <c r="A1087" s="136"/>
      <c r="B1087" s="136"/>
      <c r="C1087" s="136"/>
      <c r="D1087" s="136"/>
      <c r="E1087" s="136"/>
      <c r="F1087" s="136"/>
      <c r="G1087" s="136"/>
      <c r="H1087" s="136"/>
      <c r="I1087" s="136"/>
      <c r="J1087" s="136"/>
      <c r="K1087" s="136"/>
      <c r="L1087" s="136"/>
      <c r="M1087" s="136"/>
      <c r="N1087" s="136"/>
      <c r="O1087" s="136"/>
      <c r="P1087" s="136"/>
      <c r="Q1087" s="136"/>
      <c r="R1087" s="136"/>
      <c r="S1087" s="136"/>
      <c r="T1087" s="136"/>
    </row>
    <row r="1088" spans="1:20">
      <c r="A1088" s="136"/>
      <c r="B1088" s="136"/>
      <c r="C1088" s="136"/>
      <c r="D1088" s="136"/>
      <c r="E1088" s="136"/>
      <c r="F1088" s="136"/>
      <c r="G1088" s="136"/>
      <c r="H1088" s="136"/>
      <c r="I1088" s="136"/>
      <c r="J1088" s="136"/>
      <c r="K1088" s="136"/>
      <c r="L1088" s="136"/>
      <c r="M1088" s="136"/>
      <c r="N1088" s="136"/>
      <c r="O1088" s="136"/>
      <c r="P1088" s="136"/>
      <c r="Q1088" s="136"/>
      <c r="R1088" s="136"/>
      <c r="S1088" s="136"/>
      <c r="T1088" s="136"/>
    </row>
    <row r="1089" spans="1:20">
      <c r="A1089" s="136"/>
      <c r="B1089" s="136"/>
      <c r="C1089" s="136"/>
      <c r="D1089" s="136"/>
      <c r="E1089" s="136"/>
      <c r="F1089" s="136"/>
      <c r="G1089" s="136"/>
      <c r="H1089" s="136"/>
      <c r="I1089" s="136"/>
      <c r="J1089" s="136"/>
      <c r="K1089" s="136"/>
      <c r="L1089" s="136"/>
      <c r="M1089" s="136"/>
      <c r="N1089" s="136"/>
      <c r="O1089" s="136"/>
      <c r="P1089" s="136"/>
      <c r="Q1089" s="136"/>
      <c r="R1089" s="136"/>
      <c r="S1089" s="136"/>
      <c r="T1089" s="136"/>
    </row>
    <row r="1090" spans="1:20">
      <c r="A1090" s="136"/>
      <c r="B1090" s="136"/>
      <c r="C1090" s="136"/>
      <c r="D1090" s="136"/>
      <c r="E1090" s="136"/>
      <c r="F1090" s="136"/>
      <c r="G1090" s="136"/>
      <c r="H1090" s="136"/>
      <c r="I1090" s="136"/>
      <c r="J1090" s="136"/>
      <c r="K1090" s="136"/>
      <c r="L1090" s="136"/>
      <c r="M1090" s="136"/>
      <c r="N1090" s="136"/>
      <c r="O1090" s="136"/>
      <c r="P1090" s="136"/>
      <c r="Q1090" s="136"/>
      <c r="R1090" s="136"/>
      <c r="S1090" s="136"/>
      <c r="T1090" s="136"/>
    </row>
    <row r="1091" spans="1:20">
      <c r="A1091" s="136"/>
      <c r="B1091" s="136"/>
      <c r="C1091" s="136"/>
      <c r="D1091" s="136"/>
      <c r="E1091" s="136"/>
      <c r="F1091" s="136"/>
      <c r="G1091" s="136"/>
      <c r="H1091" s="136"/>
      <c r="I1091" s="136"/>
      <c r="J1091" s="136"/>
      <c r="K1091" s="136"/>
      <c r="L1091" s="136"/>
      <c r="M1091" s="136"/>
      <c r="N1091" s="136"/>
      <c r="O1091" s="136"/>
      <c r="P1091" s="136"/>
      <c r="Q1091" s="136"/>
      <c r="R1091" s="136"/>
      <c r="S1091" s="136"/>
      <c r="T1091" s="136"/>
    </row>
    <row r="1092" spans="1:20">
      <c r="A1092" s="136"/>
      <c r="B1092" s="136"/>
      <c r="C1092" s="136"/>
      <c r="D1092" s="136"/>
      <c r="E1092" s="136"/>
      <c r="F1092" s="136"/>
      <c r="G1092" s="136"/>
      <c r="H1092" s="136"/>
      <c r="I1092" s="136"/>
      <c r="J1092" s="136"/>
      <c r="K1092" s="136"/>
      <c r="L1092" s="136"/>
      <c r="M1092" s="136"/>
      <c r="N1092" s="136"/>
      <c r="O1092" s="136"/>
      <c r="P1092" s="136"/>
      <c r="Q1092" s="136"/>
      <c r="R1092" s="136"/>
      <c r="S1092" s="136"/>
      <c r="T1092" s="136"/>
    </row>
    <row r="1093" spans="1:20">
      <c r="A1093" s="136"/>
      <c r="B1093" s="136"/>
      <c r="C1093" s="136"/>
      <c r="D1093" s="136"/>
      <c r="E1093" s="136"/>
      <c r="F1093" s="136"/>
      <c r="G1093" s="136"/>
      <c r="H1093" s="136"/>
      <c r="I1093" s="136"/>
      <c r="J1093" s="136"/>
      <c r="K1093" s="136"/>
      <c r="L1093" s="136"/>
      <c r="M1093" s="136"/>
      <c r="N1093" s="136"/>
      <c r="O1093" s="136"/>
      <c r="P1093" s="136"/>
      <c r="Q1093" s="136"/>
      <c r="R1093" s="136"/>
      <c r="S1093" s="136"/>
      <c r="T1093" s="136"/>
    </row>
    <row r="1094" spans="1:20">
      <c r="A1094" s="136"/>
      <c r="B1094" s="136"/>
      <c r="C1094" s="136"/>
      <c r="D1094" s="136"/>
      <c r="E1094" s="136"/>
      <c r="F1094" s="136"/>
      <c r="G1094" s="136"/>
      <c r="H1094" s="136"/>
      <c r="I1094" s="136"/>
      <c r="J1094" s="136"/>
      <c r="K1094" s="136"/>
      <c r="L1094" s="136"/>
      <c r="M1094" s="136"/>
      <c r="N1094" s="136"/>
      <c r="O1094" s="136"/>
      <c r="P1094" s="136"/>
      <c r="Q1094" s="136"/>
      <c r="R1094" s="136"/>
      <c r="S1094" s="136"/>
      <c r="T1094" s="136"/>
    </row>
    <row r="1095" spans="1:20">
      <c r="A1095" s="136"/>
      <c r="B1095" s="136"/>
      <c r="C1095" s="136"/>
      <c r="D1095" s="136"/>
      <c r="E1095" s="136"/>
      <c r="F1095" s="136"/>
      <c r="G1095" s="136"/>
      <c r="H1095" s="136"/>
      <c r="I1095" s="136"/>
      <c r="J1095" s="136"/>
      <c r="K1095" s="136"/>
      <c r="L1095" s="136"/>
      <c r="M1095" s="136"/>
      <c r="N1095" s="136"/>
      <c r="O1095" s="136"/>
      <c r="P1095" s="136"/>
      <c r="Q1095" s="136"/>
      <c r="R1095" s="136"/>
      <c r="S1095" s="136"/>
      <c r="T1095" s="136"/>
    </row>
    <row r="1096" spans="1:20">
      <c r="A1096" s="136"/>
      <c r="B1096" s="136"/>
      <c r="C1096" s="136"/>
      <c r="D1096" s="136"/>
      <c r="E1096" s="136"/>
      <c r="F1096" s="136"/>
      <c r="G1096" s="136"/>
      <c r="H1096" s="136"/>
      <c r="I1096" s="136"/>
      <c r="J1096" s="136"/>
      <c r="K1096" s="136"/>
      <c r="L1096" s="136"/>
      <c r="M1096" s="136"/>
      <c r="N1096" s="136"/>
      <c r="O1096" s="136"/>
      <c r="P1096" s="136"/>
      <c r="Q1096" s="136"/>
      <c r="R1096" s="136"/>
      <c r="S1096" s="136"/>
      <c r="T1096" s="136"/>
    </row>
    <row r="1097" spans="1:20">
      <c r="A1097" s="136"/>
      <c r="B1097" s="136"/>
      <c r="C1097" s="136"/>
      <c r="D1097" s="136"/>
      <c r="E1097" s="136"/>
      <c r="F1097" s="136"/>
      <c r="G1097" s="136"/>
      <c r="H1097" s="136"/>
      <c r="I1097" s="136"/>
      <c r="J1097" s="136"/>
      <c r="K1097" s="136"/>
      <c r="L1097" s="136"/>
      <c r="M1097" s="136"/>
      <c r="N1097" s="136"/>
      <c r="O1097" s="136"/>
      <c r="P1097" s="136"/>
      <c r="Q1097" s="136"/>
      <c r="R1097" s="136"/>
      <c r="S1097" s="136"/>
      <c r="T1097" s="136"/>
    </row>
  </sheetData>
  <mergeCells count="65">
    <mergeCell ref="J10:L10"/>
    <mergeCell ref="J81:L81"/>
    <mergeCell ref="J135:L135"/>
    <mergeCell ref="J187:L187"/>
    <mergeCell ref="J240:L240"/>
    <mergeCell ref="A132:P132"/>
    <mergeCell ref="N134:P135"/>
    <mergeCell ref="A235:P235"/>
    <mergeCell ref="A236:P236"/>
    <mergeCell ref="N412:P413"/>
    <mergeCell ref="A452:P452"/>
    <mergeCell ref="A453:P453"/>
    <mergeCell ref="A454:P454"/>
    <mergeCell ref="N456:P457"/>
    <mergeCell ref="J413:L413"/>
    <mergeCell ref="J457:L457"/>
    <mergeCell ref="A408:P408"/>
    <mergeCell ref="A409:P409"/>
    <mergeCell ref="A410:P410"/>
    <mergeCell ref="A354:P354"/>
    <mergeCell ref="A355:P355"/>
    <mergeCell ref="A356:P356"/>
    <mergeCell ref="J359:L359"/>
    <mergeCell ref="N314:P315"/>
    <mergeCell ref="A182:P182"/>
    <mergeCell ref="A183:P183"/>
    <mergeCell ref="A184:P184"/>
    <mergeCell ref="N186:P187"/>
    <mergeCell ref="J315:L315"/>
    <mergeCell ref="A5:P5"/>
    <mergeCell ref="A6:P6"/>
    <mergeCell ref="A7:P7"/>
    <mergeCell ref="N358:P359"/>
    <mergeCell ref="N239:P240"/>
    <mergeCell ref="N9:P10"/>
    <mergeCell ref="N80:P81"/>
    <mergeCell ref="A76:P76"/>
    <mergeCell ref="A77:P77"/>
    <mergeCell ref="A78:P78"/>
    <mergeCell ref="A130:P130"/>
    <mergeCell ref="A237:P237"/>
    <mergeCell ref="A310:P310"/>
    <mergeCell ref="A311:P311"/>
    <mergeCell ref="A312:P312"/>
    <mergeCell ref="A131:P131"/>
    <mergeCell ref="A515:P515"/>
    <mergeCell ref="A516:P516"/>
    <mergeCell ref="A517:P517"/>
    <mergeCell ref="N519:P520"/>
    <mergeCell ref="A570:P570"/>
    <mergeCell ref="J520:L520"/>
    <mergeCell ref="A571:P571"/>
    <mergeCell ref="A572:P572"/>
    <mergeCell ref="N574:P575"/>
    <mergeCell ref="A623:P623"/>
    <mergeCell ref="A624:P624"/>
    <mergeCell ref="J575:L575"/>
    <mergeCell ref="N693:P694"/>
    <mergeCell ref="A625:P625"/>
    <mergeCell ref="N627:P628"/>
    <mergeCell ref="A689:P689"/>
    <mergeCell ref="A690:P690"/>
    <mergeCell ref="A691:P691"/>
    <mergeCell ref="J628:L628"/>
    <mergeCell ref="J694:L694"/>
  </mergeCells>
  <printOptions horizontalCentered="1"/>
  <pageMargins left="0.7" right="0.7" top="0.75" bottom="0.75" header="0.3" footer="0.3"/>
  <pageSetup scale="66" fitToHeight="0" orientation="portrait" horizontalDpi="1200" verticalDpi="1200" r:id="rId1"/>
  <headerFooter alignWithMargins="0">
    <oddHeader>&amp;RFiled: 2024-02-16
EB-2022-0200
Rate Order
Working Papers
Schedule 20
Page &amp;P of &amp;N</oddHeader>
  </headerFooter>
  <rowBreaks count="12" manualBreakCount="12">
    <brk id="71" max="15" man="1"/>
    <brk id="125" max="15" man="1"/>
    <brk id="177" max="15" man="1"/>
    <brk id="230" max="15" man="1"/>
    <brk id="305" max="16383" man="1"/>
    <brk id="349" max="16383" man="1"/>
    <brk id="403" max="16383" man="1"/>
    <brk id="447" max="16383" man="1"/>
    <brk id="510" max="16383" man="1"/>
    <brk id="565" max="16383" man="1"/>
    <brk id="616" max="15" man="1"/>
    <brk id="6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65C78-9BA3-44E0-BE9F-C8EDCFA9B0EC}">
  <dimension ref="A1:V387"/>
  <sheetViews>
    <sheetView tabSelected="1" view="pageBreakPreview" zoomScaleNormal="80" zoomScaleSheetLayoutView="100" workbookViewId="0">
      <selection activeCell="I58" sqref="I58"/>
    </sheetView>
  </sheetViews>
  <sheetFormatPr defaultColWidth="9" defaultRowHeight="12.75" customHeight="1"/>
  <cols>
    <col min="1" max="1" width="3.75" style="810" customWidth="1"/>
    <col min="2" max="2" width="4.625" style="810" customWidth="1"/>
    <col min="3" max="3" width="1.5" style="810" customWidth="1"/>
    <col min="4" max="4" width="69.25" style="810" customWidth="1"/>
    <col min="5" max="5" width="1.5" style="810" customWidth="1"/>
    <col min="6" max="6" width="12.75" style="810" customWidth="1"/>
    <col min="7" max="7" width="1.5" style="810" customWidth="1"/>
    <col min="8" max="8" width="12.75" style="810" customWidth="1"/>
    <col min="9" max="9" width="18.75" style="810" customWidth="1"/>
    <col min="10" max="10" width="13.75" style="810" customWidth="1"/>
    <col min="11" max="11" width="1.75" style="810" customWidth="1"/>
    <col min="12" max="12" width="13.75" style="810" customWidth="1"/>
    <col min="13" max="13" width="1.75" style="810" customWidth="1"/>
    <col min="14" max="14" width="32.125" style="810" customWidth="1"/>
    <col min="15" max="15" width="23" style="810" customWidth="1"/>
    <col min="16" max="16" width="9" style="810"/>
    <col min="17" max="17" width="28.125" style="810" customWidth="1"/>
    <col min="18" max="16384" width="9" style="810"/>
  </cols>
  <sheetData>
    <row r="1" spans="1:17" ht="12.75" customHeight="1">
      <c r="A1" s="808"/>
      <c r="B1" s="809"/>
      <c r="C1" s="809"/>
      <c r="D1" s="809"/>
      <c r="E1" s="809"/>
      <c r="F1" s="809"/>
      <c r="G1" s="809"/>
      <c r="H1" s="809"/>
      <c r="I1" s="809"/>
      <c r="J1" s="808"/>
      <c r="K1" s="808"/>
      <c r="L1" s="808"/>
      <c r="M1" s="808"/>
      <c r="N1" s="808"/>
      <c r="O1" s="808"/>
      <c r="P1" s="808"/>
      <c r="Q1" s="808"/>
    </row>
    <row r="2" spans="1:17" ht="12.75" customHeight="1">
      <c r="A2" s="808"/>
      <c r="B2" s="809"/>
      <c r="C2" s="809"/>
      <c r="D2" s="809"/>
      <c r="E2" s="809"/>
      <c r="F2" s="809"/>
      <c r="G2" s="809"/>
      <c r="H2" s="809"/>
      <c r="I2" s="809"/>
      <c r="J2" s="808"/>
      <c r="K2" s="808"/>
      <c r="L2" s="808"/>
      <c r="M2" s="808"/>
      <c r="N2" s="808"/>
      <c r="O2" s="808"/>
      <c r="P2" s="808"/>
      <c r="Q2" s="808"/>
    </row>
    <row r="3" spans="1:17" ht="12.75" customHeight="1">
      <c r="A3" s="2"/>
      <c r="B3" s="811"/>
      <c r="C3" s="4"/>
      <c r="D3" s="811"/>
      <c r="E3" s="811"/>
      <c r="F3" s="811"/>
      <c r="G3" s="811"/>
      <c r="H3" s="811"/>
      <c r="I3" s="811"/>
      <c r="J3" s="808"/>
      <c r="K3" s="4"/>
      <c r="L3" s="4"/>
      <c r="M3" s="2"/>
      <c r="N3" s="808"/>
      <c r="O3" s="808"/>
      <c r="P3" s="808"/>
      <c r="Q3" s="808"/>
    </row>
    <row r="4" spans="1:17" ht="12.75" customHeight="1">
      <c r="A4" s="2"/>
      <c r="B4" s="1166" t="s">
        <v>680</v>
      </c>
      <c r="C4" s="1166"/>
      <c r="D4" s="1166"/>
      <c r="E4" s="1166"/>
      <c r="F4" s="1166"/>
      <c r="G4" s="1166"/>
      <c r="H4" s="1166"/>
      <c r="I4" s="811"/>
      <c r="J4" s="808"/>
      <c r="K4" s="4"/>
      <c r="L4" s="4"/>
      <c r="M4" s="2"/>
      <c r="N4" s="808"/>
      <c r="O4" s="808"/>
      <c r="P4" s="808"/>
      <c r="Q4" s="808"/>
    </row>
    <row r="5" spans="1:17" ht="12.75" customHeight="1">
      <c r="A5" s="2"/>
      <c r="B5" s="6"/>
      <c r="C5" s="6"/>
      <c r="D5" s="6"/>
      <c r="E5" s="6"/>
      <c r="F5" s="1"/>
      <c r="G5" s="2"/>
      <c r="H5" s="1"/>
      <c r="I5" s="2"/>
      <c r="K5" s="808"/>
      <c r="L5" s="808"/>
      <c r="M5" s="2"/>
      <c r="N5" s="808"/>
      <c r="O5" s="808"/>
      <c r="P5" s="808"/>
      <c r="Q5" s="808"/>
    </row>
    <row r="6" spans="1:17" ht="12.75" customHeight="1">
      <c r="A6" s="2"/>
      <c r="B6" s="6" t="s">
        <v>56</v>
      </c>
      <c r="C6" s="58"/>
      <c r="D6" s="58"/>
      <c r="E6" s="58"/>
      <c r="F6" s="1"/>
      <c r="G6" s="2"/>
      <c r="H6" s="6"/>
      <c r="I6" s="2"/>
      <c r="J6" s="6"/>
      <c r="K6" s="808"/>
      <c r="L6" s="808"/>
      <c r="M6" s="2"/>
      <c r="N6" s="2"/>
      <c r="O6" s="2"/>
      <c r="P6" s="2"/>
      <c r="Q6" s="2"/>
    </row>
    <row r="7" spans="1:17" ht="12.75" customHeight="1">
      <c r="A7" s="2"/>
      <c r="B7" s="237" t="s">
        <v>57</v>
      </c>
      <c r="C7" s="58"/>
      <c r="D7" s="59" t="s">
        <v>194</v>
      </c>
      <c r="E7" s="237"/>
      <c r="F7" s="7"/>
      <c r="G7" s="2"/>
      <c r="H7" s="812" t="s">
        <v>525</v>
      </c>
      <c r="I7" s="2"/>
      <c r="J7" s="813"/>
      <c r="K7" s="808"/>
      <c r="L7" s="808"/>
      <c r="M7" s="2"/>
      <c r="N7" s="2"/>
      <c r="O7" s="2"/>
      <c r="P7" s="2"/>
      <c r="Q7" s="2"/>
    </row>
    <row r="8" spans="1:17" ht="12.75" customHeight="1">
      <c r="A8" s="2"/>
      <c r="B8" s="6"/>
      <c r="C8" s="58"/>
      <c r="D8" s="58"/>
      <c r="E8" s="6"/>
      <c r="F8" s="1"/>
      <c r="G8" s="6"/>
      <c r="H8" s="6" t="s">
        <v>9</v>
      </c>
      <c r="I8" s="6"/>
      <c r="J8" s="6"/>
      <c r="K8" s="6"/>
      <c r="L8" s="6"/>
      <c r="M8" s="6"/>
      <c r="N8" s="2"/>
      <c r="O8" s="2"/>
      <c r="P8" s="2"/>
      <c r="Q8" s="2"/>
    </row>
    <row r="9" spans="1:17" ht="12.75" customHeight="1">
      <c r="A9" s="2"/>
      <c r="B9" s="6"/>
      <c r="C9" s="58"/>
      <c r="D9" s="58"/>
      <c r="E9" s="6"/>
      <c r="F9" s="6"/>
      <c r="G9" s="6"/>
      <c r="H9" s="6"/>
      <c r="I9" s="2"/>
      <c r="J9" s="814"/>
      <c r="K9" s="6"/>
      <c r="L9" s="815"/>
      <c r="M9" s="6"/>
      <c r="N9" s="2"/>
      <c r="O9" s="2"/>
      <c r="P9" s="2"/>
      <c r="Q9" s="2"/>
    </row>
    <row r="10" spans="1:17" ht="12.75" customHeight="1">
      <c r="A10" s="2"/>
      <c r="B10" s="6"/>
      <c r="C10" s="58"/>
      <c r="D10" s="9" t="s">
        <v>681</v>
      </c>
      <c r="E10" s="6"/>
      <c r="F10" s="6"/>
      <c r="G10" s="6"/>
      <c r="H10" s="6"/>
      <c r="I10" s="2"/>
      <c r="J10" s="814"/>
      <c r="K10" s="6"/>
      <c r="L10" s="6"/>
      <c r="M10" s="6"/>
      <c r="N10" s="2"/>
      <c r="O10" s="2"/>
      <c r="P10" s="2"/>
      <c r="Q10" s="2"/>
    </row>
    <row r="11" spans="1:17" ht="12.75" customHeight="1">
      <c r="A11" s="2"/>
      <c r="B11" s="6"/>
      <c r="C11" s="58"/>
      <c r="D11" s="9"/>
      <c r="E11" s="6"/>
      <c r="F11" s="6"/>
      <c r="G11" s="6"/>
      <c r="H11" s="6"/>
      <c r="I11" s="2"/>
      <c r="J11" s="814"/>
      <c r="K11" s="6"/>
      <c r="L11" s="6"/>
      <c r="M11" s="6"/>
      <c r="N11" s="2"/>
      <c r="O11" s="2"/>
      <c r="P11" s="2"/>
      <c r="Q11" s="2"/>
    </row>
    <row r="12" spans="1:17" ht="12.75" customHeight="1">
      <c r="A12" s="2"/>
      <c r="B12" s="6"/>
      <c r="C12" s="58"/>
      <c r="D12" s="10" t="s">
        <v>682</v>
      </c>
      <c r="E12" s="6"/>
      <c r="F12" s="6"/>
      <c r="G12" s="6"/>
      <c r="H12" s="6"/>
      <c r="I12" s="2"/>
      <c r="J12" s="816"/>
      <c r="K12" s="6"/>
      <c r="L12" s="6"/>
      <c r="M12" s="6"/>
      <c r="N12" s="2"/>
      <c r="O12" s="2"/>
      <c r="P12" s="2"/>
      <c r="Q12" s="2"/>
    </row>
    <row r="13" spans="1:17" ht="12.75" customHeight="1">
      <c r="A13" s="2"/>
      <c r="B13" s="6">
        <v>1</v>
      </c>
      <c r="C13" s="58"/>
      <c r="D13" s="12" t="s">
        <v>683</v>
      </c>
      <c r="E13" s="6"/>
      <c r="F13" s="817">
        <v>0.20849999999999999</v>
      </c>
      <c r="G13" s="6"/>
      <c r="H13" s="818"/>
      <c r="I13" s="818"/>
      <c r="J13" s="819"/>
      <c r="K13" s="818"/>
      <c r="L13" s="808"/>
      <c r="M13" s="818"/>
      <c r="N13" s="2"/>
      <c r="O13" s="2"/>
      <c r="P13" s="2"/>
      <c r="Q13" s="2"/>
    </row>
    <row r="14" spans="1:17" ht="15.6" customHeight="1">
      <c r="A14" s="2"/>
      <c r="B14" s="6">
        <f>MAX($B13:B$13)+1</f>
        <v>2</v>
      </c>
      <c r="C14" s="58"/>
      <c r="D14" s="12" t="s">
        <v>684</v>
      </c>
      <c r="E14" s="6"/>
      <c r="F14" s="820">
        <v>5000630.9587334236</v>
      </c>
      <c r="G14" s="6"/>
      <c r="H14" s="818"/>
      <c r="I14" s="818"/>
      <c r="J14" s="819"/>
      <c r="K14" s="818"/>
      <c r="L14" s="808"/>
      <c r="M14" s="818"/>
      <c r="N14" s="2"/>
      <c r="O14" s="2"/>
      <c r="P14" s="2"/>
      <c r="Q14" s="2"/>
    </row>
    <row r="15" spans="1:17" ht="12.75" customHeight="1">
      <c r="A15" s="2"/>
      <c r="B15" s="6">
        <f>MAX($B$13:B14)+1</f>
        <v>3</v>
      </c>
      <c r="C15" s="58"/>
      <c r="D15" s="821" t="s">
        <v>685</v>
      </c>
      <c r="E15" s="809"/>
      <c r="F15" s="728">
        <f>F13*F14/100</f>
        <v>10426.315548959188</v>
      </c>
      <c r="G15" s="6"/>
      <c r="H15" s="818"/>
      <c r="I15" s="818"/>
      <c r="J15" s="822"/>
      <c r="K15" s="818"/>
      <c r="L15" s="808"/>
      <c r="M15" s="818"/>
      <c r="N15" s="2"/>
      <c r="O15" s="2"/>
      <c r="P15" s="2"/>
      <c r="Q15" s="2"/>
    </row>
    <row r="16" spans="1:17" ht="12.75" customHeight="1">
      <c r="A16" s="2"/>
      <c r="B16" s="6">
        <f>MAX($B$13:B15)+1</f>
        <v>4</v>
      </c>
      <c r="C16" s="58"/>
      <c r="D16" s="821" t="s">
        <v>686</v>
      </c>
      <c r="E16" s="809"/>
      <c r="F16" s="823">
        <v>2.7378366824424148E-2</v>
      </c>
      <c r="G16" s="6"/>
      <c r="H16" s="818"/>
      <c r="I16" s="818"/>
      <c r="J16" s="824"/>
      <c r="K16" s="818"/>
      <c r="L16" s="825"/>
      <c r="M16" s="818"/>
      <c r="N16" s="2"/>
      <c r="O16" s="2"/>
      <c r="P16" s="2"/>
      <c r="Q16" s="2"/>
    </row>
    <row r="17" spans="1:22" ht="12.75" customHeight="1">
      <c r="A17" s="2"/>
      <c r="B17" s="6">
        <f>MAX($B$13:B16)+1</f>
        <v>5</v>
      </c>
      <c r="C17" s="58"/>
      <c r="D17" s="821" t="s">
        <v>687</v>
      </c>
      <c r="E17" s="809"/>
      <c r="F17" s="826">
        <f>F15* (1+F16)</f>
        <v>10711.77104068579</v>
      </c>
      <c r="G17" s="6"/>
      <c r="H17" s="818"/>
      <c r="I17" s="818"/>
      <c r="J17" s="822"/>
      <c r="K17" s="818"/>
      <c r="L17" s="808"/>
      <c r="M17" s="818"/>
      <c r="N17" s="2"/>
      <c r="O17" s="2"/>
      <c r="P17" s="2"/>
      <c r="Q17" s="2"/>
    </row>
    <row r="18" spans="1:22" ht="12.75" customHeight="1">
      <c r="A18" s="2"/>
      <c r="B18" s="6">
        <f>MAX($B$13:B17)+1</f>
        <v>6</v>
      </c>
      <c r="C18" s="58"/>
      <c r="D18" s="10" t="str">
        <f>"Gas Supply Admin Charge Unit Rate (line "&amp;B17&amp;" / line " &amp;B14 &amp;" x 100)"</f>
        <v>Gas Supply Admin Charge Unit Rate (line 5 / line 2 x 100)</v>
      </c>
      <c r="E18" s="6"/>
      <c r="F18" s="818">
        <f>F17/F14*100</f>
        <v>0.21420838948289245</v>
      </c>
      <c r="G18" s="6"/>
      <c r="H18" s="827">
        <f>F18</f>
        <v>0.21420838948289245</v>
      </c>
      <c r="I18" s="818"/>
      <c r="J18" s="818"/>
      <c r="K18" s="818"/>
      <c r="L18" s="818"/>
      <c r="M18" s="818"/>
      <c r="N18" s="2"/>
      <c r="O18" s="2"/>
      <c r="P18" s="2"/>
      <c r="Q18" s="2"/>
    </row>
    <row r="19" spans="1:22" ht="12.75" customHeight="1">
      <c r="A19" s="2"/>
      <c r="B19" s="6"/>
      <c r="C19" s="58"/>
      <c r="D19" s="10"/>
      <c r="E19" s="6"/>
      <c r="F19" s="818"/>
      <c r="G19" s="6"/>
      <c r="H19" s="809"/>
      <c r="I19" s="818"/>
      <c r="J19" s="818"/>
      <c r="K19" s="818"/>
      <c r="L19" s="818"/>
      <c r="M19" s="818"/>
      <c r="N19" s="2"/>
      <c r="O19" s="2"/>
      <c r="P19" s="2"/>
      <c r="Q19" s="2"/>
    </row>
    <row r="20" spans="1:22" ht="12.75" customHeight="1">
      <c r="A20" s="2"/>
      <c r="B20" s="6"/>
      <c r="C20" s="58"/>
      <c r="D20" s="9" t="s">
        <v>688</v>
      </c>
      <c r="E20" s="6"/>
      <c r="F20" s="61"/>
      <c r="G20" s="6"/>
      <c r="H20" s="818"/>
      <c r="I20" s="818"/>
      <c r="J20" s="818"/>
      <c r="K20" s="818"/>
      <c r="L20" s="818"/>
      <c r="M20" s="818"/>
      <c r="N20" s="2"/>
      <c r="O20" s="2"/>
      <c r="P20" s="2"/>
      <c r="Q20" s="2"/>
    </row>
    <row r="21" spans="1:22" ht="12.75" customHeight="1">
      <c r="A21" s="2"/>
      <c r="B21" s="6"/>
      <c r="C21" s="58"/>
      <c r="D21" s="732"/>
      <c r="E21" s="6"/>
      <c r="F21" s="61"/>
      <c r="G21" s="6"/>
      <c r="H21" s="818"/>
      <c r="I21" s="818"/>
      <c r="J21" s="818"/>
      <c r="K21" s="818"/>
      <c r="L21" s="818"/>
      <c r="M21" s="818"/>
      <c r="N21" s="2"/>
      <c r="O21" s="2"/>
      <c r="P21" s="2"/>
      <c r="Q21" s="2"/>
    </row>
    <row r="22" spans="1:22" ht="12.75" customHeight="1">
      <c r="A22" s="2"/>
      <c r="B22" s="6"/>
      <c r="C22" s="58"/>
      <c r="D22" s="828" t="s">
        <v>689</v>
      </c>
      <c r="E22" s="6"/>
      <c r="F22" s="61"/>
      <c r="G22" s="6"/>
      <c r="H22" s="818"/>
      <c r="I22" s="818"/>
      <c r="J22" s="818"/>
      <c r="K22" s="818"/>
      <c r="L22" s="818"/>
      <c r="M22" s="818"/>
      <c r="N22" s="2"/>
      <c r="O22" s="2"/>
      <c r="P22" s="2"/>
      <c r="Q22" s="2"/>
    </row>
    <row r="23" spans="1:22" ht="12.75" customHeight="1">
      <c r="A23" s="2"/>
      <c r="B23" s="6">
        <f>MAX($B$13:B22)+1</f>
        <v>7</v>
      </c>
      <c r="C23" s="58"/>
      <c r="D23" s="821" t="s">
        <v>690</v>
      </c>
      <c r="E23" s="829"/>
      <c r="F23" s="830">
        <v>8.9999999999999993E-3</v>
      </c>
      <c r="G23" s="6"/>
      <c r="H23" s="818"/>
      <c r="I23" s="818"/>
      <c r="K23" s="818"/>
      <c r="L23" s="818"/>
      <c r="M23" s="818"/>
      <c r="N23" s="2"/>
      <c r="O23" s="2"/>
      <c r="P23" s="2"/>
      <c r="Q23" s="2"/>
    </row>
    <row r="24" spans="1:22" ht="12.75" customHeight="1">
      <c r="A24" s="2"/>
      <c r="B24" s="6">
        <f>MAX($B$13:B23)+1</f>
        <v>8</v>
      </c>
      <c r="C24" s="58"/>
      <c r="D24" s="821" t="s">
        <v>691</v>
      </c>
      <c r="E24" s="6"/>
      <c r="F24" s="831">
        <v>1.9826537794524835E-3</v>
      </c>
      <c r="G24" s="6"/>
      <c r="H24" s="818"/>
      <c r="I24" s="818"/>
      <c r="J24" s="818"/>
      <c r="K24" s="818"/>
      <c r="L24" s="818"/>
      <c r="M24" s="818"/>
      <c r="N24" s="2"/>
      <c r="O24" s="2"/>
      <c r="P24" s="2"/>
      <c r="Q24" s="2"/>
    </row>
    <row r="25" spans="1:22" ht="12.75" customHeight="1">
      <c r="A25" s="2"/>
      <c r="B25" s="6">
        <f>MAX($B$13:B24)+1</f>
        <v>9</v>
      </c>
      <c r="C25" s="58"/>
      <c r="D25" s="10" t="str">
        <f>"2024 Rate 125 Transportation Fuel Ratio"</f>
        <v>2024 Rate 125 Transportation Fuel Ratio</v>
      </c>
      <c r="E25" s="6"/>
      <c r="F25" s="832">
        <f>F23+F24</f>
        <v>1.0982653779452484E-2</v>
      </c>
      <c r="G25" s="6"/>
      <c r="H25" s="833">
        <f>F25</f>
        <v>1.0982653779452484E-2</v>
      </c>
      <c r="I25" s="818"/>
      <c r="J25" s="818"/>
      <c r="K25" s="818"/>
      <c r="L25" s="834"/>
      <c r="M25" s="818"/>
      <c r="N25" s="2"/>
      <c r="O25" s="2"/>
      <c r="P25" s="2"/>
      <c r="Q25" s="2"/>
    </row>
    <row r="26" spans="1:22" ht="12.75" customHeight="1">
      <c r="A26" s="2"/>
      <c r="B26" s="6"/>
      <c r="C26" s="58"/>
      <c r="D26" s="732" t="s">
        <v>692</v>
      </c>
      <c r="E26" s="6"/>
      <c r="F26" s="806"/>
      <c r="G26" s="6"/>
      <c r="H26" s="818"/>
      <c r="I26" s="818"/>
      <c r="J26" s="818"/>
      <c r="K26" s="818"/>
      <c r="L26" s="818"/>
      <c r="M26" s="818"/>
      <c r="N26" s="2"/>
      <c r="O26" s="2"/>
      <c r="P26" s="2"/>
      <c r="Q26" s="2"/>
    </row>
    <row r="27" spans="1:22" ht="12.75" customHeight="1">
      <c r="A27" s="2"/>
      <c r="B27" s="6"/>
      <c r="C27" s="58"/>
      <c r="D27" s="828" t="s">
        <v>693</v>
      </c>
      <c r="E27" s="6"/>
      <c r="F27" s="61"/>
      <c r="G27" s="6"/>
      <c r="H27" s="818"/>
      <c r="I27" s="818"/>
      <c r="J27" s="818"/>
      <c r="K27" s="818"/>
      <c r="L27" s="835"/>
      <c r="M27" s="818"/>
      <c r="N27" s="2"/>
      <c r="O27" s="2"/>
      <c r="P27" s="2"/>
      <c r="Q27" s="2"/>
    </row>
    <row r="28" spans="1:22" ht="12.75" customHeight="1">
      <c r="A28" s="2"/>
      <c r="B28" s="6">
        <f>MAX($B$13:B27)+1</f>
        <v>10</v>
      </c>
      <c r="C28" s="58"/>
      <c r="D28" s="12" t="s">
        <v>690</v>
      </c>
      <c r="E28" s="6"/>
      <c r="F28" s="832">
        <v>3.5799999999999998E-3</v>
      </c>
      <c r="G28" s="6"/>
      <c r="H28" s="818"/>
      <c r="I28" s="818"/>
      <c r="K28" s="818"/>
      <c r="L28" s="832"/>
      <c r="M28" s="818"/>
      <c r="N28" s="2"/>
      <c r="O28" s="2"/>
      <c r="P28" s="2"/>
      <c r="Q28" s="836"/>
    </row>
    <row r="29" spans="1:22" ht="12.75" customHeight="1">
      <c r="A29" s="2"/>
      <c r="B29" s="6">
        <f>MAX($B$13:B28)+1</f>
        <v>11</v>
      </c>
      <c r="C29" s="58"/>
      <c r="D29" s="821" t="s">
        <v>691</v>
      </c>
      <c r="E29" s="6"/>
      <c r="F29" s="832">
        <v>3.0490986539923883E-4</v>
      </c>
      <c r="G29" s="6"/>
      <c r="H29" s="818"/>
      <c r="I29" s="818"/>
      <c r="J29" s="837"/>
      <c r="K29" s="818"/>
      <c r="L29" s="1167"/>
      <c r="M29" s="1167"/>
      <c r="N29" s="1167"/>
      <c r="O29" s="1167"/>
      <c r="P29" s="1167"/>
      <c r="Q29" s="1167"/>
      <c r="R29" s="1167"/>
      <c r="S29" s="1167"/>
      <c r="T29" s="1167"/>
      <c r="U29" s="1167"/>
      <c r="V29" s="1167"/>
    </row>
    <row r="30" spans="1:22" ht="12.75" customHeight="1">
      <c r="A30" s="2"/>
      <c r="B30" s="6">
        <f>MAX($B$13:B29)+1</f>
        <v>12</v>
      </c>
      <c r="C30" s="58"/>
      <c r="D30" s="821" t="s">
        <v>694</v>
      </c>
      <c r="E30" s="6"/>
      <c r="F30" s="838">
        <v>3.0926906880293127E-4</v>
      </c>
      <c r="G30" s="6"/>
      <c r="H30" s="818"/>
      <c r="I30" s="818"/>
      <c r="J30" s="837"/>
      <c r="K30" s="818"/>
      <c r="L30" s="1167"/>
      <c r="M30" s="1167"/>
      <c r="N30" s="1167"/>
      <c r="O30" s="1167"/>
      <c r="P30" s="1167"/>
      <c r="Q30" s="1167"/>
      <c r="R30" s="1167"/>
      <c r="S30" s="1167"/>
      <c r="T30" s="1167"/>
      <c r="U30" s="1167"/>
      <c r="V30" s="1167"/>
    </row>
    <row r="31" spans="1:22" ht="12.75" customHeight="1">
      <c r="A31" s="2"/>
      <c r="B31" s="6">
        <f>MAX($B$13:B30)+1</f>
        <v>13</v>
      </c>
      <c r="C31" s="58"/>
      <c r="D31" s="10" t="str">
        <f xml:space="preserve"> "2024 Rate T1 Transportation Fuel Ratio"</f>
        <v>2024 Rate T1 Transportation Fuel Ratio</v>
      </c>
      <c r="E31" s="6"/>
      <c r="F31" s="839">
        <f>F28+F29+F30</f>
        <v>4.1941789342021703E-3</v>
      </c>
      <c r="G31" s="6"/>
      <c r="H31" s="833">
        <f>F31</f>
        <v>4.1941789342021703E-3</v>
      </c>
      <c r="I31" s="818"/>
      <c r="J31" s="818"/>
      <c r="K31" s="818"/>
      <c r="L31" s="1167"/>
      <c r="M31" s="1167"/>
      <c r="N31" s="1167"/>
      <c r="O31" s="1167"/>
      <c r="P31" s="1167"/>
      <c r="Q31" s="1167"/>
      <c r="R31" s="1167"/>
      <c r="S31" s="1167"/>
      <c r="T31" s="1167"/>
      <c r="U31" s="1167"/>
      <c r="V31" s="1167"/>
    </row>
    <row r="32" spans="1:22" ht="12.75" customHeight="1">
      <c r="A32" s="2"/>
      <c r="B32" s="6"/>
      <c r="C32" s="58"/>
      <c r="D32" s="821"/>
      <c r="E32" s="6"/>
      <c r="F32" s="830"/>
      <c r="G32" s="6"/>
      <c r="H32" s="818"/>
      <c r="I32" s="818"/>
      <c r="J32" s="818"/>
      <c r="K32" s="818"/>
      <c r="L32" s="832"/>
      <c r="M32" s="818"/>
      <c r="N32" s="2"/>
      <c r="O32" s="2"/>
      <c r="P32" s="2"/>
      <c r="Q32" s="2"/>
    </row>
    <row r="33" spans="1:17" ht="12.75" customHeight="1">
      <c r="A33" s="2"/>
      <c r="B33" s="6"/>
      <c r="C33" s="58"/>
      <c r="D33" s="828" t="s">
        <v>695</v>
      </c>
      <c r="E33" s="6"/>
      <c r="F33" s="61"/>
      <c r="G33" s="6"/>
      <c r="H33" s="818"/>
      <c r="I33" s="818"/>
      <c r="J33" s="818"/>
      <c r="K33" s="818"/>
      <c r="L33" s="834"/>
      <c r="M33" s="818"/>
      <c r="N33" s="2"/>
      <c r="O33" s="2"/>
      <c r="P33" s="2"/>
      <c r="Q33" s="840"/>
    </row>
    <row r="34" spans="1:17" ht="12.75" customHeight="1">
      <c r="A34" s="2"/>
      <c r="B34" s="6">
        <f>MAX($B$13:B33)+1</f>
        <v>14</v>
      </c>
      <c r="C34" s="58"/>
      <c r="D34" s="12" t="s">
        <v>690</v>
      </c>
      <c r="E34" s="6"/>
      <c r="F34" s="832">
        <v>3.0899999999999999E-3</v>
      </c>
      <c r="G34" s="6"/>
      <c r="H34" s="818"/>
      <c r="I34" s="818"/>
      <c r="J34" s="818"/>
      <c r="K34" s="818"/>
      <c r="L34" s="818"/>
      <c r="M34" s="818"/>
      <c r="N34" s="2"/>
      <c r="O34" s="2"/>
      <c r="P34" s="2"/>
      <c r="Q34" s="2"/>
    </row>
    <row r="35" spans="1:17" ht="12.75" customHeight="1">
      <c r="A35" s="2"/>
      <c r="B35" s="6">
        <f>MAX($B$13:B34)+1</f>
        <v>15</v>
      </c>
      <c r="C35" s="58"/>
      <c r="D35" s="821" t="s">
        <v>691</v>
      </c>
      <c r="E35" s="6"/>
      <c r="F35" s="832">
        <v>4.5295663882218619E-4</v>
      </c>
      <c r="G35" s="6"/>
      <c r="H35" s="818"/>
      <c r="I35" s="818"/>
      <c r="J35" s="818"/>
      <c r="K35" s="818"/>
      <c r="L35" s="818"/>
      <c r="M35" s="818"/>
      <c r="N35" s="2"/>
      <c r="O35" s="2"/>
      <c r="P35" s="2"/>
      <c r="Q35" s="2"/>
    </row>
    <row r="36" spans="1:17" ht="12.75" customHeight="1">
      <c r="A36" s="2"/>
      <c r="B36" s="6">
        <f>MAX($B$13:B35)+1</f>
        <v>16</v>
      </c>
      <c r="C36" s="58"/>
      <c r="D36" s="821" t="s">
        <v>694</v>
      </c>
      <c r="E36" s="6"/>
      <c r="F36" s="838">
        <v>9.3354190902864562E-5</v>
      </c>
      <c r="G36" s="6"/>
      <c r="H36" s="818"/>
      <c r="I36" s="818"/>
      <c r="J36" s="818"/>
      <c r="K36" s="818"/>
      <c r="L36" s="818"/>
      <c r="M36" s="818"/>
      <c r="N36" s="2"/>
      <c r="O36" s="2"/>
      <c r="P36" s="2"/>
      <c r="Q36" s="2"/>
    </row>
    <row r="37" spans="1:17" ht="12.75" customHeight="1">
      <c r="A37" s="2"/>
      <c r="B37" s="6">
        <f>MAX($B$13:B36)+1</f>
        <v>17</v>
      </c>
      <c r="C37" s="58"/>
      <c r="D37" s="10" t="str">
        <f xml:space="preserve"> "2024 Rate T2 Transportation Fuel Ratio"</f>
        <v>2024 Rate T2 Transportation Fuel Ratio</v>
      </c>
      <c r="E37" s="6"/>
      <c r="F37" s="839">
        <f>F34+F35+F36</f>
        <v>3.6363108297250506E-3</v>
      </c>
      <c r="G37" s="6"/>
      <c r="H37" s="833">
        <f>F37</f>
        <v>3.6363108297250506E-3</v>
      </c>
      <c r="I37" s="818"/>
      <c r="J37" s="818"/>
      <c r="K37" s="818"/>
      <c r="L37" s="818"/>
      <c r="M37" s="818"/>
      <c r="N37" s="2"/>
      <c r="O37" s="2"/>
      <c r="P37" s="2"/>
      <c r="Q37" s="2"/>
    </row>
    <row r="38" spans="1:17" ht="12.75" customHeight="1">
      <c r="A38" s="2"/>
      <c r="B38" s="6"/>
      <c r="C38" s="58"/>
      <c r="D38" s="821"/>
      <c r="E38" s="6"/>
      <c r="F38" s="830"/>
      <c r="G38" s="6"/>
      <c r="H38" s="818"/>
      <c r="I38" s="818"/>
      <c r="J38" s="818"/>
      <c r="K38" s="818"/>
      <c r="L38" s="818"/>
      <c r="M38" s="818"/>
      <c r="N38" s="2"/>
      <c r="O38" s="2"/>
      <c r="P38" s="2"/>
      <c r="Q38" s="2"/>
    </row>
    <row r="39" spans="1:17" ht="12.75" customHeight="1">
      <c r="A39" s="2"/>
      <c r="B39" s="6"/>
      <c r="C39" s="58"/>
      <c r="D39" s="828" t="s">
        <v>696</v>
      </c>
      <c r="E39" s="6"/>
      <c r="F39" s="61"/>
      <c r="G39" s="6"/>
      <c r="H39" s="818"/>
      <c r="I39" s="818"/>
      <c r="J39" s="818"/>
      <c r="K39" s="818"/>
      <c r="L39" s="818"/>
      <c r="M39" s="818"/>
      <c r="N39" s="2"/>
      <c r="O39" s="2"/>
      <c r="P39" s="2"/>
      <c r="Q39" s="2"/>
    </row>
    <row r="40" spans="1:17" ht="12.75" customHeight="1">
      <c r="A40" s="2"/>
      <c r="B40" s="6">
        <f>MAX($B$13:B39)+1</f>
        <v>18</v>
      </c>
      <c r="C40" s="58"/>
      <c r="D40" s="12" t="s">
        <v>690</v>
      </c>
      <c r="E40" s="6"/>
      <c r="F40" s="832">
        <v>4.1900000000000001E-3</v>
      </c>
      <c r="G40" s="6"/>
      <c r="H40" s="818"/>
      <c r="I40" s="818"/>
      <c r="J40" s="818"/>
      <c r="K40" s="818"/>
      <c r="L40" s="818"/>
      <c r="M40" s="818"/>
      <c r="N40" s="2"/>
      <c r="O40" s="2"/>
      <c r="P40" s="2"/>
      <c r="Q40" s="2"/>
    </row>
    <row r="41" spans="1:17" ht="12.75" customHeight="1">
      <c r="A41" s="2"/>
      <c r="B41" s="6">
        <f>MAX($B$13:B40)+1</f>
        <v>19</v>
      </c>
      <c r="C41" s="58"/>
      <c r="D41" s="821" t="s">
        <v>691</v>
      </c>
      <c r="E41" s="6"/>
      <c r="F41" s="832">
        <v>4.4667923588009211E-4</v>
      </c>
      <c r="G41" s="6"/>
      <c r="H41" s="818"/>
      <c r="I41" s="818"/>
      <c r="J41" s="818"/>
      <c r="K41" s="818"/>
      <c r="L41" s="818"/>
      <c r="M41" s="818"/>
      <c r="N41" s="2"/>
      <c r="O41" s="2"/>
      <c r="P41" s="2"/>
      <c r="Q41" s="2"/>
    </row>
    <row r="42" spans="1:17" ht="12.75" customHeight="1">
      <c r="A42" s="2"/>
      <c r="B42" s="6">
        <f>MAX($B$13:B41)+1</f>
        <v>20</v>
      </c>
      <c r="C42" s="58"/>
      <c r="D42" s="821" t="s">
        <v>694</v>
      </c>
      <c r="E42" s="6"/>
      <c r="F42" s="838">
        <v>1.733844263113204E-4</v>
      </c>
      <c r="G42" s="6"/>
      <c r="H42" s="818"/>
      <c r="I42" s="818"/>
      <c r="J42" s="818"/>
      <c r="K42" s="818"/>
      <c r="L42" s="818"/>
      <c r="M42" s="818"/>
      <c r="N42" s="2"/>
      <c r="O42" s="2"/>
      <c r="P42" s="2"/>
      <c r="Q42" s="2"/>
    </row>
    <row r="43" spans="1:17" ht="12.75" customHeight="1">
      <c r="A43" s="2"/>
      <c r="B43" s="6">
        <f>MAX($B$13:B42)+1</f>
        <v>21</v>
      </c>
      <c r="C43" s="58"/>
      <c r="D43" s="10" t="str">
        <f xml:space="preserve"> "2024 Rate T3 Transportation Fuel Ratio"</f>
        <v>2024 Rate T3 Transportation Fuel Ratio</v>
      </c>
      <c r="E43" s="6"/>
      <c r="F43" s="839">
        <f>F40+F41+F42</f>
        <v>4.8100636621914127E-3</v>
      </c>
      <c r="G43" s="6"/>
      <c r="H43" s="833">
        <f>F43</f>
        <v>4.8100636621914127E-3</v>
      </c>
      <c r="I43" s="818"/>
      <c r="J43" s="818"/>
      <c r="K43" s="818"/>
      <c r="L43" s="818"/>
      <c r="M43" s="818"/>
      <c r="N43" s="2"/>
      <c r="O43" s="2"/>
      <c r="P43" s="2"/>
      <c r="Q43" s="2"/>
    </row>
    <row r="44" spans="1:17" ht="12.75" customHeight="1">
      <c r="A44" s="2"/>
      <c r="B44" s="6"/>
      <c r="C44" s="58"/>
      <c r="D44" s="821"/>
      <c r="E44" s="6"/>
      <c r="F44" s="830"/>
      <c r="G44" s="6"/>
      <c r="H44" s="818"/>
      <c r="I44" s="818"/>
      <c r="J44" s="818"/>
      <c r="K44" s="818"/>
      <c r="L44" s="818"/>
      <c r="M44" s="818"/>
      <c r="N44" s="2"/>
      <c r="O44" s="2"/>
      <c r="P44" s="2"/>
      <c r="Q44" s="2"/>
    </row>
    <row r="45" spans="1:17" ht="12.75" customHeight="1">
      <c r="A45" s="2"/>
      <c r="B45" s="6"/>
      <c r="C45" s="58"/>
      <c r="D45" s="828" t="s">
        <v>697</v>
      </c>
      <c r="E45" s="6"/>
      <c r="F45" s="830"/>
      <c r="G45" s="6"/>
      <c r="H45" s="818"/>
      <c r="I45" s="818"/>
      <c r="J45" s="818"/>
      <c r="K45" s="818"/>
      <c r="L45" s="818"/>
      <c r="M45" s="818"/>
      <c r="N45" s="2"/>
      <c r="O45" s="2"/>
      <c r="P45" s="2"/>
      <c r="Q45" s="2"/>
    </row>
    <row r="46" spans="1:17" ht="12.75" customHeight="1">
      <c r="A46" s="2"/>
      <c r="B46" s="6">
        <f>MAX($B$13:B45)+1</f>
        <v>22</v>
      </c>
      <c r="C46" s="58"/>
      <c r="D46" s="12" t="s">
        <v>698</v>
      </c>
      <c r="E46" s="6"/>
      <c r="F46" s="830">
        <v>3.5000000000000001E-3</v>
      </c>
      <c r="G46" s="6"/>
      <c r="H46" s="818"/>
      <c r="I46" s="818"/>
      <c r="K46" s="818"/>
      <c r="L46" s="818"/>
      <c r="M46" s="818"/>
      <c r="N46" s="2"/>
      <c r="O46" s="2"/>
      <c r="P46" s="2"/>
      <c r="Q46" s="2"/>
    </row>
    <row r="47" spans="1:17" ht="12.75" customHeight="1">
      <c r="A47" s="2"/>
      <c r="B47" s="6">
        <f>MAX($B$13:B46)+1</f>
        <v>23</v>
      </c>
      <c r="C47" s="58"/>
      <c r="D47" s="821" t="s">
        <v>699</v>
      </c>
      <c r="E47" s="6"/>
      <c r="F47" s="841">
        <v>-1.9185739920449079E-5</v>
      </c>
      <c r="G47" s="6"/>
      <c r="H47" s="818"/>
      <c r="I47" s="818"/>
      <c r="J47" s="818"/>
      <c r="K47" s="818"/>
      <c r="L47" s="834"/>
      <c r="M47" s="818"/>
      <c r="N47" s="2"/>
      <c r="O47" s="2"/>
      <c r="P47" s="2"/>
      <c r="Q47" s="2"/>
    </row>
    <row r="48" spans="1:17" ht="12.75" customHeight="1">
      <c r="A48" s="2"/>
      <c r="B48" s="6">
        <f>MAX($B$13:B47)+1</f>
        <v>24</v>
      </c>
      <c r="C48" s="58"/>
      <c r="D48" s="10" t="str">
        <f>"2024 Rate 315 and Rate 316 Storage Fuel Ratio"</f>
        <v>2024 Rate 315 and Rate 316 Storage Fuel Ratio</v>
      </c>
      <c r="E48" s="6"/>
      <c r="F48" s="832">
        <f>F46+F47</f>
        <v>3.4808142600795508E-3</v>
      </c>
      <c r="G48" s="6"/>
      <c r="H48" s="833">
        <f>F48</f>
        <v>3.4808142600795508E-3</v>
      </c>
      <c r="I48" s="818"/>
      <c r="J48" s="818"/>
      <c r="K48" s="818"/>
      <c r="L48" s="818"/>
      <c r="M48" s="818"/>
      <c r="N48" s="2"/>
      <c r="O48" s="2"/>
      <c r="P48" s="2"/>
      <c r="Q48" s="2"/>
    </row>
    <row r="49" spans="1:17" ht="12.75" customHeight="1">
      <c r="A49" s="2"/>
      <c r="B49" s="6"/>
      <c r="C49" s="58"/>
      <c r="D49" s="821"/>
      <c r="E49" s="6"/>
      <c r="F49" s="830"/>
      <c r="G49" s="6"/>
      <c r="H49" s="818"/>
      <c r="I49" s="818"/>
      <c r="J49" s="818"/>
      <c r="K49" s="818"/>
      <c r="L49" s="818"/>
      <c r="M49" s="818"/>
      <c r="N49" s="2"/>
      <c r="O49" s="2"/>
      <c r="P49" s="2"/>
      <c r="Q49" s="2"/>
    </row>
    <row r="50" spans="1:17" ht="12.75" customHeight="1">
      <c r="A50" s="2"/>
      <c r="B50" s="6"/>
      <c r="C50" s="58"/>
      <c r="D50" s="828" t="s">
        <v>700</v>
      </c>
      <c r="E50" s="6"/>
      <c r="F50" s="61"/>
      <c r="G50" s="6"/>
      <c r="H50" s="818"/>
      <c r="I50" s="818"/>
      <c r="J50" s="818"/>
      <c r="K50" s="818"/>
      <c r="L50" s="818"/>
      <c r="M50" s="818"/>
      <c r="N50" s="2"/>
      <c r="O50" s="2"/>
      <c r="P50" s="2"/>
      <c r="Q50" s="2"/>
    </row>
    <row r="51" spans="1:17" ht="12.75" customHeight="1">
      <c r="A51" s="2"/>
      <c r="B51" s="6">
        <f>MAX($B$13:B50)+1</f>
        <v>25</v>
      </c>
      <c r="C51" s="58"/>
      <c r="D51" s="12" t="s">
        <v>690</v>
      </c>
      <c r="E51" s="6"/>
      <c r="F51" s="832">
        <v>4.45E-3</v>
      </c>
      <c r="G51" s="6"/>
      <c r="H51" s="818"/>
      <c r="I51" s="818"/>
      <c r="J51" s="818"/>
      <c r="K51" s="818"/>
      <c r="L51" s="818"/>
      <c r="M51" s="818"/>
      <c r="N51" s="2"/>
      <c r="O51" s="2"/>
      <c r="P51" s="2"/>
      <c r="Q51" s="2"/>
    </row>
    <row r="52" spans="1:17" ht="12.75" customHeight="1">
      <c r="A52" s="2"/>
      <c r="B52" s="6">
        <f>MAX($B$13:B51)+1</f>
        <v>26</v>
      </c>
      <c r="C52" s="58"/>
      <c r="D52" s="821" t="s">
        <v>691</v>
      </c>
      <c r="E52" s="6"/>
      <c r="F52" s="832">
        <v>5.2287361735537654E-4</v>
      </c>
      <c r="G52" s="6"/>
      <c r="H52" s="818"/>
      <c r="I52" s="818"/>
      <c r="J52" s="818"/>
      <c r="K52" s="837"/>
      <c r="L52" s="818"/>
      <c r="M52" s="818"/>
      <c r="N52" s="2"/>
      <c r="O52" s="2"/>
      <c r="P52" s="2"/>
      <c r="Q52" s="2"/>
    </row>
    <row r="53" spans="1:17" ht="12.75" customHeight="1">
      <c r="A53" s="2"/>
      <c r="B53" s="6">
        <f>MAX($B$13:B52)+1</f>
        <v>27</v>
      </c>
      <c r="C53" s="58"/>
      <c r="D53" s="821" t="s">
        <v>699</v>
      </c>
      <c r="E53" s="6"/>
      <c r="F53" s="841">
        <v>-1.1382531933089241E-5</v>
      </c>
      <c r="G53" s="6"/>
      <c r="H53" s="818"/>
      <c r="I53" s="818"/>
      <c r="J53" s="818"/>
      <c r="K53" s="818"/>
      <c r="L53" s="834"/>
      <c r="M53" s="818"/>
      <c r="N53" s="2"/>
      <c r="O53" s="2"/>
      <c r="P53" s="2"/>
      <c r="Q53" s="2"/>
    </row>
    <row r="54" spans="1:17" ht="12.75" customHeight="1">
      <c r="A54" s="2"/>
      <c r="B54" s="6">
        <f>MAX($B$13:B53)+1</f>
        <v>28</v>
      </c>
      <c r="C54" s="58"/>
      <c r="D54" s="10" t="str">
        <f>"2024 T1, T2 and T3 Storage Fuel Ratio"</f>
        <v>2024 T1, T2 and T3 Storage Fuel Ratio</v>
      </c>
      <c r="E54" s="6"/>
      <c r="F54" s="832">
        <f>F52+F53+F51</f>
        <v>4.9614910854222875E-3</v>
      </c>
      <c r="G54" s="6"/>
      <c r="H54" s="833">
        <f>F54</f>
        <v>4.9614910854222875E-3</v>
      </c>
      <c r="I54" s="818"/>
      <c r="J54" s="822"/>
      <c r="K54" s="818"/>
      <c r="L54" s="818"/>
      <c r="M54" s="818"/>
      <c r="N54" s="2"/>
      <c r="O54" s="2"/>
      <c r="P54" s="2"/>
      <c r="Q54" s="2"/>
    </row>
    <row r="55" spans="1:17" ht="12.75" customHeight="1">
      <c r="A55" s="2"/>
      <c r="B55" s="6"/>
      <c r="C55" s="58"/>
      <c r="D55" s="821"/>
      <c r="E55" s="6"/>
      <c r="F55" s="842"/>
      <c r="G55" s="6"/>
      <c r="H55" s="818"/>
      <c r="I55" s="809"/>
      <c r="J55" s="808"/>
      <c r="K55" s="808"/>
      <c r="L55" s="818"/>
      <c r="M55" s="818"/>
      <c r="N55" s="2"/>
      <c r="O55" s="2"/>
      <c r="P55" s="2"/>
      <c r="Q55" s="2"/>
    </row>
    <row r="56" spans="1:17" ht="12.75" customHeight="1">
      <c r="A56" s="2"/>
      <c r="B56" s="6"/>
      <c r="C56" s="58"/>
      <c r="D56" s="10"/>
      <c r="E56" s="6"/>
      <c r="F56" s="832"/>
      <c r="G56" s="6"/>
      <c r="H56" s="832"/>
      <c r="I56" s="818"/>
      <c r="J56" s="818"/>
      <c r="K56" s="818"/>
      <c r="L56" s="818"/>
      <c r="M56" s="818"/>
      <c r="N56" s="2"/>
      <c r="O56" s="2"/>
      <c r="P56" s="2"/>
      <c r="Q56" s="2"/>
    </row>
    <row r="57" spans="1:17" ht="12.75" customHeight="1">
      <c r="A57" s="2"/>
      <c r="B57" s="6"/>
      <c r="C57" s="58"/>
      <c r="D57" s="10"/>
      <c r="E57" s="6"/>
      <c r="F57" s="832"/>
      <c r="G57" s="6"/>
      <c r="H57" s="832"/>
      <c r="I57" s="818"/>
      <c r="J57" s="818"/>
      <c r="K57" s="818"/>
      <c r="L57" s="818"/>
      <c r="M57" s="818"/>
      <c r="N57" s="2"/>
      <c r="O57" s="2"/>
      <c r="P57" s="2"/>
      <c r="Q57" s="2"/>
    </row>
    <row r="58" spans="1:17" ht="12.75" customHeight="1">
      <c r="A58" s="2"/>
      <c r="B58" s="6"/>
      <c r="C58" s="58"/>
      <c r="D58" s="10"/>
      <c r="E58" s="6"/>
      <c r="F58" s="832"/>
      <c r="G58" s="6"/>
      <c r="H58" s="832"/>
      <c r="I58" s="818"/>
      <c r="J58" s="818"/>
      <c r="K58" s="818"/>
      <c r="L58" s="818"/>
      <c r="M58" s="818"/>
      <c r="N58" s="2"/>
      <c r="O58" s="2"/>
      <c r="P58" s="2"/>
      <c r="Q58" s="2"/>
    </row>
    <row r="59" spans="1:17" ht="12.75" customHeight="1">
      <c r="A59" s="2"/>
      <c r="B59" s="1166"/>
      <c r="C59" s="1166"/>
      <c r="D59" s="1166"/>
      <c r="E59" s="1166"/>
      <c r="F59" s="1166"/>
      <c r="G59" s="1166"/>
      <c r="H59" s="1166"/>
      <c r="I59" s="818"/>
      <c r="J59" s="818"/>
      <c r="K59" s="818"/>
      <c r="L59" s="818"/>
      <c r="M59" s="818"/>
      <c r="N59" s="2"/>
      <c r="O59" s="2"/>
      <c r="P59" s="2"/>
      <c r="Q59" s="2"/>
    </row>
    <row r="60" spans="1:17" ht="12.75" customHeight="1">
      <c r="A60" s="2"/>
      <c r="B60" s="1166" t="s">
        <v>701</v>
      </c>
      <c r="C60" s="1166"/>
      <c r="D60" s="1166"/>
      <c r="E60" s="1166"/>
      <c r="F60" s="1166"/>
      <c r="G60" s="1166"/>
      <c r="H60" s="1166"/>
      <c r="I60" s="818"/>
      <c r="J60" s="818"/>
      <c r="K60" s="818"/>
      <c r="L60" s="818"/>
      <c r="M60" s="818"/>
      <c r="N60" s="2"/>
      <c r="O60" s="2"/>
      <c r="P60" s="2"/>
      <c r="Q60" s="2"/>
    </row>
    <row r="61" spans="1:17" ht="12.75" customHeight="1">
      <c r="A61" s="2"/>
      <c r="B61" s="6"/>
      <c r="C61" s="6"/>
      <c r="D61" s="6"/>
      <c r="E61" s="6"/>
      <c r="F61" s="1"/>
      <c r="G61" s="2"/>
      <c r="H61" s="1"/>
      <c r="I61" s="818"/>
      <c r="J61" s="818"/>
      <c r="K61" s="818"/>
      <c r="L61" s="818"/>
      <c r="M61" s="818"/>
      <c r="N61" s="2"/>
      <c r="O61" s="2"/>
      <c r="P61" s="2"/>
      <c r="Q61" s="2"/>
    </row>
    <row r="62" spans="1:17" ht="12.75" customHeight="1">
      <c r="A62" s="2"/>
      <c r="B62" s="6" t="s">
        <v>56</v>
      </c>
      <c r="C62" s="58"/>
      <c r="D62" s="58"/>
      <c r="E62" s="58"/>
      <c r="F62" s="1"/>
      <c r="G62" s="2"/>
      <c r="H62" s="6"/>
      <c r="I62" s="818"/>
      <c r="J62" s="818"/>
      <c r="K62" s="818"/>
      <c r="L62" s="818"/>
      <c r="M62" s="818"/>
      <c r="N62" s="2"/>
      <c r="O62" s="2"/>
      <c r="P62" s="2"/>
      <c r="Q62" s="2"/>
    </row>
    <row r="63" spans="1:17" ht="12.75" customHeight="1">
      <c r="A63" s="2"/>
      <c r="B63" s="237" t="s">
        <v>57</v>
      </c>
      <c r="C63" s="58"/>
      <c r="D63" s="59" t="s">
        <v>194</v>
      </c>
      <c r="E63" s="237"/>
      <c r="F63" s="7"/>
      <c r="G63" s="2"/>
      <c r="H63" s="812" t="s">
        <v>525</v>
      </c>
      <c r="I63" s="818"/>
      <c r="J63" s="818"/>
      <c r="K63" s="818"/>
      <c r="L63" s="818"/>
      <c r="M63" s="818"/>
      <c r="N63" s="2"/>
      <c r="O63" s="2"/>
      <c r="P63" s="2"/>
      <c r="Q63" s="2"/>
    </row>
    <row r="64" spans="1:17" ht="12.75" customHeight="1">
      <c r="A64" s="2"/>
      <c r="B64" s="6"/>
      <c r="C64" s="58"/>
      <c r="D64" s="58"/>
      <c r="E64" s="6"/>
      <c r="F64" s="1"/>
      <c r="G64" s="6"/>
      <c r="H64" s="6" t="s">
        <v>9</v>
      </c>
      <c r="I64" s="818"/>
      <c r="J64" s="818"/>
      <c r="K64" s="818"/>
      <c r="L64" s="818"/>
      <c r="M64" s="818"/>
      <c r="N64" s="2"/>
      <c r="O64" s="2"/>
      <c r="P64" s="2"/>
      <c r="Q64" s="2"/>
    </row>
    <row r="65" spans="1:17" ht="12.75" customHeight="1">
      <c r="A65" s="2"/>
      <c r="B65" s="6"/>
      <c r="C65" s="58"/>
      <c r="D65" s="58"/>
      <c r="E65" s="6"/>
      <c r="F65" s="1"/>
      <c r="G65" s="2"/>
      <c r="H65" s="1040"/>
      <c r="I65" s="818"/>
      <c r="J65" s="818"/>
      <c r="K65" s="818"/>
      <c r="L65" s="818"/>
      <c r="M65" s="818"/>
      <c r="N65" s="2"/>
      <c r="O65" s="2"/>
      <c r="P65" s="2"/>
      <c r="Q65" s="2"/>
    </row>
    <row r="66" spans="1:17" ht="12.75" customHeight="1">
      <c r="A66" s="2"/>
      <c r="B66" s="6"/>
      <c r="C66" s="58"/>
      <c r="D66" s="9" t="s">
        <v>702</v>
      </c>
      <c r="E66" s="6"/>
      <c r="I66" s="818"/>
      <c r="J66" s="822"/>
      <c r="K66" s="818"/>
      <c r="L66" s="818"/>
      <c r="M66" s="818"/>
      <c r="N66" s="2"/>
      <c r="O66" s="2"/>
      <c r="P66" s="2"/>
      <c r="Q66" s="2"/>
    </row>
    <row r="67" spans="1:17" ht="12.75" customHeight="1">
      <c r="A67" s="2"/>
      <c r="B67" s="829"/>
      <c r="C67" s="829"/>
      <c r="D67" s="829"/>
      <c r="E67" s="829"/>
      <c r="F67" s="829"/>
      <c r="G67" s="829"/>
      <c r="H67" s="829"/>
      <c r="I67" s="818"/>
      <c r="J67" s="822"/>
      <c r="L67" s="818"/>
      <c r="M67" s="818"/>
      <c r="N67" s="2"/>
      <c r="O67" s="2"/>
      <c r="P67" s="2"/>
      <c r="Q67" s="2"/>
    </row>
    <row r="68" spans="1:17" ht="12.75" customHeight="1">
      <c r="A68" s="2"/>
      <c r="B68" s="6"/>
      <c r="C68" s="58"/>
      <c r="D68" s="828" t="s">
        <v>703</v>
      </c>
      <c r="E68" s="6"/>
      <c r="F68" s="61"/>
      <c r="G68" s="6"/>
      <c r="H68" s="818"/>
      <c r="I68" s="809"/>
      <c r="J68" s="808"/>
      <c r="K68" s="808"/>
      <c r="L68" s="2"/>
      <c r="M68" s="818"/>
      <c r="N68" s="2"/>
      <c r="O68" s="2"/>
      <c r="P68" s="2"/>
      <c r="Q68" s="2"/>
    </row>
    <row r="69" spans="1:17" ht="12.75" customHeight="1">
      <c r="A69" s="2"/>
      <c r="B69" s="6">
        <v>29</v>
      </c>
      <c r="C69" s="58"/>
      <c r="D69" s="821" t="s">
        <v>704</v>
      </c>
      <c r="E69" s="6"/>
      <c r="F69" s="822">
        <v>161685.10059570009</v>
      </c>
      <c r="G69" s="6"/>
      <c r="H69" s="818"/>
      <c r="I69" s="818"/>
      <c r="J69" s="818"/>
      <c r="K69" s="818"/>
      <c r="L69" s="818"/>
      <c r="M69" s="818"/>
      <c r="N69" s="2"/>
      <c r="O69" s="2"/>
      <c r="P69" s="2"/>
      <c r="Q69" s="2"/>
    </row>
    <row r="70" spans="1:17" ht="16.149999999999999" customHeight="1">
      <c r="A70" s="2"/>
      <c r="B70" s="6">
        <v>30</v>
      </c>
      <c r="C70" s="58"/>
      <c r="D70" s="821" t="s">
        <v>705</v>
      </c>
      <c r="E70" s="6"/>
      <c r="F70" s="843">
        <v>154.8482646996799</v>
      </c>
      <c r="G70" s="6"/>
      <c r="H70" s="818"/>
      <c r="I70" s="818"/>
      <c r="J70" s="818"/>
      <c r="K70" s="818"/>
      <c r="L70" s="818"/>
      <c r="M70" s="818"/>
      <c r="N70" s="2"/>
      <c r="O70" s="2"/>
      <c r="P70" s="2"/>
      <c r="Q70" s="2"/>
    </row>
    <row r="71" spans="1:17" ht="12.75" customHeight="1">
      <c r="A71" s="2"/>
      <c r="B71" s="6">
        <f>MAX($B$13:B70)+1</f>
        <v>31</v>
      </c>
      <c r="C71" s="58"/>
      <c r="D71" s="809" t="s">
        <v>706</v>
      </c>
      <c r="E71" s="829"/>
      <c r="F71" s="844">
        <f>F69*F70/1000</f>
        <v>25036.657255037342</v>
      </c>
      <c r="G71" s="818"/>
      <c r="H71" s="818"/>
      <c r="I71" s="818"/>
      <c r="J71" s="818"/>
      <c r="K71" s="818"/>
      <c r="L71" s="818"/>
      <c r="M71" s="818"/>
      <c r="N71" s="2"/>
      <c r="O71" s="2"/>
      <c r="P71" s="2"/>
      <c r="Q71" s="2"/>
    </row>
    <row r="72" spans="1:17" ht="16.149999999999999" customHeight="1">
      <c r="A72" s="2"/>
      <c r="B72" s="6">
        <f>MAX($B$13:B71)+1</f>
        <v>32</v>
      </c>
      <c r="C72" s="58"/>
      <c r="D72" s="809" t="s">
        <v>707</v>
      </c>
      <c r="E72" s="829"/>
      <c r="F72" s="728">
        <v>11868876.755835138</v>
      </c>
      <c r="G72" s="818"/>
      <c r="H72" s="818"/>
      <c r="I72" s="818"/>
      <c r="K72" s="837"/>
      <c r="L72" s="818"/>
      <c r="M72" s="818"/>
      <c r="N72" s="2"/>
      <c r="O72" s="2"/>
      <c r="P72" s="2"/>
      <c r="Q72" s="2"/>
    </row>
    <row r="73" spans="1:17" ht="12.75" customHeight="1">
      <c r="A73" s="2"/>
      <c r="B73" s="6">
        <f>MAX($B$13:B72)+1</f>
        <v>33</v>
      </c>
      <c r="C73" s="58"/>
      <c r="D73" s="828" t="s">
        <v>708</v>
      </c>
      <c r="E73" s="6"/>
      <c r="F73" s="845">
        <f>F71/F72*100</f>
        <v>0.21094377985455517</v>
      </c>
      <c r="G73" s="818"/>
      <c r="H73" s="818"/>
      <c r="I73" s="818"/>
      <c r="J73" s="818"/>
      <c r="K73" s="818"/>
      <c r="L73" s="818"/>
      <c r="M73" s="818"/>
      <c r="N73" s="2"/>
      <c r="O73" s="2"/>
      <c r="P73" s="2"/>
      <c r="Q73" s="2"/>
    </row>
    <row r="74" spans="1:17" ht="12.75" customHeight="1">
      <c r="A74" s="2"/>
      <c r="B74" s="6"/>
      <c r="C74" s="58"/>
      <c r="D74" s="809"/>
      <c r="E74" s="6"/>
      <c r="F74" s="61"/>
      <c r="G74" s="6"/>
      <c r="H74" s="818"/>
      <c r="I74" s="818"/>
      <c r="J74" s="818"/>
      <c r="K74" s="818"/>
      <c r="L74" s="818"/>
      <c r="M74" s="818"/>
      <c r="N74" s="2"/>
      <c r="O74" s="2"/>
      <c r="P74" s="2"/>
      <c r="Q74" s="2"/>
    </row>
    <row r="75" spans="1:17" ht="12.75" customHeight="1">
      <c r="A75" s="2"/>
      <c r="B75" s="6"/>
      <c r="C75" s="58"/>
      <c r="D75" s="828" t="s">
        <v>709</v>
      </c>
      <c r="E75" s="6"/>
      <c r="F75" s="61"/>
      <c r="G75" s="6"/>
      <c r="H75" s="818"/>
      <c r="I75" s="818"/>
      <c r="J75" s="818"/>
      <c r="K75" s="818"/>
      <c r="L75" s="818"/>
      <c r="M75" s="818"/>
      <c r="N75" s="2"/>
      <c r="O75" s="2"/>
      <c r="P75" s="2"/>
      <c r="Q75" s="2"/>
    </row>
    <row r="76" spans="1:17" ht="12.75" customHeight="1">
      <c r="A76" s="2"/>
      <c r="B76" s="6">
        <f>MAX($B$13:B75)+1</f>
        <v>34</v>
      </c>
      <c r="C76" s="58"/>
      <c r="D76" s="821" t="s">
        <v>710</v>
      </c>
      <c r="E76" s="6"/>
      <c r="F76" s="818">
        <v>0.95826802814314693</v>
      </c>
      <c r="G76" s="6"/>
      <c r="H76" s="818"/>
      <c r="I76" s="829"/>
      <c r="M76" s="818"/>
      <c r="N76" s="2"/>
      <c r="O76" s="2"/>
      <c r="P76" s="2"/>
      <c r="Q76" s="2"/>
    </row>
    <row r="77" spans="1:17" ht="12.75" customHeight="1">
      <c r="A77" s="2"/>
      <c r="B77" s="6">
        <f>MAX($B$13:B76)+1</f>
        <v>35</v>
      </c>
      <c r="C77" s="58"/>
      <c r="D77" s="821" t="s">
        <v>711</v>
      </c>
      <c r="E77" s="6"/>
      <c r="F77" s="818">
        <v>5.0576363710359935</v>
      </c>
      <c r="G77" s="6"/>
      <c r="H77" s="818"/>
      <c r="I77" s="809"/>
      <c r="J77" s="808"/>
      <c r="K77" s="2"/>
      <c r="L77" s="808"/>
      <c r="M77" s="2"/>
      <c r="N77" s="2"/>
      <c r="O77" s="2"/>
      <c r="P77" s="2"/>
      <c r="Q77" s="2"/>
    </row>
    <row r="78" spans="1:17" ht="12.75" customHeight="1">
      <c r="A78" s="2"/>
      <c r="B78" s="6">
        <f>MAX($B$13:B77)+1</f>
        <v>36</v>
      </c>
      <c r="C78" s="58"/>
      <c r="D78" s="821" t="s">
        <v>712</v>
      </c>
      <c r="E78" s="6"/>
      <c r="F78" s="846">
        <f>-$F$73</f>
        <v>-0.21094377985455517</v>
      </c>
      <c r="G78" s="6"/>
      <c r="H78" s="818"/>
      <c r="I78" s="809"/>
      <c r="J78" s="808"/>
      <c r="K78" s="808"/>
      <c r="L78" s="808"/>
      <c r="M78" s="2"/>
      <c r="N78" s="2"/>
      <c r="O78" s="2"/>
      <c r="P78" s="2"/>
      <c r="Q78" s="2"/>
    </row>
    <row r="79" spans="1:17" ht="12.75" customHeight="1">
      <c r="A79" s="2"/>
      <c r="B79" s="6">
        <f>MAX($B$13:B78)+1</f>
        <v>37</v>
      </c>
      <c r="C79" s="58"/>
      <c r="D79" s="828" t="s">
        <v>709</v>
      </c>
      <c r="E79" s="6"/>
      <c r="F79" s="845">
        <f>F76+F77+F78</f>
        <v>5.8049606193245848</v>
      </c>
      <c r="G79" s="6"/>
      <c r="H79" s="827">
        <f>F79</f>
        <v>5.8049606193245848</v>
      </c>
      <c r="I79" s="809"/>
      <c r="J79" s="808"/>
      <c r="K79" s="808"/>
      <c r="L79" s="808"/>
      <c r="M79" s="2"/>
      <c r="N79" s="2"/>
      <c r="O79" s="2"/>
      <c r="P79" s="2"/>
      <c r="Q79" s="2"/>
    </row>
    <row r="80" spans="1:17" ht="12.75" customHeight="1">
      <c r="A80" s="2"/>
      <c r="B80" s="829"/>
      <c r="C80" s="829"/>
      <c r="D80" s="829"/>
      <c r="E80" s="829"/>
      <c r="F80" s="829"/>
      <c r="G80" s="829"/>
      <c r="H80" s="829"/>
      <c r="I80" s="829"/>
      <c r="M80" s="2"/>
      <c r="N80" s="2"/>
      <c r="O80" s="2"/>
      <c r="P80" s="2"/>
      <c r="Q80" s="2"/>
    </row>
    <row r="81" spans="1:17" ht="12.75" customHeight="1">
      <c r="A81" s="2"/>
      <c r="B81" s="6"/>
      <c r="C81" s="58"/>
      <c r="D81" s="828" t="s">
        <v>713</v>
      </c>
      <c r="E81" s="6"/>
      <c r="F81" s="61"/>
      <c r="G81" s="6"/>
      <c r="H81" s="818"/>
      <c r="I81" s="818"/>
      <c r="J81" s="818"/>
      <c r="K81" s="818"/>
      <c r="L81" s="818"/>
      <c r="M81" s="2"/>
      <c r="N81" s="2"/>
      <c r="O81" s="2"/>
      <c r="P81" s="2"/>
      <c r="Q81" s="2"/>
    </row>
    <row r="82" spans="1:17" ht="12.75" customHeight="1">
      <c r="A82" s="2"/>
      <c r="B82" s="6">
        <f>MAX($B$13:B81)+1</f>
        <v>38</v>
      </c>
      <c r="C82" s="58"/>
      <c r="D82" s="821" t="s">
        <v>710</v>
      </c>
      <c r="E82" s="6"/>
      <c r="F82" s="818">
        <v>0.49549192540028597</v>
      </c>
      <c r="G82" s="6"/>
      <c r="H82" s="818"/>
      <c r="I82" s="818"/>
      <c r="J82" s="818"/>
      <c r="K82" s="818"/>
      <c r="L82" s="818"/>
      <c r="M82" s="2"/>
      <c r="N82" s="2"/>
      <c r="O82" s="2"/>
      <c r="P82" s="2"/>
      <c r="Q82" s="2"/>
    </row>
    <row r="83" spans="1:17" ht="12.75" customHeight="1">
      <c r="A83" s="2"/>
      <c r="B83" s="6">
        <f>MAX($B$13:B82)+1</f>
        <v>39</v>
      </c>
      <c r="C83" s="58"/>
      <c r="D83" s="821" t="s">
        <v>711</v>
      </c>
      <c r="E83" s="6"/>
      <c r="F83" s="818">
        <v>4.8570062329987218</v>
      </c>
      <c r="G83" s="6"/>
      <c r="H83" s="818"/>
      <c r="I83" s="818"/>
      <c r="J83" s="818"/>
      <c r="K83" s="2"/>
      <c r="L83" s="818"/>
      <c r="M83" s="2"/>
      <c r="N83" s="2"/>
      <c r="O83" s="2"/>
      <c r="P83" s="2"/>
      <c r="Q83" s="2"/>
    </row>
    <row r="84" spans="1:17" ht="12.75" customHeight="1">
      <c r="A84" s="2"/>
      <c r="B84" s="6">
        <f>MAX($B$13:B83)+1</f>
        <v>40</v>
      </c>
      <c r="C84" s="58"/>
      <c r="D84" s="821" t="s">
        <v>712</v>
      </c>
      <c r="E84" s="6"/>
      <c r="F84" s="846">
        <f>-$F$73</f>
        <v>-0.21094377985455517</v>
      </c>
      <c r="G84" s="6"/>
      <c r="H84" s="818"/>
      <c r="I84" s="818"/>
      <c r="J84" s="818"/>
      <c r="K84" s="818"/>
      <c r="L84" s="818"/>
      <c r="M84" s="2"/>
      <c r="N84" s="2"/>
      <c r="O84" s="2"/>
      <c r="P84" s="2"/>
      <c r="Q84" s="2"/>
    </row>
    <row r="85" spans="1:17" ht="12.75" customHeight="1">
      <c r="A85" s="2"/>
      <c r="B85" s="6">
        <f>MAX($B$13:B84)+1</f>
        <v>41</v>
      </c>
      <c r="C85" s="58"/>
      <c r="D85" s="828" t="s">
        <v>713</v>
      </c>
      <c r="E85" s="6"/>
      <c r="F85" s="845">
        <f>F82+F83+F84</f>
        <v>5.141554378544452</v>
      </c>
      <c r="G85" s="6"/>
      <c r="H85" s="827">
        <f>F85</f>
        <v>5.141554378544452</v>
      </c>
      <c r="I85" s="818"/>
      <c r="J85" s="818"/>
      <c r="K85" s="818"/>
      <c r="M85" s="2"/>
      <c r="N85" s="2"/>
      <c r="O85" s="2"/>
      <c r="P85" s="2"/>
      <c r="Q85" s="2"/>
    </row>
    <row r="86" spans="1:17" ht="12.75" customHeight="1">
      <c r="A86" s="2"/>
      <c r="B86" s="6"/>
      <c r="C86" s="58"/>
      <c r="D86" s="828"/>
      <c r="E86" s="6"/>
      <c r="F86" s="61"/>
      <c r="G86" s="6"/>
      <c r="H86" s="818"/>
      <c r="I86" s="818"/>
      <c r="J86" s="818"/>
      <c r="K86" s="818"/>
      <c r="L86" s="818"/>
      <c r="M86" s="2"/>
      <c r="N86" s="2"/>
      <c r="O86" s="2"/>
      <c r="P86" s="2"/>
      <c r="Q86" s="2"/>
    </row>
    <row r="87" spans="1:17" ht="12.75" customHeight="1">
      <c r="A87" s="2"/>
      <c r="B87" s="6"/>
      <c r="C87" s="58"/>
      <c r="D87" s="828" t="s">
        <v>714</v>
      </c>
      <c r="E87" s="6"/>
      <c r="F87" s="61"/>
      <c r="G87" s="6"/>
      <c r="H87" s="818"/>
      <c r="I87" s="818"/>
      <c r="J87" s="818"/>
      <c r="K87" s="818"/>
      <c r="L87" s="818"/>
      <c r="M87" s="2"/>
      <c r="N87" s="2"/>
      <c r="O87" s="2"/>
      <c r="P87" s="2"/>
      <c r="Q87" s="2"/>
    </row>
    <row r="88" spans="1:17" ht="12.75" customHeight="1">
      <c r="A88" s="2"/>
      <c r="B88" s="6">
        <f>MAX($B$13:B87)+1</f>
        <v>42</v>
      </c>
      <c r="C88" s="58"/>
      <c r="D88" s="821" t="s">
        <v>715</v>
      </c>
      <c r="E88" s="6"/>
      <c r="F88" s="818">
        <v>7.2735747370779045</v>
      </c>
      <c r="G88" s="6"/>
      <c r="H88" s="818"/>
      <c r="I88" s="818"/>
      <c r="J88" s="818"/>
      <c r="K88" s="818"/>
      <c r="L88" s="818"/>
      <c r="M88" s="2"/>
      <c r="N88" s="2"/>
      <c r="O88" s="2"/>
      <c r="P88" s="2"/>
      <c r="Q88" s="2"/>
    </row>
    <row r="89" spans="1:17" ht="12.75" customHeight="1">
      <c r="A89" s="2"/>
      <c r="B89" s="6">
        <f>MAX($B$13:B88)+1</f>
        <v>43</v>
      </c>
      <c r="C89" s="58"/>
      <c r="D89" s="821" t="s">
        <v>711</v>
      </c>
      <c r="E89" s="6"/>
      <c r="F89" s="818">
        <v>4.743176322347221</v>
      </c>
      <c r="G89" s="6"/>
      <c r="H89" s="818"/>
      <c r="I89" s="818"/>
      <c r="J89" s="818"/>
      <c r="K89" s="2"/>
      <c r="L89" s="818"/>
      <c r="M89" s="2"/>
      <c r="N89" s="2"/>
      <c r="O89" s="2"/>
      <c r="P89" s="2"/>
      <c r="Q89" s="2"/>
    </row>
    <row r="90" spans="1:17" ht="12.75" customHeight="1">
      <c r="A90" s="2"/>
      <c r="B90" s="6">
        <f>MAX($B$13:B89)+1</f>
        <v>44</v>
      </c>
      <c r="C90" s="58"/>
      <c r="D90" s="821" t="s">
        <v>712</v>
      </c>
      <c r="E90" s="6"/>
      <c r="F90" s="846">
        <f>-$F$73</f>
        <v>-0.21094377985455517</v>
      </c>
      <c r="G90" s="6"/>
      <c r="H90" s="818"/>
      <c r="I90" s="818"/>
      <c r="J90" s="818"/>
      <c r="K90" s="818"/>
      <c r="L90" s="818"/>
      <c r="M90" s="2"/>
      <c r="N90" s="2"/>
      <c r="O90" s="2"/>
      <c r="P90" s="2"/>
      <c r="Q90" s="2"/>
    </row>
    <row r="91" spans="1:17" ht="12.75" customHeight="1">
      <c r="A91" s="2"/>
      <c r="B91" s="6">
        <f>MAX($B$13:B90)+1</f>
        <v>45</v>
      </c>
      <c r="C91" s="58"/>
      <c r="D91" s="828" t="s">
        <v>714</v>
      </c>
      <c r="E91" s="6"/>
      <c r="F91" s="845">
        <f>F88+F89+F90</f>
        <v>11.805807279570571</v>
      </c>
      <c r="G91" s="6"/>
      <c r="H91" s="827">
        <f>F91</f>
        <v>11.805807279570571</v>
      </c>
      <c r="I91" s="818"/>
      <c r="J91" s="818"/>
      <c r="K91" s="818"/>
      <c r="L91" s="818"/>
      <c r="M91" s="2"/>
      <c r="N91" s="2"/>
      <c r="O91" s="2"/>
      <c r="P91" s="2"/>
      <c r="Q91" s="2"/>
    </row>
    <row r="92" spans="1:17" ht="12.75" customHeight="1">
      <c r="A92" s="2"/>
      <c r="B92" s="6"/>
      <c r="C92" s="58"/>
      <c r="D92" s="828"/>
      <c r="E92" s="6"/>
      <c r="F92" s="818"/>
      <c r="G92" s="6"/>
      <c r="H92" s="818"/>
      <c r="I92" s="818"/>
      <c r="J92" s="818"/>
      <c r="K92" s="818"/>
      <c r="L92" s="818"/>
      <c r="M92" s="2"/>
      <c r="N92" s="2"/>
      <c r="O92" s="2"/>
      <c r="P92" s="2"/>
      <c r="Q92" s="2"/>
    </row>
    <row r="93" spans="1:17" ht="12.75" customHeight="1">
      <c r="A93" s="2"/>
      <c r="B93" s="6"/>
      <c r="C93" s="58"/>
      <c r="D93" s="828" t="s">
        <v>716</v>
      </c>
      <c r="E93" s="6"/>
      <c r="F93" s="61"/>
      <c r="G93" s="6"/>
      <c r="H93" s="818"/>
      <c r="I93" s="818"/>
      <c r="J93" s="818"/>
      <c r="K93" s="818"/>
      <c r="L93" s="818"/>
      <c r="M93" s="2"/>
      <c r="N93" s="2"/>
      <c r="O93" s="2"/>
      <c r="P93" s="2"/>
      <c r="Q93" s="2"/>
    </row>
    <row r="94" spans="1:17" ht="12.75" customHeight="1">
      <c r="A94" s="2"/>
      <c r="B94" s="6">
        <f>MAX($B$13:B93)+1</f>
        <v>46</v>
      </c>
      <c r="C94" s="58"/>
      <c r="D94" s="821" t="s">
        <v>710</v>
      </c>
      <c r="E94" s="6"/>
      <c r="F94" s="818">
        <v>2.3176731194513702</v>
      </c>
      <c r="G94" s="6"/>
      <c r="H94" s="818"/>
      <c r="I94" s="818"/>
      <c r="J94" s="818"/>
      <c r="K94" s="818"/>
      <c r="L94" s="818"/>
      <c r="M94" s="2"/>
      <c r="N94" s="2"/>
      <c r="O94" s="2"/>
      <c r="P94" s="2"/>
      <c r="Q94" s="2"/>
    </row>
    <row r="95" spans="1:17" ht="12.75" customHeight="1">
      <c r="A95" s="2"/>
      <c r="B95" s="6">
        <f>MAX($B$13:B94)+1</f>
        <v>47</v>
      </c>
      <c r="C95" s="58"/>
      <c r="D95" s="821" t="s">
        <v>711</v>
      </c>
      <c r="E95" s="6"/>
      <c r="F95" s="818">
        <v>5.4428931249420112</v>
      </c>
      <c r="G95" s="6"/>
      <c r="H95" s="818"/>
      <c r="I95" s="818"/>
      <c r="J95" s="818"/>
      <c r="K95" s="2"/>
      <c r="L95" s="818"/>
      <c r="M95" s="2"/>
      <c r="N95" s="2"/>
      <c r="O95" s="2"/>
      <c r="P95" s="2"/>
      <c r="Q95" s="2"/>
    </row>
    <row r="96" spans="1:17" ht="12.75" customHeight="1">
      <c r="A96" s="2"/>
      <c r="B96" s="6">
        <f>MAX($B$13:B95)+1</f>
        <v>48</v>
      </c>
      <c r="C96" s="58"/>
      <c r="D96" s="821" t="s">
        <v>712</v>
      </c>
      <c r="E96" s="6"/>
      <c r="F96" s="846">
        <f>-$F$73</f>
        <v>-0.21094377985455517</v>
      </c>
      <c r="G96" s="6"/>
      <c r="H96" s="818"/>
      <c r="I96" s="818"/>
      <c r="J96" s="818"/>
      <c r="K96" s="818"/>
      <c r="L96" s="818"/>
      <c r="M96" s="2"/>
      <c r="N96" s="2"/>
      <c r="O96" s="2"/>
      <c r="P96" s="2"/>
      <c r="Q96" s="2"/>
    </row>
    <row r="97" spans="1:17" ht="12.75" customHeight="1">
      <c r="A97" s="2"/>
      <c r="B97" s="6">
        <f>MAX($B$13:B96)+1</f>
        <v>49</v>
      </c>
      <c r="C97" s="58"/>
      <c r="D97" s="828" t="s">
        <v>716</v>
      </c>
      <c r="E97" s="6"/>
      <c r="F97" s="845">
        <f>F94+F95+F96</f>
        <v>7.5496224645388255</v>
      </c>
      <c r="G97" s="6"/>
      <c r="H97" s="827">
        <f>F97</f>
        <v>7.5496224645388255</v>
      </c>
      <c r="I97" s="818"/>
      <c r="J97" s="818"/>
      <c r="K97" s="818"/>
      <c r="L97" s="818"/>
      <c r="M97" s="2"/>
      <c r="N97" s="2"/>
      <c r="O97" s="2"/>
      <c r="P97" s="2"/>
      <c r="Q97" s="2"/>
    </row>
    <row r="98" spans="1:17" ht="12.75" customHeight="1">
      <c r="A98" s="2"/>
      <c r="B98" s="6"/>
      <c r="C98" s="58"/>
      <c r="D98" s="828"/>
      <c r="E98" s="6"/>
      <c r="F98" s="61"/>
      <c r="G98" s="6"/>
      <c r="H98" s="818"/>
      <c r="I98" s="818"/>
      <c r="J98" s="818"/>
      <c r="K98" s="818"/>
      <c r="L98" s="818"/>
      <c r="M98" s="2"/>
      <c r="N98" s="2"/>
      <c r="O98" s="2"/>
      <c r="P98" s="2"/>
      <c r="Q98" s="2"/>
    </row>
    <row r="99" spans="1:17" ht="12.75" customHeight="1">
      <c r="A99" s="2"/>
      <c r="B99" s="6"/>
      <c r="C99" s="58"/>
      <c r="D99" s="828" t="s">
        <v>717</v>
      </c>
      <c r="E99" s="6"/>
      <c r="F99" s="61"/>
      <c r="G99" s="6"/>
      <c r="H99" s="818"/>
      <c r="I99" s="818"/>
      <c r="J99" s="818"/>
      <c r="K99" s="818"/>
      <c r="L99" s="818"/>
      <c r="M99" s="2"/>
      <c r="N99" s="2"/>
      <c r="O99" s="2"/>
      <c r="P99" s="2"/>
      <c r="Q99" s="2"/>
    </row>
    <row r="100" spans="1:17" ht="12.75" customHeight="1">
      <c r="A100" s="2"/>
      <c r="B100" s="6">
        <f>MAX($B$13:B99)+1</f>
        <v>50</v>
      </c>
      <c r="C100" s="58"/>
      <c r="D100" s="821" t="s">
        <v>710</v>
      </c>
      <c r="E100" s="6"/>
      <c r="F100" s="818">
        <v>0.34824117618401507</v>
      </c>
      <c r="G100" s="6"/>
      <c r="H100" s="818"/>
      <c r="I100" s="818"/>
      <c r="J100" s="818"/>
      <c r="K100" s="818"/>
      <c r="L100" s="818"/>
      <c r="M100" s="2"/>
      <c r="N100" s="2"/>
      <c r="O100" s="2"/>
      <c r="P100" s="2"/>
      <c r="Q100" s="2"/>
    </row>
    <row r="101" spans="1:17" ht="12.75" customHeight="1">
      <c r="A101" s="2"/>
      <c r="B101" s="6">
        <f>MAX($B$13:B100)+1</f>
        <v>51</v>
      </c>
      <c r="C101" s="58"/>
      <c r="D101" s="821" t="s">
        <v>711</v>
      </c>
      <c r="E101" s="6"/>
      <c r="F101" s="818">
        <v>5.0490213240996722</v>
      </c>
      <c r="G101" s="6"/>
      <c r="H101" s="818"/>
      <c r="I101" s="818"/>
      <c r="J101" s="818"/>
      <c r="K101" s="2"/>
      <c r="L101" s="818"/>
      <c r="M101" s="2"/>
      <c r="N101" s="2"/>
      <c r="O101" s="2"/>
      <c r="P101" s="2"/>
      <c r="Q101" s="2"/>
    </row>
    <row r="102" spans="1:17" ht="12.75" customHeight="1">
      <c r="A102" s="2"/>
      <c r="B102" s="6">
        <f>MAX($B$13:B101)+1</f>
        <v>52</v>
      </c>
      <c r="C102" s="58"/>
      <c r="D102" s="821" t="s">
        <v>712</v>
      </c>
      <c r="E102" s="6"/>
      <c r="F102" s="846">
        <f>-$F$73</f>
        <v>-0.21094377985455517</v>
      </c>
      <c r="G102" s="6"/>
      <c r="H102" s="818"/>
      <c r="I102" s="818"/>
      <c r="J102" s="818"/>
      <c r="K102" s="818"/>
      <c r="L102" s="818"/>
      <c r="M102" s="2"/>
      <c r="N102" s="2"/>
      <c r="O102" s="2"/>
      <c r="P102" s="2"/>
      <c r="Q102" s="2"/>
    </row>
    <row r="103" spans="1:17" ht="12.75" customHeight="1">
      <c r="A103" s="2"/>
      <c r="B103" s="6">
        <f>MAX($B$13:B102)+1</f>
        <v>53</v>
      </c>
      <c r="C103" s="58"/>
      <c r="D103" s="828" t="s">
        <v>717</v>
      </c>
      <c r="E103" s="6"/>
      <c r="F103" s="845">
        <f>F100+F101+F102</f>
        <v>5.1863187204291314</v>
      </c>
      <c r="G103" s="6"/>
      <c r="H103" s="827">
        <f>F103</f>
        <v>5.1863187204291314</v>
      </c>
      <c r="I103" s="818"/>
      <c r="J103" s="818"/>
      <c r="K103" s="818"/>
      <c r="L103" s="818"/>
      <c r="M103" s="2"/>
      <c r="N103" s="2"/>
      <c r="O103" s="2"/>
      <c r="P103" s="2"/>
      <c r="Q103" s="2"/>
    </row>
    <row r="104" spans="1:17" ht="12.75" customHeight="1">
      <c r="A104" s="2"/>
      <c r="B104" s="6"/>
      <c r="C104" s="58"/>
      <c r="D104" s="828"/>
      <c r="E104" s="6"/>
      <c r="F104" s="61"/>
      <c r="G104" s="6"/>
      <c r="H104" s="818"/>
      <c r="I104" s="818"/>
      <c r="J104" s="818"/>
      <c r="K104" s="818"/>
      <c r="L104" s="818"/>
      <c r="M104" s="2"/>
      <c r="N104" s="2"/>
      <c r="O104" s="2"/>
      <c r="P104" s="2"/>
      <c r="Q104" s="2"/>
    </row>
    <row r="105" spans="1:17" ht="12.75" customHeight="1">
      <c r="A105" s="2"/>
      <c r="B105" s="6"/>
      <c r="C105" s="58"/>
      <c r="D105" s="828" t="s">
        <v>718</v>
      </c>
      <c r="E105" s="6"/>
      <c r="F105" s="61"/>
      <c r="G105" s="6"/>
      <c r="H105" s="818"/>
      <c r="I105" s="818"/>
      <c r="J105" s="818"/>
      <c r="K105" s="818"/>
      <c r="L105" s="818"/>
      <c r="M105" s="2"/>
      <c r="N105" s="2"/>
      <c r="O105" s="2"/>
      <c r="P105" s="2"/>
      <c r="Q105" s="2"/>
    </row>
    <row r="106" spans="1:17" ht="12.75" customHeight="1">
      <c r="A106" s="2"/>
      <c r="B106" s="6">
        <f>MAX($B$13:B105)+1</f>
        <v>54</v>
      </c>
      <c r="C106" s="58"/>
      <c r="D106" s="821" t="s">
        <v>501</v>
      </c>
      <c r="E106" s="6"/>
      <c r="F106" s="818">
        <v>1.2773914851201349</v>
      </c>
      <c r="G106" s="6"/>
      <c r="H106" s="818"/>
      <c r="I106" s="818"/>
      <c r="J106" s="818"/>
      <c r="K106" s="818"/>
      <c r="L106" s="818"/>
      <c r="M106" s="2"/>
      <c r="N106" s="2"/>
      <c r="O106" s="2"/>
      <c r="P106" s="2"/>
      <c r="Q106" s="2"/>
    </row>
    <row r="107" spans="1:17" ht="12.75" customHeight="1">
      <c r="A107" s="2"/>
      <c r="B107" s="6">
        <f>MAX($B$13:B106)+1</f>
        <v>55</v>
      </c>
      <c r="C107" s="58"/>
      <c r="D107" s="821" t="s">
        <v>711</v>
      </c>
      <c r="E107" s="6"/>
      <c r="F107" s="818">
        <v>6.1600894468437097</v>
      </c>
      <c r="G107" s="6"/>
      <c r="H107" s="818"/>
      <c r="I107" s="818"/>
      <c r="J107" s="818"/>
      <c r="K107" s="818"/>
      <c r="L107" s="818"/>
      <c r="M107" s="2"/>
      <c r="N107" s="2"/>
      <c r="O107" s="2"/>
      <c r="P107" s="2"/>
      <c r="Q107" s="2"/>
    </row>
    <row r="108" spans="1:17" ht="12.75" customHeight="1">
      <c r="A108" s="2"/>
      <c r="B108" s="6">
        <f>MAX($B$13:B107)+1</f>
        <v>56</v>
      </c>
      <c r="C108" s="58"/>
      <c r="D108" s="821" t="s">
        <v>712</v>
      </c>
      <c r="E108" s="6"/>
      <c r="F108" s="846">
        <f>-$F$73</f>
        <v>-0.21094377985455517</v>
      </c>
      <c r="G108" s="6"/>
      <c r="H108" s="818"/>
      <c r="I108" s="818"/>
      <c r="J108" s="818"/>
      <c r="K108" s="818"/>
      <c r="L108" s="818"/>
      <c r="M108" s="2"/>
      <c r="N108" s="2"/>
      <c r="O108" s="2"/>
      <c r="P108" s="2"/>
      <c r="Q108" s="2"/>
    </row>
    <row r="109" spans="1:17" ht="12.75" customHeight="1">
      <c r="A109" s="2"/>
      <c r="B109" s="6">
        <f>MAX($B$13:B108)+1</f>
        <v>57</v>
      </c>
      <c r="C109" s="58"/>
      <c r="D109" s="828" t="s">
        <v>718</v>
      </c>
      <c r="E109" s="6"/>
      <c r="F109" s="845">
        <f>F106+F107+F108</f>
        <v>7.2265371521092892</v>
      </c>
      <c r="G109" s="6"/>
      <c r="H109" s="827">
        <f>F109</f>
        <v>7.2265371521092892</v>
      </c>
      <c r="I109" s="818"/>
      <c r="J109" s="818"/>
      <c r="K109" s="818"/>
      <c r="L109" s="818"/>
      <c r="M109" s="2"/>
      <c r="N109" s="2"/>
      <c r="O109" s="2"/>
      <c r="P109" s="2"/>
      <c r="Q109" s="2"/>
    </row>
    <row r="110" spans="1:17" ht="12.75" customHeight="1">
      <c r="A110" s="2"/>
      <c r="B110" s="6"/>
      <c r="C110" s="58"/>
      <c r="D110" s="828"/>
      <c r="E110" s="6"/>
      <c r="F110" s="61"/>
      <c r="G110" s="6"/>
      <c r="H110" s="818"/>
      <c r="I110" s="818"/>
      <c r="J110" s="818"/>
      <c r="K110" s="818"/>
      <c r="L110" s="818"/>
      <c r="M110" s="2"/>
      <c r="N110" s="2"/>
      <c r="O110" s="2"/>
      <c r="P110" s="2"/>
      <c r="Q110" s="2"/>
    </row>
    <row r="111" spans="1:17" ht="12.75" customHeight="1">
      <c r="A111" s="2"/>
      <c r="B111" s="6"/>
      <c r="C111" s="58"/>
      <c r="D111" s="828"/>
      <c r="E111" s="6"/>
      <c r="F111" s="61"/>
      <c r="G111" s="6"/>
      <c r="H111" s="818"/>
      <c r="I111" s="818"/>
      <c r="J111" s="818"/>
      <c r="K111" s="818"/>
      <c r="L111" s="818"/>
      <c r="M111" s="2"/>
      <c r="N111" s="2"/>
      <c r="O111" s="2"/>
      <c r="P111" s="2"/>
      <c r="Q111" s="2"/>
    </row>
    <row r="112" spans="1:17" ht="12.75" customHeight="1">
      <c r="B112" s="829"/>
      <c r="C112" s="829"/>
      <c r="D112" s="829"/>
      <c r="E112" s="829"/>
      <c r="F112" s="829"/>
      <c r="G112" s="829"/>
      <c r="H112" s="829"/>
      <c r="I112" s="829"/>
    </row>
    <row r="113" spans="1:17" ht="12.75" customHeight="1">
      <c r="A113" s="2"/>
      <c r="B113" s="1166" t="s">
        <v>701</v>
      </c>
      <c r="C113" s="1166"/>
      <c r="D113" s="1166"/>
      <c r="E113" s="1166"/>
      <c r="F113" s="1166"/>
      <c r="G113" s="1166"/>
      <c r="H113" s="1166"/>
      <c r="I113" s="818"/>
      <c r="J113" s="818"/>
      <c r="K113" s="818"/>
      <c r="L113" s="818"/>
      <c r="M113" s="818"/>
      <c r="N113" s="2"/>
      <c r="O113" s="2"/>
      <c r="P113" s="2"/>
      <c r="Q113" s="2"/>
    </row>
    <row r="114" spans="1:17" ht="12.75" customHeight="1">
      <c r="A114" s="2"/>
      <c r="B114" s="6"/>
      <c r="C114" s="6"/>
      <c r="D114" s="6"/>
      <c r="E114" s="6"/>
      <c r="F114" s="1"/>
      <c r="G114" s="2"/>
      <c r="H114" s="1"/>
      <c r="I114" s="818"/>
      <c r="J114" s="818"/>
      <c r="K114" s="818"/>
      <c r="L114" s="818"/>
      <c r="M114" s="818"/>
      <c r="N114" s="2"/>
      <c r="O114" s="2"/>
      <c r="P114" s="2"/>
      <c r="Q114" s="2"/>
    </row>
    <row r="115" spans="1:17" ht="12.75" customHeight="1">
      <c r="A115" s="2"/>
      <c r="B115" s="6" t="s">
        <v>56</v>
      </c>
      <c r="C115" s="58"/>
      <c r="D115" s="58"/>
      <c r="E115" s="58"/>
      <c r="F115" s="1"/>
      <c r="G115" s="2"/>
      <c r="H115" s="6"/>
      <c r="I115" s="818"/>
      <c r="J115" s="818"/>
      <c r="K115" s="814"/>
      <c r="L115" s="818"/>
      <c r="M115" s="818"/>
      <c r="N115" s="2"/>
      <c r="O115" s="2"/>
      <c r="P115" s="2"/>
      <c r="Q115" s="2"/>
    </row>
    <row r="116" spans="1:17" ht="12.75" customHeight="1">
      <c r="A116" s="2"/>
      <c r="B116" s="237" t="s">
        <v>57</v>
      </c>
      <c r="C116" s="58"/>
      <c r="D116" s="59" t="s">
        <v>194</v>
      </c>
      <c r="E116" s="237"/>
      <c r="F116" s="7"/>
      <c r="G116" s="2"/>
      <c r="H116" s="812" t="s">
        <v>525</v>
      </c>
      <c r="I116" s="818"/>
      <c r="J116" s="818"/>
      <c r="K116" s="814"/>
      <c r="L116" s="818"/>
      <c r="M116" s="818"/>
      <c r="N116" s="2"/>
      <c r="O116" s="2"/>
      <c r="P116" s="2"/>
      <c r="Q116" s="2"/>
    </row>
    <row r="117" spans="1:17" ht="12.75" customHeight="1">
      <c r="A117" s="2"/>
      <c r="B117" s="6"/>
      <c r="C117" s="58"/>
      <c r="D117" s="58"/>
      <c r="E117" s="6"/>
      <c r="F117" s="1"/>
      <c r="G117" s="6"/>
      <c r="H117" s="6" t="s">
        <v>9</v>
      </c>
      <c r="I117" s="818"/>
      <c r="J117" s="818"/>
      <c r="K117" s="814"/>
      <c r="L117" s="818"/>
      <c r="M117" s="818"/>
      <c r="N117" s="2"/>
      <c r="O117" s="2"/>
      <c r="P117" s="2"/>
      <c r="Q117" s="2"/>
    </row>
    <row r="118" spans="1:17" ht="12.75" customHeight="1">
      <c r="A118" s="2"/>
      <c r="B118" s="829"/>
      <c r="C118" s="829"/>
      <c r="D118" s="829"/>
      <c r="E118" s="829"/>
      <c r="F118" s="829"/>
      <c r="G118" s="829"/>
      <c r="H118" s="829"/>
      <c r="I118" s="818"/>
      <c r="J118" s="818"/>
      <c r="K118" s="818"/>
      <c r="L118" s="818"/>
      <c r="M118" s="818"/>
      <c r="N118" s="2"/>
      <c r="O118" s="2"/>
      <c r="P118" s="2"/>
      <c r="Q118" s="2"/>
    </row>
    <row r="119" spans="1:17" ht="12.75" customHeight="1">
      <c r="A119" s="2"/>
      <c r="B119" s="829"/>
      <c r="C119" s="829"/>
      <c r="D119" s="9" t="s">
        <v>719</v>
      </c>
      <c r="E119" s="829"/>
      <c r="F119" s="829"/>
      <c r="G119" s="829"/>
      <c r="H119" s="829"/>
      <c r="I119" s="818"/>
      <c r="J119" s="818"/>
      <c r="K119" s="818"/>
      <c r="L119" s="818"/>
      <c r="M119" s="818"/>
      <c r="N119" s="2"/>
      <c r="O119" s="2"/>
      <c r="P119" s="2"/>
      <c r="Q119" s="2"/>
    </row>
    <row r="120" spans="1:17" ht="12.75" customHeight="1">
      <c r="A120" s="2"/>
      <c r="B120" s="6"/>
      <c r="C120" s="58"/>
      <c r="D120" s="829"/>
      <c r="E120" s="6"/>
      <c r="F120" s="61"/>
      <c r="G120" s="6"/>
      <c r="H120" s="818"/>
      <c r="I120" s="818"/>
      <c r="J120" s="822"/>
      <c r="K120" s="818"/>
      <c r="L120" s="818"/>
      <c r="M120" s="818"/>
      <c r="N120" s="2"/>
      <c r="O120" s="2"/>
      <c r="P120" s="2"/>
      <c r="Q120" s="2"/>
    </row>
    <row r="121" spans="1:17" ht="12.75" customHeight="1">
      <c r="A121" s="2"/>
      <c r="B121" s="6"/>
      <c r="C121" s="58"/>
      <c r="D121" s="828" t="s">
        <v>720</v>
      </c>
      <c r="E121" s="6"/>
      <c r="F121" s="61"/>
      <c r="G121" s="6"/>
      <c r="H121" s="818"/>
      <c r="I121" s="818"/>
      <c r="J121" s="818"/>
      <c r="K121" s="818"/>
      <c r="L121" s="818"/>
      <c r="M121" s="818"/>
      <c r="N121" s="2"/>
      <c r="O121" s="2"/>
      <c r="P121" s="2"/>
      <c r="Q121" s="2"/>
    </row>
    <row r="122" spans="1:17" ht="12.75" customHeight="1">
      <c r="A122" s="2"/>
      <c r="B122" s="6">
        <f>MAX($B$13:B121)+1</f>
        <v>58</v>
      </c>
      <c r="C122" s="58"/>
      <c r="D122" s="821" t="s">
        <v>710</v>
      </c>
      <c r="E122" s="6"/>
      <c r="F122" s="817">
        <v>2.1114479211218993</v>
      </c>
      <c r="G122" s="6"/>
      <c r="H122" s="817"/>
      <c r="I122" s="818"/>
      <c r="J122" s="818"/>
      <c r="K122" s="808"/>
      <c r="L122" s="808"/>
      <c r="M122" s="818"/>
      <c r="N122" s="2"/>
      <c r="O122" s="2"/>
      <c r="P122" s="2"/>
      <c r="Q122" s="2"/>
    </row>
    <row r="123" spans="1:17" ht="12.75" customHeight="1">
      <c r="A123" s="2"/>
      <c r="B123" s="6">
        <f>MAX($B$13:B122)+1</f>
        <v>59</v>
      </c>
      <c r="C123" s="58"/>
      <c r="D123" s="821" t="s">
        <v>721</v>
      </c>
      <c r="E123" s="2"/>
      <c r="F123" s="817">
        <f>$H$18</f>
        <v>0.21420838948289245</v>
      </c>
      <c r="G123" s="2"/>
      <c r="H123" s="817"/>
      <c r="I123" s="818"/>
      <c r="J123" s="818"/>
      <c r="K123" s="808"/>
      <c r="L123" s="808"/>
      <c r="M123" s="818"/>
      <c r="N123" s="2"/>
      <c r="O123" s="2"/>
      <c r="P123" s="2"/>
      <c r="Q123" s="2"/>
    </row>
    <row r="124" spans="1:17" ht="12.75" customHeight="1">
      <c r="A124" s="2"/>
      <c r="B124" s="6">
        <f>MAX($B$13:B123)+1</f>
        <v>60</v>
      </c>
      <c r="C124" s="58"/>
      <c r="D124" s="828" t="s">
        <v>722</v>
      </c>
      <c r="E124" s="2"/>
      <c r="F124" s="845">
        <f>F122+F123</f>
        <v>2.3256563106047916</v>
      </c>
      <c r="G124" s="2"/>
      <c r="H124" s="827">
        <f>F124</f>
        <v>2.3256563106047916</v>
      </c>
      <c r="I124" s="818"/>
      <c r="J124" s="847"/>
      <c r="K124" s="808"/>
      <c r="L124" s="808"/>
      <c r="M124" s="818"/>
      <c r="N124" s="2"/>
      <c r="O124" s="2"/>
      <c r="P124" s="2"/>
      <c r="Q124" s="2"/>
    </row>
    <row r="125" spans="1:17" ht="12.75" customHeight="1">
      <c r="A125" s="2"/>
      <c r="B125" s="6"/>
      <c r="C125" s="2"/>
      <c r="D125" s="848"/>
      <c r="E125" s="2"/>
      <c r="F125" s="2"/>
      <c r="G125" s="2"/>
      <c r="H125" s="818"/>
      <c r="I125" s="818"/>
      <c r="J125" s="818"/>
      <c r="K125" s="818"/>
      <c r="L125" s="818"/>
      <c r="M125" s="818"/>
      <c r="N125" s="2"/>
      <c r="O125" s="2"/>
      <c r="P125" s="2"/>
      <c r="Q125" s="2"/>
    </row>
    <row r="126" spans="1:17" ht="12.75" customHeight="1">
      <c r="A126" s="2"/>
      <c r="B126" s="6"/>
      <c r="C126" s="2"/>
      <c r="D126" s="828" t="s">
        <v>723</v>
      </c>
      <c r="E126" s="58"/>
      <c r="F126" s="58"/>
      <c r="G126" s="58"/>
      <c r="H126" s="818"/>
      <c r="I126" s="818"/>
      <c r="J126" s="818"/>
      <c r="K126" s="818"/>
      <c r="L126" s="814"/>
      <c r="M126" s="818"/>
      <c r="N126" s="2"/>
      <c r="O126" s="2"/>
      <c r="P126" s="2"/>
      <c r="Q126" s="2"/>
    </row>
    <row r="127" spans="1:17" ht="12.75" customHeight="1">
      <c r="A127" s="2"/>
      <c r="B127" s="6">
        <f>MAX($B$13:B126)+1</f>
        <v>61</v>
      </c>
      <c r="C127" s="2"/>
      <c r="D127" s="821" t="s">
        <v>724</v>
      </c>
      <c r="E127" s="58"/>
      <c r="F127" s="817">
        <v>3.2719052054076672</v>
      </c>
      <c r="G127" s="818"/>
      <c r="H127" s="817"/>
      <c r="I127" s="818"/>
      <c r="J127" s="818"/>
      <c r="K127" s="808"/>
      <c r="L127" s="814"/>
      <c r="M127" s="818"/>
      <c r="N127" s="2"/>
      <c r="O127" s="2"/>
      <c r="P127" s="2"/>
      <c r="Q127" s="2"/>
    </row>
    <row r="128" spans="1:17" ht="12.75" customHeight="1">
      <c r="A128" s="2"/>
      <c r="B128" s="6">
        <f>MAX($B$13:B127)+1</f>
        <v>62</v>
      </c>
      <c r="C128" s="2"/>
      <c r="D128" s="821" t="s">
        <v>721</v>
      </c>
      <c r="E128" s="58"/>
      <c r="F128" s="817">
        <f>$H$18</f>
        <v>0.21420838948289245</v>
      </c>
      <c r="G128" s="818"/>
      <c r="H128" s="818"/>
      <c r="I128" s="818"/>
      <c r="J128" s="818"/>
      <c r="K128" s="808"/>
      <c r="L128" s="808"/>
      <c r="M128" s="818"/>
      <c r="N128" s="2"/>
      <c r="O128" s="2"/>
      <c r="P128" s="2"/>
      <c r="Q128" s="2"/>
    </row>
    <row r="129" spans="1:18" ht="12.75" customHeight="1">
      <c r="A129" s="2"/>
      <c r="B129" s="6">
        <f>MAX($B$13:B128)+1</f>
        <v>63</v>
      </c>
      <c r="C129" s="2"/>
      <c r="D129" s="828" t="s">
        <v>722</v>
      </c>
      <c r="E129" s="58"/>
      <c r="F129" s="845">
        <f>F127+F128</f>
        <v>3.4861135948905595</v>
      </c>
      <c r="G129" s="818"/>
      <c r="H129" s="827">
        <f>F129</f>
        <v>3.4861135948905595</v>
      </c>
      <c r="I129" s="818"/>
      <c r="J129" s="847"/>
      <c r="K129" s="808"/>
      <c r="L129" s="814"/>
      <c r="M129" s="818"/>
      <c r="N129" s="2"/>
      <c r="O129" s="2"/>
      <c r="P129" s="2"/>
      <c r="Q129" s="2"/>
    </row>
    <row r="130" spans="1:18" ht="12.75" customHeight="1">
      <c r="A130" s="2"/>
      <c r="B130" s="6"/>
      <c r="C130" s="2"/>
      <c r="D130" s="809"/>
      <c r="E130" s="809"/>
      <c r="F130" s="809"/>
      <c r="G130" s="809"/>
      <c r="H130" s="809"/>
      <c r="I130" s="809"/>
      <c r="J130" s="808"/>
      <c r="K130" s="808"/>
      <c r="L130" s="808"/>
      <c r="M130" s="808"/>
      <c r="N130" s="808"/>
      <c r="O130" s="808"/>
      <c r="P130" s="2"/>
      <c r="Q130" s="2"/>
    </row>
    <row r="131" spans="1:18" ht="12.75" customHeight="1">
      <c r="A131" s="2"/>
      <c r="B131" s="6"/>
      <c r="C131" s="2"/>
      <c r="D131" s="9" t="s">
        <v>725</v>
      </c>
      <c r="E131" s="2"/>
      <c r="F131" s="2"/>
      <c r="G131" s="2"/>
      <c r="H131" s="818"/>
      <c r="I131" s="818"/>
      <c r="J131" s="818"/>
      <c r="K131" s="818"/>
      <c r="L131" s="818"/>
      <c r="M131" s="808"/>
      <c r="N131" s="808"/>
      <c r="O131" s="808"/>
      <c r="P131" s="808"/>
      <c r="Q131" s="2"/>
    </row>
    <row r="132" spans="1:18" ht="12.75" customHeight="1">
      <c r="A132" s="2"/>
      <c r="B132" s="6"/>
      <c r="C132" s="2"/>
      <c r="D132" s="732"/>
      <c r="E132" s="2"/>
      <c r="F132" s="2"/>
      <c r="G132" s="2"/>
      <c r="H132" s="818"/>
      <c r="I132" s="818"/>
      <c r="J132" s="818"/>
      <c r="K132" s="818"/>
      <c r="L132" s="818"/>
      <c r="M132" s="808"/>
      <c r="N132" s="808"/>
      <c r="O132" s="808"/>
      <c r="P132" s="808"/>
      <c r="Q132" s="2"/>
    </row>
    <row r="133" spans="1:18" ht="12.75" customHeight="1">
      <c r="A133" s="2"/>
      <c r="B133" s="1"/>
      <c r="C133" s="2"/>
      <c r="D133" s="828" t="s">
        <v>726</v>
      </c>
      <c r="E133" s="2"/>
      <c r="F133" s="2"/>
      <c r="G133" s="2"/>
      <c r="H133" s="818"/>
      <c r="I133" s="818"/>
      <c r="J133" s="818"/>
      <c r="K133" s="818"/>
      <c r="L133" s="818"/>
      <c r="M133" s="818"/>
      <c r="N133" s="2"/>
      <c r="O133" s="2"/>
      <c r="P133" s="2"/>
      <c r="Q133" s="2"/>
    </row>
    <row r="134" spans="1:18" ht="12.75" customHeight="1">
      <c r="A134" s="2"/>
      <c r="B134" s="6">
        <f>MAX($B$13:B133)+1</f>
        <v>64</v>
      </c>
      <c r="C134" s="2"/>
      <c r="D134" s="821" t="s">
        <v>727</v>
      </c>
      <c r="E134" s="2"/>
      <c r="F134" s="818">
        <v>7.0095008248695843</v>
      </c>
      <c r="G134" s="818"/>
      <c r="H134" s="818"/>
      <c r="I134" s="818"/>
      <c r="J134" s="818"/>
      <c r="K134" s="808"/>
      <c r="L134" s="849"/>
      <c r="M134" s="818"/>
      <c r="N134" s="2"/>
      <c r="O134" s="2"/>
      <c r="P134" s="2"/>
      <c r="Q134" s="2"/>
    </row>
    <row r="135" spans="1:18" ht="12.75" customHeight="1">
      <c r="A135" s="2"/>
      <c r="B135" s="6">
        <f>MAX($B$13:B134)+1</f>
        <v>65</v>
      </c>
      <c r="C135" s="2"/>
      <c r="D135" s="821" t="s">
        <v>728</v>
      </c>
      <c r="E135" s="2"/>
      <c r="F135" s="850">
        <v>0.9</v>
      </c>
      <c r="G135" s="818"/>
      <c r="H135" s="851"/>
      <c r="I135" s="818"/>
      <c r="J135" s="818"/>
      <c r="K135" s="808"/>
      <c r="L135" s="808"/>
      <c r="M135" s="818"/>
      <c r="N135" s="2"/>
      <c r="O135" s="2"/>
      <c r="P135" s="2"/>
      <c r="Q135" s="2"/>
    </row>
    <row r="136" spans="1:18" ht="12.75" customHeight="1">
      <c r="A136" s="2"/>
      <c r="B136" s="6">
        <f>MAX($B$13:B135)+1</f>
        <v>66</v>
      </c>
      <c r="C136" s="2"/>
      <c r="D136" s="828" t="s">
        <v>729</v>
      </c>
      <c r="E136" s="2"/>
      <c r="F136" s="845">
        <f>F134*F135</f>
        <v>6.3085507423826259</v>
      </c>
      <c r="G136" s="818"/>
      <c r="H136" s="827">
        <f>F136</f>
        <v>6.3085507423826259</v>
      </c>
      <c r="I136" s="818"/>
      <c r="J136" s="847"/>
      <c r="K136" s="808"/>
      <c r="L136" s="808"/>
      <c r="M136" s="818"/>
      <c r="N136" s="2"/>
      <c r="O136" s="2"/>
      <c r="P136" s="2"/>
      <c r="Q136" s="2"/>
    </row>
    <row r="137" spans="1:18" ht="12.75" customHeight="1">
      <c r="A137" s="2"/>
      <c r="B137" s="1"/>
      <c r="C137" s="2"/>
      <c r="D137" s="828"/>
      <c r="E137" s="2"/>
      <c r="F137" s="2"/>
      <c r="G137" s="2"/>
      <c r="H137" s="2"/>
      <c r="I137" s="2"/>
      <c r="J137" s="2"/>
      <c r="K137" s="2"/>
      <c r="L137" s="2"/>
      <c r="M137" s="818"/>
      <c r="N137" s="2"/>
      <c r="O137" s="2"/>
      <c r="P137" s="315"/>
      <c r="Q137" s="315"/>
      <c r="R137" s="315"/>
    </row>
    <row r="138" spans="1:18" ht="12.75" customHeight="1">
      <c r="A138" s="2"/>
      <c r="B138" s="6"/>
      <c r="C138" s="2"/>
      <c r="D138" s="828" t="s">
        <v>730</v>
      </c>
      <c r="E138" s="2"/>
      <c r="F138" s="2"/>
      <c r="G138" s="2"/>
      <c r="H138" s="2"/>
      <c r="I138" s="2"/>
      <c r="J138" s="2"/>
      <c r="K138" s="2"/>
      <c r="L138" s="2"/>
      <c r="M138" s="818"/>
      <c r="N138" s="2"/>
      <c r="O138" s="2"/>
      <c r="P138" s="315"/>
      <c r="Q138" s="315"/>
      <c r="R138" s="852"/>
    </row>
    <row r="139" spans="1:18" ht="12.75" customHeight="1">
      <c r="A139" s="2"/>
      <c r="B139" s="6">
        <f>MAX($B$13:B138)+1</f>
        <v>67</v>
      </c>
      <c r="C139" s="2"/>
      <c r="D139" s="821" t="s">
        <v>731</v>
      </c>
      <c r="E139" s="2"/>
      <c r="F139" s="818">
        <v>5.3477332549317644</v>
      </c>
      <c r="G139" s="818"/>
      <c r="H139" s="818"/>
      <c r="I139" s="2"/>
      <c r="J139" s="2"/>
      <c r="K139" s="808"/>
      <c r="L139" s="849"/>
      <c r="M139" s="818"/>
      <c r="N139" s="2"/>
      <c r="O139" s="2"/>
      <c r="P139" s="315"/>
      <c r="Q139" s="315"/>
      <c r="R139" s="852"/>
    </row>
    <row r="140" spans="1:18" ht="12.75" customHeight="1">
      <c r="A140" s="2"/>
      <c r="B140" s="6">
        <f>MAX($B$13:B139)+1</f>
        <v>68</v>
      </c>
      <c r="C140" s="2"/>
      <c r="D140" s="821" t="s">
        <v>732</v>
      </c>
      <c r="E140" s="2"/>
      <c r="F140" s="818">
        <v>0.46984452849414055</v>
      </c>
      <c r="G140" s="818"/>
      <c r="H140" s="818"/>
      <c r="I140" s="2"/>
      <c r="J140" s="2"/>
      <c r="K140" s="808"/>
      <c r="L140" s="808"/>
      <c r="M140" s="818"/>
      <c r="N140" s="2"/>
      <c r="O140" s="2"/>
      <c r="P140" s="315"/>
      <c r="Q140" s="315"/>
      <c r="R140" s="853"/>
    </row>
    <row r="141" spans="1:18" ht="12.75" customHeight="1">
      <c r="A141" s="2"/>
      <c r="B141" s="6">
        <f>MAX($B$13:B140)+1</f>
        <v>69</v>
      </c>
      <c r="C141" s="2"/>
      <c r="D141" s="828" t="s">
        <v>733</v>
      </c>
      <c r="E141" s="2"/>
      <c r="F141" s="845">
        <f>F139+F140</f>
        <v>5.8175777834259046</v>
      </c>
      <c r="G141" s="2"/>
      <c r="H141" s="827">
        <f>F141</f>
        <v>5.8175777834259046</v>
      </c>
      <c r="I141" s="2"/>
      <c r="J141" s="847"/>
      <c r="K141" s="808"/>
      <c r="L141" s="808"/>
      <c r="M141" s="2"/>
      <c r="N141" s="2"/>
      <c r="O141" s="2"/>
      <c r="P141" s="315"/>
      <c r="Q141" s="315"/>
      <c r="R141" s="853"/>
    </row>
    <row r="142" spans="1:18" ht="12.75" customHeight="1">
      <c r="A142" s="2"/>
      <c r="B142" s="1"/>
      <c r="C142" s="2"/>
      <c r="D142" s="828"/>
      <c r="E142" s="2"/>
      <c r="F142" s="2"/>
      <c r="G142" s="2"/>
      <c r="H142" s="2"/>
      <c r="I142" s="2"/>
      <c r="J142" s="2"/>
      <c r="K142" s="2"/>
      <c r="L142" s="2"/>
      <c r="M142" s="2"/>
      <c r="N142" s="2"/>
      <c r="O142" s="2"/>
      <c r="P142" s="2"/>
      <c r="Q142" s="2"/>
    </row>
    <row r="143" spans="1:18" ht="12.75" customHeight="1">
      <c r="A143" s="2"/>
      <c r="B143" s="6"/>
      <c r="C143" s="2"/>
      <c r="D143" s="828" t="s">
        <v>734</v>
      </c>
      <c r="E143" s="2"/>
      <c r="F143" s="2"/>
      <c r="G143" s="2"/>
      <c r="H143" s="2"/>
      <c r="I143" s="2"/>
      <c r="J143" s="2"/>
      <c r="K143" s="2"/>
      <c r="L143" s="2"/>
      <c r="M143" s="2"/>
      <c r="N143" s="2"/>
      <c r="O143" s="2"/>
      <c r="P143" s="2"/>
      <c r="Q143" s="2"/>
    </row>
    <row r="144" spans="1:18" ht="12.75" customHeight="1">
      <c r="A144" s="2"/>
      <c r="B144" s="6">
        <f>MAX($B$13:B143)+1</f>
        <v>70</v>
      </c>
      <c r="C144" s="2"/>
      <c r="D144" s="821" t="s">
        <v>735</v>
      </c>
      <c r="E144" s="2"/>
      <c r="F144" s="818">
        <v>6.8971999999999998</v>
      </c>
      <c r="G144" s="818"/>
      <c r="H144" s="809"/>
      <c r="I144" s="2"/>
      <c r="J144" s="808"/>
      <c r="K144" s="808"/>
      <c r="L144" s="849"/>
      <c r="M144" s="2"/>
      <c r="N144" s="2"/>
      <c r="O144" s="2"/>
      <c r="P144" s="2"/>
      <c r="Q144" s="2"/>
    </row>
    <row r="145" spans="1:17" ht="12.75" customHeight="1">
      <c r="A145" s="2"/>
      <c r="B145" s="6">
        <f>MAX($B$13:B144)+1</f>
        <v>71</v>
      </c>
      <c r="C145" s="2"/>
      <c r="D145" s="821" t="s">
        <v>736</v>
      </c>
      <c r="E145" s="2"/>
      <c r="F145" s="846">
        <v>0.3411452694375865</v>
      </c>
      <c r="G145" s="818"/>
      <c r="H145" s="809"/>
      <c r="I145" s="2"/>
      <c r="J145" s="808"/>
      <c r="K145" s="808"/>
      <c r="L145" s="808"/>
      <c r="M145" s="2"/>
      <c r="N145" s="2"/>
      <c r="O145" s="2"/>
      <c r="P145" s="2"/>
      <c r="Q145" s="2"/>
    </row>
    <row r="146" spans="1:17" ht="12.75" customHeight="1">
      <c r="A146" s="2"/>
      <c r="B146" s="6">
        <f>MAX($B$13:B145)+1</f>
        <v>72</v>
      </c>
      <c r="C146" s="2"/>
      <c r="D146" s="828" t="s">
        <v>737</v>
      </c>
      <c r="E146" s="2"/>
      <c r="F146" s="845">
        <f>F144+F145</f>
        <v>7.2383452694375858</v>
      </c>
      <c r="G146" s="818"/>
      <c r="H146" s="827">
        <f>F146</f>
        <v>7.2383452694375858</v>
      </c>
      <c r="I146" s="2"/>
      <c r="J146" s="808"/>
      <c r="K146" s="808"/>
      <c r="L146" s="808"/>
      <c r="M146" s="2"/>
      <c r="N146" s="2"/>
      <c r="O146" s="2"/>
      <c r="P146" s="2"/>
      <c r="Q146" s="2"/>
    </row>
    <row r="147" spans="1:17" ht="12.75" customHeight="1">
      <c r="A147" s="2"/>
      <c r="B147" s="1"/>
      <c r="C147" s="2"/>
      <c r="D147" s="828"/>
      <c r="E147" s="2"/>
      <c r="F147" s="2"/>
      <c r="G147" s="2"/>
      <c r="H147" s="2"/>
      <c r="I147" s="2"/>
      <c r="J147" s="2"/>
      <c r="K147" s="2"/>
      <c r="L147" s="2"/>
      <c r="M147" s="2"/>
      <c r="N147" s="2"/>
      <c r="O147" s="2"/>
      <c r="P147" s="2"/>
      <c r="Q147" s="2"/>
    </row>
    <row r="148" spans="1:17" ht="12.75" customHeight="1">
      <c r="A148" s="2"/>
      <c r="B148" s="6"/>
      <c r="C148" s="2"/>
      <c r="D148" s="828" t="s">
        <v>738</v>
      </c>
      <c r="E148" s="2"/>
      <c r="F148" s="818"/>
      <c r="G148" s="2"/>
      <c r="H148" s="809"/>
      <c r="I148" s="2"/>
      <c r="J148" s="847"/>
      <c r="K148" s="808"/>
      <c r="L148" s="808"/>
      <c r="M148" s="2"/>
      <c r="N148" s="2"/>
      <c r="O148" s="2"/>
      <c r="P148" s="2"/>
      <c r="Q148" s="2"/>
    </row>
    <row r="149" spans="1:17" ht="12.75" customHeight="1">
      <c r="A149" s="2"/>
      <c r="B149" s="6">
        <f>MAX($B$13:B148)+1</f>
        <v>73</v>
      </c>
      <c r="C149" s="2"/>
      <c r="D149" s="821" t="s">
        <v>739</v>
      </c>
      <c r="E149" s="2"/>
      <c r="F149" s="854">
        <f>$H$141</f>
        <v>5.8175777834259046</v>
      </c>
      <c r="G149" s="2"/>
      <c r="H149" s="829"/>
      <c r="I149" s="2"/>
      <c r="J149" s="2"/>
      <c r="K149" s="808"/>
      <c r="L149" s="808"/>
      <c r="M149" s="2"/>
      <c r="N149" s="2"/>
      <c r="O149" s="2"/>
      <c r="P149" s="2"/>
      <c r="Q149" s="2"/>
    </row>
    <row r="150" spans="1:17" ht="12.75" customHeight="1">
      <c r="A150" s="2"/>
      <c r="B150" s="6">
        <f>MAX($B$13:B149)+1</f>
        <v>74</v>
      </c>
      <c r="C150" s="809"/>
      <c r="D150" s="828" t="s">
        <v>740</v>
      </c>
      <c r="E150" s="809"/>
      <c r="F150" s="818">
        <f>F149</f>
        <v>5.8175777834259046</v>
      </c>
      <c r="G150" s="809"/>
      <c r="H150" s="827">
        <f>H$141</f>
        <v>5.8175777834259046</v>
      </c>
      <c r="I150" s="2"/>
      <c r="J150" s="847"/>
      <c r="K150" s="808"/>
      <c r="L150" s="808"/>
      <c r="M150" s="2"/>
      <c r="N150" s="2"/>
      <c r="O150" s="2"/>
      <c r="P150" s="2"/>
      <c r="Q150" s="2"/>
    </row>
    <row r="151" spans="1:17" ht="12.75" customHeight="1">
      <c r="A151" s="2"/>
      <c r="B151" s="809"/>
      <c r="C151" s="809"/>
      <c r="D151" s="809"/>
      <c r="E151" s="829"/>
      <c r="F151" s="829"/>
      <c r="G151" s="829"/>
      <c r="H151" s="829"/>
      <c r="I151" s="809"/>
      <c r="J151" s="808"/>
      <c r="K151" s="808"/>
      <c r="L151" s="808"/>
      <c r="M151" s="2"/>
      <c r="N151" s="2"/>
      <c r="O151" s="2"/>
      <c r="P151" s="2"/>
      <c r="Q151" s="2"/>
    </row>
    <row r="152" spans="1:17" ht="12.75" customHeight="1">
      <c r="A152" s="2"/>
      <c r="B152" s="6"/>
      <c r="C152" s="2"/>
      <c r="D152" s="828" t="s">
        <v>741</v>
      </c>
      <c r="E152" s="2"/>
      <c r="F152" s="818"/>
      <c r="G152" s="2"/>
      <c r="H152" s="2"/>
      <c r="I152" s="809"/>
      <c r="J152" s="808"/>
      <c r="K152" s="808"/>
      <c r="L152" s="808"/>
      <c r="M152" s="2"/>
      <c r="N152" s="2"/>
      <c r="O152" s="2"/>
      <c r="P152" s="2"/>
      <c r="Q152" s="2"/>
    </row>
    <row r="153" spans="1:17" ht="12.75" customHeight="1">
      <c r="A153" s="2"/>
      <c r="B153" s="6">
        <f>MAX($B$13:B152)+1</f>
        <v>75</v>
      </c>
      <c r="C153" s="2"/>
      <c r="D153" s="821" t="s">
        <v>739</v>
      </c>
      <c r="E153" s="809"/>
      <c r="F153" s="854">
        <f>$H$141</f>
        <v>5.8175777834259046</v>
      </c>
      <c r="G153" s="2"/>
      <c r="H153" s="829"/>
      <c r="I153" s="809"/>
      <c r="J153" s="808"/>
      <c r="K153" s="808"/>
      <c r="L153" s="808"/>
      <c r="M153" s="2"/>
      <c r="N153" s="2"/>
      <c r="O153" s="2"/>
      <c r="P153" s="2"/>
      <c r="Q153" s="2"/>
    </row>
    <row r="154" spans="1:17" ht="12.75" customHeight="1">
      <c r="A154" s="2"/>
      <c r="B154" s="6">
        <f>MAX($B$13:B153)+1</f>
        <v>76</v>
      </c>
      <c r="C154" s="2"/>
      <c r="D154" s="828" t="s">
        <v>742</v>
      </c>
      <c r="E154" s="809"/>
      <c r="F154" s="818">
        <f>F153</f>
        <v>5.8175777834259046</v>
      </c>
      <c r="G154" s="809"/>
      <c r="H154" s="827">
        <f>H$141</f>
        <v>5.8175777834259046</v>
      </c>
      <c r="I154" s="809"/>
      <c r="J154" s="822"/>
      <c r="K154" s="808"/>
      <c r="L154" s="808"/>
      <c r="M154" s="2"/>
      <c r="N154" s="2"/>
      <c r="O154" s="2"/>
      <c r="P154" s="2"/>
      <c r="Q154" s="2"/>
    </row>
    <row r="155" spans="1:17" ht="12.75" customHeight="1">
      <c r="A155" s="2"/>
      <c r="B155" s="1"/>
      <c r="C155" s="2"/>
      <c r="D155" s="809"/>
      <c r="E155" s="809"/>
      <c r="F155" s="809"/>
      <c r="G155" s="809"/>
      <c r="H155" s="809"/>
      <c r="I155" s="809"/>
      <c r="J155" s="808"/>
      <c r="K155" s="808"/>
      <c r="L155" s="808"/>
      <c r="M155" s="2"/>
      <c r="N155" s="2"/>
      <c r="O155" s="2"/>
      <c r="P155" s="2"/>
      <c r="Q155" s="2"/>
    </row>
    <row r="156" spans="1:17" ht="12.75" customHeight="1">
      <c r="A156" s="2"/>
      <c r="B156" s="1"/>
      <c r="C156" s="2"/>
      <c r="D156" s="809"/>
      <c r="E156" s="809"/>
      <c r="F156" s="809"/>
      <c r="G156" s="809"/>
      <c r="H156" s="809"/>
      <c r="I156" s="809"/>
      <c r="J156" s="808"/>
      <c r="K156" s="808"/>
      <c r="L156" s="808"/>
      <c r="M156" s="2"/>
      <c r="N156" s="2"/>
      <c r="O156" s="2"/>
      <c r="P156" s="2"/>
      <c r="Q156" s="2"/>
    </row>
    <row r="157" spans="1:17" ht="12.75" customHeight="1">
      <c r="A157" s="2"/>
      <c r="B157" s="1"/>
      <c r="C157" s="2"/>
      <c r="D157" s="809"/>
      <c r="E157" s="809"/>
      <c r="F157" s="809"/>
      <c r="G157" s="809"/>
      <c r="H157" s="809"/>
      <c r="I157" s="809"/>
      <c r="J157" s="808"/>
      <c r="K157" s="808"/>
      <c r="L157" s="808"/>
      <c r="M157" s="2"/>
      <c r="N157" s="2"/>
      <c r="O157" s="2"/>
      <c r="P157" s="2"/>
      <c r="Q157" s="2"/>
    </row>
    <row r="158" spans="1:17" ht="12.75" customHeight="1">
      <c r="A158" s="2"/>
      <c r="B158" s="811"/>
      <c r="C158" s="4"/>
      <c r="D158" s="811"/>
      <c r="E158" s="811"/>
      <c r="F158" s="811"/>
      <c r="G158" s="811"/>
      <c r="H158" s="811"/>
      <c r="I158" s="811"/>
      <c r="J158" s="808"/>
      <c r="K158" s="808"/>
      <c r="L158" s="808"/>
      <c r="M158" s="2"/>
      <c r="N158" s="2"/>
      <c r="O158" s="2"/>
      <c r="P158" s="2"/>
      <c r="Q158" s="2"/>
    </row>
    <row r="159" spans="1:17" ht="12.75" customHeight="1">
      <c r="A159" s="2"/>
      <c r="B159" s="1166" t="s">
        <v>701</v>
      </c>
      <c r="C159" s="1166"/>
      <c r="D159" s="1166"/>
      <c r="E159" s="1166"/>
      <c r="F159" s="1166"/>
      <c r="G159" s="1166"/>
      <c r="H159" s="1166"/>
      <c r="I159" s="811"/>
      <c r="J159" s="808"/>
      <c r="K159" s="808"/>
      <c r="L159" s="808"/>
      <c r="M159" s="2"/>
      <c r="N159" s="2"/>
      <c r="O159" s="2"/>
      <c r="P159" s="2"/>
      <c r="Q159" s="2"/>
    </row>
    <row r="160" spans="1:17" ht="12.75" customHeight="1">
      <c r="A160" s="2"/>
      <c r="B160" s="6"/>
      <c r="C160" s="6"/>
      <c r="D160" s="6"/>
      <c r="E160" s="6"/>
      <c r="F160" s="1"/>
      <c r="G160" s="2"/>
      <c r="H160" s="1"/>
      <c r="I160" s="2"/>
      <c r="J160" s="1"/>
      <c r="K160" s="855"/>
      <c r="L160" s="855"/>
      <c r="M160" s="808"/>
      <c r="N160" s="808"/>
      <c r="O160" s="808"/>
      <c r="P160" s="808"/>
      <c r="Q160" s="808"/>
    </row>
    <row r="161" spans="1:17" ht="12.75" customHeight="1">
      <c r="A161" s="2"/>
      <c r="B161" s="6" t="s">
        <v>56</v>
      </c>
      <c r="C161" s="58"/>
      <c r="D161" s="58"/>
      <c r="E161" s="58"/>
      <c r="F161" s="1"/>
      <c r="G161" s="2"/>
      <c r="H161" s="6"/>
      <c r="I161" s="2"/>
      <c r="J161" s="6"/>
      <c r="K161" s="855"/>
      <c r="L161" s="855"/>
      <c r="M161" s="808"/>
      <c r="N161" s="808"/>
      <c r="O161" s="808"/>
      <c r="P161" s="808"/>
      <c r="Q161" s="808"/>
    </row>
    <row r="162" spans="1:17" ht="12.75" customHeight="1">
      <c r="A162" s="2"/>
      <c r="B162" s="237" t="s">
        <v>57</v>
      </c>
      <c r="C162" s="58"/>
      <c r="D162" s="59" t="s">
        <v>194</v>
      </c>
      <c r="E162" s="237"/>
      <c r="F162" s="7"/>
      <c r="G162" s="2"/>
      <c r="H162" s="812" t="s">
        <v>525</v>
      </c>
      <c r="I162" s="2"/>
      <c r="J162" s="856"/>
      <c r="K162" s="2"/>
      <c r="L162" s="2"/>
      <c r="M162" s="2"/>
      <c r="N162" s="2"/>
      <c r="O162" s="2"/>
      <c r="P162" s="2"/>
      <c r="Q162" s="2"/>
    </row>
    <row r="163" spans="1:17" ht="12.75" customHeight="1">
      <c r="A163" s="2"/>
      <c r="B163" s="6"/>
      <c r="C163" s="58"/>
      <c r="D163" s="58"/>
      <c r="E163" s="6"/>
      <c r="F163" s="1"/>
      <c r="G163" s="6"/>
      <c r="H163" s="6" t="s">
        <v>9</v>
      </c>
      <c r="I163" s="6"/>
      <c r="J163" s="6"/>
      <c r="K163" s="2"/>
      <c r="L163" s="2"/>
      <c r="M163" s="2"/>
      <c r="N163" s="2"/>
      <c r="O163" s="2"/>
      <c r="P163" s="2"/>
      <c r="Q163" s="2"/>
    </row>
    <row r="164" spans="1:17" ht="12.75" customHeight="1">
      <c r="A164" s="2"/>
      <c r="B164" s="6"/>
      <c r="C164" s="58"/>
      <c r="D164" s="828"/>
      <c r="E164" s="6"/>
      <c r="F164" s="61"/>
      <c r="G164" s="6"/>
      <c r="H164" s="818"/>
      <c r="I164" s="818"/>
      <c r="J164" s="818"/>
      <c r="K164" s="818"/>
      <c r="L164" s="818"/>
      <c r="M164" s="818"/>
      <c r="N164" s="2"/>
      <c r="O164" s="2"/>
      <c r="P164" s="2"/>
      <c r="Q164" s="2"/>
    </row>
    <row r="165" spans="1:17" ht="12.75" customHeight="1">
      <c r="A165" s="2"/>
      <c r="B165" s="1"/>
      <c r="C165" s="2"/>
      <c r="D165" s="9" t="s">
        <v>743</v>
      </c>
      <c r="E165" s="2"/>
      <c r="F165" s="2"/>
      <c r="G165" s="2"/>
      <c r="H165" s="818"/>
      <c r="I165" s="818"/>
      <c r="J165" s="818"/>
      <c r="K165" s="818"/>
      <c r="L165" s="818"/>
      <c r="M165" s="818"/>
      <c r="N165" s="2"/>
      <c r="O165" s="2"/>
      <c r="P165" s="2"/>
      <c r="Q165" s="2"/>
    </row>
    <row r="166" spans="1:17" ht="12.75" customHeight="1">
      <c r="A166" s="2"/>
      <c r="B166" s="1"/>
      <c r="C166" s="2"/>
      <c r="D166" s="809"/>
      <c r="E166" s="2"/>
      <c r="F166" s="2"/>
      <c r="G166" s="2"/>
      <c r="H166" s="818"/>
      <c r="I166" s="818"/>
      <c r="J166" s="818"/>
      <c r="K166" s="818"/>
      <c r="L166" s="818"/>
      <c r="M166" s="818"/>
      <c r="N166" s="2"/>
      <c r="O166" s="2"/>
      <c r="P166" s="2"/>
      <c r="Q166" s="2"/>
    </row>
    <row r="167" spans="1:17" ht="12.75" customHeight="1">
      <c r="A167" s="2"/>
      <c r="B167" s="1"/>
      <c r="C167" s="2"/>
      <c r="D167" s="828" t="s">
        <v>744</v>
      </c>
      <c r="E167" s="2"/>
      <c r="F167" s="2"/>
      <c r="G167" s="2"/>
      <c r="H167" s="2"/>
      <c r="I167" s="2"/>
      <c r="J167" s="2"/>
      <c r="K167" s="2"/>
      <c r="L167" s="2"/>
      <c r="M167" s="2"/>
      <c r="N167" s="2"/>
      <c r="O167" s="2"/>
      <c r="P167" s="2"/>
      <c r="Q167" s="2"/>
    </row>
    <row r="168" spans="1:17" ht="12.75" customHeight="1">
      <c r="A168" s="2"/>
      <c r="B168" s="6">
        <f>MAX($B$13:B167)+1</f>
        <v>77</v>
      </c>
      <c r="C168" s="2"/>
      <c r="D168" s="821" t="s">
        <v>745</v>
      </c>
      <c r="E168" s="2"/>
      <c r="F168" s="818">
        <v>0.37881773916750194</v>
      </c>
      <c r="G168" s="2"/>
      <c r="H168" s="2"/>
      <c r="I168" s="2"/>
      <c r="J168" s="2"/>
      <c r="K168" s="2"/>
      <c r="L168" s="2"/>
      <c r="M168" s="2"/>
      <c r="N168" s="2"/>
      <c r="O168" s="2"/>
      <c r="P168" s="2"/>
      <c r="Q168" s="2"/>
    </row>
    <row r="169" spans="1:17" ht="12.75" customHeight="1">
      <c r="A169" s="2"/>
      <c r="B169" s="6">
        <f>MAX($B$13:B168)+1</f>
        <v>78</v>
      </c>
      <c r="C169" s="2"/>
      <c r="D169" s="828" t="s">
        <v>744</v>
      </c>
      <c r="E169" s="2"/>
      <c r="F169" s="845">
        <f>F168</f>
        <v>0.37881773916750194</v>
      </c>
      <c r="G169" s="2"/>
      <c r="H169" s="827">
        <f>F169</f>
        <v>0.37881773916750194</v>
      </c>
      <c r="I169" s="2"/>
      <c r="J169" s="2"/>
      <c r="K169" s="2"/>
      <c r="L169" s="2"/>
      <c r="M169" s="2"/>
      <c r="N169" s="2"/>
      <c r="O169" s="2"/>
      <c r="P169" s="2"/>
      <c r="Q169" s="2"/>
    </row>
    <row r="170" spans="1:17" ht="12.75" customHeight="1">
      <c r="A170" s="2"/>
      <c r="B170" s="1"/>
      <c r="C170" s="2"/>
      <c r="D170" s="2"/>
      <c r="E170" s="2"/>
      <c r="F170" s="2"/>
      <c r="G170" s="2"/>
      <c r="H170" s="2"/>
      <c r="I170" s="2"/>
      <c r="J170" s="2"/>
      <c r="K170" s="808"/>
      <c r="L170" s="808"/>
      <c r="M170" s="2"/>
      <c r="N170" s="2"/>
      <c r="O170" s="2"/>
      <c r="P170" s="2"/>
      <c r="Q170" s="2"/>
    </row>
    <row r="171" spans="1:17" ht="12.75" customHeight="1">
      <c r="A171" s="2"/>
      <c r="B171" s="1"/>
      <c r="C171" s="2"/>
      <c r="D171" s="10" t="s">
        <v>746</v>
      </c>
      <c r="E171" s="2"/>
      <c r="F171" s="2"/>
      <c r="G171" s="2"/>
      <c r="H171" s="2"/>
      <c r="I171" s="2"/>
      <c r="J171" s="2"/>
      <c r="K171" s="808"/>
      <c r="L171" s="808"/>
      <c r="M171" s="2"/>
      <c r="N171" s="2"/>
      <c r="O171" s="2"/>
      <c r="P171" s="2"/>
      <c r="Q171" s="2"/>
    </row>
    <row r="172" spans="1:17" ht="12.75" customHeight="1">
      <c r="A172" s="2"/>
      <c r="B172" s="1"/>
      <c r="C172" s="2"/>
      <c r="D172" s="12" t="s">
        <v>747</v>
      </c>
      <c r="E172" s="2"/>
      <c r="F172" s="2"/>
      <c r="G172" s="2"/>
      <c r="H172" s="2"/>
      <c r="I172" s="2"/>
      <c r="J172" s="2"/>
      <c r="K172" s="808"/>
      <c r="L172" s="808"/>
      <c r="M172" s="2"/>
      <c r="N172" s="2"/>
      <c r="O172" s="2"/>
      <c r="P172" s="2"/>
      <c r="Q172" s="2"/>
    </row>
    <row r="173" spans="1:17" ht="12.75" customHeight="1">
      <c r="A173" s="2"/>
      <c r="B173" s="6"/>
      <c r="C173" s="2"/>
      <c r="D173" s="718" t="s">
        <v>748</v>
      </c>
      <c r="E173" s="2"/>
      <c r="F173" s="2"/>
      <c r="G173" s="2"/>
      <c r="H173" s="2"/>
      <c r="I173" s="2"/>
      <c r="J173" s="2"/>
      <c r="K173" s="808"/>
      <c r="L173" s="808"/>
      <c r="M173" s="2"/>
      <c r="N173" s="2"/>
      <c r="O173" s="2"/>
      <c r="P173" s="2"/>
      <c r="Q173" s="2"/>
    </row>
    <row r="174" spans="1:17" ht="12.75" customHeight="1">
      <c r="A174" s="2"/>
      <c r="B174" s="6">
        <f>MAX($B$13:B173)+1</f>
        <v>79</v>
      </c>
      <c r="C174" s="2"/>
      <c r="D174" s="718" t="s">
        <v>749</v>
      </c>
      <c r="E174" s="2"/>
      <c r="F174" s="818">
        <v>29.877400000000002</v>
      </c>
      <c r="G174" s="2"/>
      <c r="H174" s="827">
        <f>F174</f>
        <v>29.877400000000002</v>
      </c>
      <c r="I174" s="2"/>
      <c r="J174" s="2"/>
      <c r="K174" s="808"/>
      <c r="L174" s="2"/>
      <c r="M174" s="2"/>
      <c r="N174" s="2"/>
      <c r="O174" s="2"/>
      <c r="P174" s="2"/>
      <c r="Q174" s="2"/>
    </row>
    <row r="175" spans="1:17" ht="12.75" customHeight="1">
      <c r="A175" s="2"/>
      <c r="B175" s="6"/>
      <c r="C175" s="2"/>
      <c r="D175" s="12" t="s">
        <v>750</v>
      </c>
      <c r="E175" s="2"/>
      <c r="F175" s="829"/>
      <c r="G175" s="829"/>
      <c r="H175" s="829"/>
      <c r="I175" s="2"/>
      <c r="J175" s="2"/>
      <c r="K175" s="808"/>
      <c r="L175" s="808"/>
      <c r="M175" s="2"/>
      <c r="N175" s="2"/>
      <c r="O175" s="2"/>
      <c r="P175" s="2"/>
      <c r="Q175" s="2"/>
    </row>
    <row r="176" spans="1:17" ht="12.75" customHeight="1">
      <c r="A176" s="2"/>
      <c r="B176" s="6"/>
      <c r="C176" s="2"/>
      <c r="D176" s="718" t="s">
        <v>748</v>
      </c>
      <c r="E176" s="2"/>
      <c r="F176" s="2"/>
      <c r="G176" s="2"/>
      <c r="H176" s="2"/>
      <c r="I176" s="2"/>
      <c r="J176" s="2"/>
      <c r="K176" s="808"/>
      <c r="L176" s="808"/>
      <c r="M176" s="2"/>
      <c r="N176" s="2"/>
      <c r="O176" s="2"/>
      <c r="P176" s="2"/>
      <c r="Q176" s="2"/>
    </row>
    <row r="177" spans="1:18" ht="12.75" customHeight="1">
      <c r="A177" s="2"/>
      <c r="B177" s="6">
        <f>MAX($B$13:B176)+1</f>
        <v>80</v>
      </c>
      <c r="C177" s="2"/>
      <c r="D177" s="718" t="s">
        <v>751</v>
      </c>
      <c r="E177" s="2"/>
      <c r="F177" s="818">
        <v>74.693399999999997</v>
      </c>
      <c r="G177" s="2"/>
      <c r="H177" s="827">
        <f>F177</f>
        <v>74.693399999999997</v>
      </c>
      <c r="I177" s="2"/>
      <c r="J177" s="2"/>
      <c r="K177" s="808"/>
      <c r="L177" s="2"/>
      <c r="M177" s="2"/>
      <c r="N177" s="2"/>
      <c r="O177" s="2"/>
      <c r="P177" s="2"/>
      <c r="Q177" s="2"/>
    </row>
    <row r="178" spans="1:18" ht="12.75" customHeight="1">
      <c r="A178" s="2"/>
      <c r="B178" s="1"/>
      <c r="C178" s="2"/>
      <c r="D178" s="718"/>
      <c r="E178" s="2"/>
      <c r="F178" s="2"/>
      <c r="G178" s="2"/>
      <c r="H178" s="2"/>
      <c r="I178" s="2"/>
      <c r="J178" s="2"/>
      <c r="K178" s="808"/>
      <c r="L178" s="808"/>
      <c r="M178" s="2"/>
      <c r="N178" s="2"/>
      <c r="O178" s="2"/>
      <c r="P178" s="2"/>
      <c r="Q178" s="2"/>
    </row>
    <row r="179" spans="1:18" ht="12.75" customHeight="1">
      <c r="A179" s="2"/>
      <c r="B179" s="1"/>
      <c r="C179" s="2"/>
      <c r="D179" s="10" t="s">
        <v>752</v>
      </c>
      <c r="E179" s="2"/>
      <c r="F179" s="2"/>
      <c r="G179" s="2"/>
      <c r="H179" s="2"/>
      <c r="I179" s="2"/>
      <c r="J179" s="2"/>
      <c r="K179" s="2"/>
      <c r="L179" s="2"/>
      <c r="M179" s="2"/>
      <c r="N179" s="2"/>
      <c r="O179" s="2"/>
      <c r="P179" s="2"/>
      <c r="Q179" s="2"/>
    </row>
    <row r="180" spans="1:18" ht="12.75" customHeight="1">
      <c r="A180" s="2"/>
      <c r="B180" s="6">
        <f>MAX($B$13:B179)+1</f>
        <v>81</v>
      </c>
      <c r="C180" s="2"/>
      <c r="D180" s="821" t="s">
        <v>753</v>
      </c>
      <c r="E180" s="2"/>
      <c r="F180" s="857">
        <v>0.62631738771454248</v>
      </c>
      <c r="G180" s="858"/>
      <c r="H180" s="857"/>
      <c r="I180" s="2"/>
      <c r="J180" s="2"/>
      <c r="K180" s="2"/>
      <c r="L180" s="2"/>
      <c r="M180" s="2"/>
      <c r="N180" s="2"/>
      <c r="O180" s="2"/>
      <c r="P180" s="2"/>
      <c r="Q180" s="2"/>
    </row>
    <row r="181" spans="1:18" ht="12.75" customHeight="1">
      <c r="A181" s="2"/>
      <c r="B181" s="6">
        <f>MAX($B$13:B180)+1</f>
        <v>82</v>
      </c>
      <c r="C181" s="2"/>
      <c r="D181" s="821" t="s">
        <v>309</v>
      </c>
      <c r="E181" s="2"/>
      <c r="F181" s="857">
        <v>0.2456690916945328</v>
      </c>
      <c r="G181" s="858"/>
      <c r="H181" s="857"/>
      <c r="I181" s="2"/>
      <c r="J181" s="2"/>
      <c r="K181" s="2"/>
      <c r="L181" s="2"/>
      <c r="M181" s="2"/>
      <c r="N181" s="2"/>
      <c r="O181" s="2"/>
      <c r="P181" s="2"/>
      <c r="Q181" s="2"/>
    </row>
    <row r="182" spans="1:18" ht="12.75" customHeight="1">
      <c r="A182" s="2"/>
      <c r="B182" s="6">
        <f>MAX($B$13:B181)+1</f>
        <v>83</v>
      </c>
      <c r="C182" s="2"/>
      <c r="D182" s="828" t="s">
        <v>754</v>
      </c>
      <c r="E182" s="2"/>
      <c r="F182" s="859">
        <f>F180+F181</f>
        <v>0.87198647940907525</v>
      </c>
      <c r="G182" s="858"/>
      <c r="H182" s="860">
        <f>F182</f>
        <v>0.87198647940907525</v>
      </c>
      <c r="I182" s="2"/>
      <c r="J182" s="2"/>
      <c r="K182" s="2"/>
      <c r="L182" s="2"/>
      <c r="M182" s="2"/>
      <c r="N182" s="2"/>
      <c r="O182" s="2"/>
      <c r="P182" s="2"/>
      <c r="Q182" s="2"/>
    </row>
    <row r="183" spans="1:18" ht="12.75" customHeight="1">
      <c r="A183" s="2"/>
      <c r="B183" s="1"/>
      <c r="C183" s="2"/>
      <c r="D183" s="829"/>
      <c r="E183" s="829"/>
      <c r="F183" s="829"/>
      <c r="G183" s="829"/>
      <c r="H183" s="829"/>
      <c r="I183" s="2"/>
      <c r="J183" s="2"/>
      <c r="K183" s="2"/>
      <c r="L183" s="732"/>
      <c r="M183" s="2"/>
      <c r="N183" s="2"/>
      <c r="O183" s="2"/>
      <c r="P183" s="2"/>
      <c r="Q183" s="136"/>
      <c r="R183" s="861"/>
    </row>
    <row r="184" spans="1:18" ht="12.75" customHeight="1">
      <c r="A184" s="2"/>
      <c r="B184" s="1"/>
      <c r="C184" s="2"/>
      <c r="D184" s="828" t="s">
        <v>755</v>
      </c>
      <c r="E184" s="2"/>
      <c r="F184" s="2"/>
      <c r="G184" s="2"/>
      <c r="H184" s="2"/>
      <c r="I184" s="2"/>
      <c r="J184" s="2"/>
      <c r="K184" s="2"/>
      <c r="L184" s="2"/>
      <c r="M184" s="2"/>
      <c r="N184" s="2"/>
      <c r="O184" s="2"/>
      <c r="P184" s="2"/>
      <c r="Q184" s="136"/>
      <c r="R184" s="862"/>
    </row>
    <row r="185" spans="1:18" ht="12.75" customHeight="1">
      <c r="A185" s="2"/>
      <c r="B185" s="6">
        <f>MAX($B$13:B184)+1</f>
        <v>84</v>
      </c>
      <c r="C185" s="2"/>
      <c r="D185" s="821" t="s">
        <v>756</v>
      </c>
      <c r="E185" s="2"/>
      <c r="F185" s="818">
        <v>2.35258942459398</v>
      </c>
      <c r="G185" s="2"/>
      <c r="H185" s="818"/>
      <c r="I185" s="2"/>
      <c r="J185" s="2"/>
      <c r="K185" s="2"/>
      <c r="L185" s="2"/>
      <c r="M185" s="2"/>
      <c r="N185" s="2"/>
      <c r="O185" s="2"/>
      <c r="P185" s="2"/>
      <c r="Q185" s="136"/>
      <c r="R185" s="862"/>
    </row>
    <row r="186" spans="1:18" ht="12.75" customHeight="1">
      <c r="A186" s="2"/>
      <c r="B186" s="6">
        <f>MAX($B$13:B185)+1</f>
        <v>85</v>
      </c>
      <c r="C186" s="2"/>
      <c r="D186" s="821" t="s">
        <v>757</v>
      </c>
      <c r="E186" s="2"/>
      <c r="F186" s="818">
        <v>2.1114479211218993</v>
      </c>
      <c r="G186" s="2"/>
      <c r="H186" s="818"/>
      <c r="I186" s="2"/>
      <c r="J186" s="2"/>
      <c r="K186" s="2"/>
      <c r="L186" s="2"/>
      <c r="M186" s="2"/>
      <c r="N186" s="2"/>
      <c r="O186" s="2"/>
      <c r="P186" s="2"/>
      <c r="Q186" s="136"/>
      <c r="R186" s="862"/>
    </row>
    <row r="187" spans="1:18" ht="12.75" customHeight="1">
      <c r="A187" s="2"/>
      <c r="B187" s="6">
        <f>MAX($B$13:B186)+1</f>
        <v>86</v>
      </c>
      <c r="C187" s="2"/>
      <c r="D187" s="828" t="s">
        <v>758</v>
      </c>
      <c r="E187" s="2"/>
      <c r="F187" s="845">
        <f>F185+F186</f>
        <v>4.4640373457158793</v>
      </c>
      <c r="G187" s="2"/>
      <c r="H187" s="827">
        <f>F187</f>
        <v>4.4640373457158793</v>
      </c>
      <c r="I187" s="2"/>
      <c r="J187" s="2"/>
      <c r="K187" s="2"/>
      <c r="L187" s="2"/>
      <c r="M187" s="2"/>
      <c r="N187" s="2"/>
      <c r="O187" s="2"/>
      <c r="P187" s="2"/>
      <c r="Q187" s="136"/>
      <c r="R187" s="861"/>
    </row>
    <row r="188" spans="1:18" ht="12.75" customHeight="1">
      <c r="A188" s="2"/>
      <c r="B188" s="1"/>
      <c r="C188" s="2"/>
      <c r="D188" s="2"/>
      <c r="E188" s="2"/>
      <c r="F188" s="2"/>
      <c r="G188" s="2"/>
      <c r="H188" s="2"/>
      <c r="I188" s="2"/>
      <c r="J188" s="2"/>
      <c r="K188" s="2"/>
      <c r="L188" s="2"/>
      <c r="M188" s="2"/>
      <c r="N188" s="2"/>
      <c r="O188" s="2"/>
      <c r="P188" s="2"/>
      <c r="Q188" s="136"/>
      <c r="R188" s="861"/>
    </row>
    <row r="189" spans="1:18" ht="12.75" customHeight="1">
      <c r="A189" s="2"/>
      <c r="B189" s="1"/>
      <c r="C189" s="2"/>
      <c r="D189" s="828" t="s">
        <v>759</v>
      </c>
      <c r="E189" s="2"/>
      <c r="F189" s="2"/>
      <c r="G189" s="2"/>
      <c r="H189" s="2"/>
      <c r="I189" s="2"/>
      <c r="J189" s="2"/>
      <c r="K189" s="2"/>
      <c r="L189" s="849"/>
      <c r="M189" s="2"/>
      <c r="N189" s="835"/>
      <c r="O189" s="2"/>
      <c r="P189" s="2"/>
      <c r="Q189" s="136"/>
      <c r="R189" s="861"/>
    </row>
    <row r="190" spans="1:18" ht="12.75" customHeight="1">
      <c r="A190" s="2"/>
      <c r="B190" s="6">
        <f>MAX($B$13:B189)+1</f>
        <v>87</v>
      </c>
      <c r="C190" s="2"/>
      <c r="D190" s="821" t="s">
        <v>745</v>
      </c>
      <c r="E190" s="2"/>
      <c r="F190" s="818">
        <v>0.91984607719225986</v>
      </c>
      <c r="G190" s="2"/>
      <c r="H190" s="818"/>
      <c r="I190" s="858"/>
      <c r="J190" s="2"/>
      <c r="K190" s="2"/>
      <c r="L190" s="849"/>
      <c r="M190" s="2"/>
      <c r="N190" s="2"/>
      <c r="O190" s="2"/>
      <c r="P190" s="2"/>
      <c r="Q190" s="136"/>
      <c r="R190" s="861"/>
    </row>
    <row r="191" spans="1:18" ht="12.75" customHeight="1">
      <c r="A191" s="2"/>
      <c r="B191" s="6">
        <f>MAX($B$13:B190)+1</f>
        <v>88</v>
      </c>
      <c r="C191" s="2"/>
      <c r="D191" s="821" t="s">
        <v>501</v>
      </c>
      <c r="E191" s="2"/>
      <c r="F191" s="818">
        <v>0.31775517164662925</v>
      </c>
      <c r="G191" s="2"/>
      <c r="H191" s="818"/>
      <c r="I191" s="858"/>
      <c r="J191" s="2"/>
      <c r="K191" s="2"/>
      <c r="M191" s="2"/>
      <c r="N191" s="114"/>
      <c r="O191" s="863"/>
      <c r="P191" s="2"/>
      <c r="Q191" s="136"/>
      <c r="R191" s="864"/>
    </row>
    <row r="192" spans="1:18" ht="12.75" customHeight="1">
      <c r="A192" s="2"/>
      <c r="B192" s="6">
        <f>MAX($B$13:B191)+1</f>
        <v>89</v>
      </c>
      <c r="C192" s="2"/>
      <c r="D192" s="828" t="s">
        <v>759</v>
      </c>
      <c r="E192" s="2"/>
      <c r="F192" s="845">
        <f>F190+F191</f>
        <v>1.2376012488388892</v>
      </c>
      <c r="G192" s="2"/>
      <c r="H192" s="827">
        <f>F192</f>
        <v>1.2376012488388892</v>
      </c>
      <c r="I192" s="858"/>
      <c r="J192" s="2"/>
      <c r="K192" s="2"/>
      <c r="L192" s="2"/>
      <c r="M192" s="2"/>
      <c r="N192" s="114"/>
      <c r="O192" s="832"/>
      <c r="P192" s="2"/>
      <c r="Q192" s="114"/>
      <c r="R192" s="865"/>
    </row>
    <row r="193" spans="1:18" ht="12.75" customHeight="1">
      <c r="A193" s="2"/>
      <c r="B193" s="1"/>
      <c r="C193" s="2"/>
      <c r="D193" s="2"/>
      <c r="E193" s="2"/>
      <c r="F193" s="866"/>
      <c r="G193" s="867"/>
      <c r="H193" s="866"/>
      <c r="I193" s="2"/>
      <c r="J193" s="2"/>
      <c r="K193" s="2"/>
      <c r="L193" s="2"/>
      <c r="M193" s="2"/>
      <c r="N193" s="114"/>
      <c r="O193" s="868"/>
      <c r="P193" s="2"/>
      <c r="Q193" s="114"/>
      <c r="R193" s="869"/>
    </row>
    <row r="194" spans="1:18" ht="12.75" customHeight="1">
      <c r="A194" s="2"/>
      <c r="B194" s="1"/>
      <c r="C194" s="2"/>
      <c r="D194" s="828" t="s">
        <v>760</v>
      </c>
      <c r="E194" s="2"/>
      <c r="F194" s="866"/>
      <c r="G194" s="867"/>
      <c r="H194" s="866"/>
      <c r="I194" s="2"/>
      <c r="J194" s="2"/>
      <c r="K194" s="2"/>
      <c r="L194" s="2"/>
      <c r="M194" s="2"/>
      <c r="N194" s="136"/>
      <c r="O194" s="136"/>
      <c r="P194" s="2"/>
      <c r="Q194" s="114"/>
      <c r="R194" s="868"/>
    </row>
    <row r="195" spans="1:18" ht="12.75" customHeight="1">
      <c r="A195" s="2"/>
      <c r="B195" s="6">
        <f>MAX($B$13:B194)+1</f>
        <v>90</v>
      </c>
      <c r="C195" s="2"/>
      <c r="D195" s="821" t="s">
        <v>761</v>
      </c>
      <c r="E195" s="2"/>
      <c r="F195" s="857">
        <v>6.3353424657534255E-2</v>
      </c>
      <c r="G195" s="858"/>
      <c r="H195" s="857"/>
      <c r="I195" s="2"/>
      <c r="J195" s="2"/>
      <c r="K195" s="2"/>
      <c r="L195" s="849"/>
      <c r="M195" s="2"/>
      <c r="N195" s="870"/>
      <c r="O195" s="871"/>
      <c r="P195" s="2"/>
      <c r="Q195" s="136"/>
      <c r="R195" s="136"/>
    </row>
    <row r="196" spans="1:18" ht="12.75" customHeight="1">
      <c r="A196" s="2"/>
      <c r="B196" s="6">
        <f>MAX($B$13:B195)+1</f>
        <v>91</v>
      </c>
      <c r="C196" s="2"/>
      <c r="D196" s="821" t="s">
        <v>309</v>
      </c>
      <c r="E196" s="2"/>
      <c r="F196" s="857">
        <v>1.2327903438474258E-2</v>
      </c>
      <c r="G196" s="858"/>
      <c r="H196" s="857"/>
      <c r="I196" s="2"/>
      <c r="J196" s="2"/>
      <c r="K196" s="2"/>
      <c r="L196" s="2"/>
      <c r="M196" s="2"/>
      <c r="N196" s="315"/>
      <c r="O196" s="315"/>
      <c r="P196" s="2"/>
      <c r="Q196" s="870"/>
      <c r="R196" s="871"/>
    </row>
    <row r="197" spans="1:18" ht="12.75" customHeight="1">
      <c r="A197" s="2"/>
      <c r="B197" s="6">
        <f>MAX($B$13:B196)+1</f>
        <v>92</v>
      </c>
      <c r="C197" s="2"/>
      <c r="D197" s="828" t="s">
        <v>762</v>
      </c>
      <c r="E197" s="2"/>
      <c r="F197" s="860">
        <f>F195+F196</f>
        <v>7.5681328096008513E-2</v>
      </c>
      <c r="G197" s="858"/>
      <c r="H197" s="860">
        <f>F197</f>
        <v>7.5681328096008513E-2</v>
      </c>
      <c r="I197" s="2"/>
      <c r="J197" s="2"/>
      <c r="K197" s="2"/>
      <c r="L197" s="2"/>
      <c r="M197" s="2"/>
      <c r="N197" s="2"/>
      <c r="O197" s="2"/>
      <c r="P197" s="2"/>
      <c r="Q197" s="2"/>
    </row>
    <row r="198" spans="1:18" ht="12.75" customHeight="1">
      <c r="A198" s="2"/>
      <c r="B198" s="1"/>
      <c r="C198" s="2"/>
      <c r="D198" s="2"/>
      <c r="E198" s="2"/>
      <c r="F198" s="2"/>
      <c r="G198" s="2"/>
      <c r="H198" s="2"/>
      <c r="I198" s="2"/>
      <c r="J198" s="2"/>
      <c r="K198" s="2"/>
      <c r="L198" s="2"/>
      <c r="M198" s="2"/>
      <c r="N198" s="2"/>
      <c r="O198" s="2"/>
      <c r="P198" s="2"/>
      <c r="Q198" s="2"/>
    </row>
    <row r="199" spans="1:18" ht="12.75" customHeight="1">
      <c r="A199" s="2"/>
      <c r="B199" s="1"/>
      <c r="C199" s="2"/>
      <c r="D199" s="828" t="s">
        <v>763</v>
      </c>
      <c r="E199" s="2"/>
      <c r="F199" s="2"/>
      <c r="G199" s="2"/>
      <c r="H199" s="2"/>
      <c r="I199" s="2"/>
      <c r="J199" s="2"/>
      <c r="K199" s="2"/>
      <c r="L199" s="2"/>
      <c r="M199" s="2"/>
      <c r="N199" s="2"/>
      <c r="O199" s="2"/>
      <c r="P199" s="2"/>
      <c r="Q199" s="2"/>
    </row>
    <row r="200" spans="1:18" ht="12.75" customHeight="1">
      <c r="A200" s="2"/>
      <c r="B200" s="6">
        <f>MAX($B$13:B199)+1</f>
        <v>93</v>
      </c>
      <c r="C200" s="2"/>
      <c r="D200" s="821" t="s">
        <v>764</v>
      </c>
      <c r="E200" s="2"/>
      <c r="F200" s="818">
        <v>1.406686361234109</v>
      </c>
      <c r="G200" s="2"/>
      <c r="H200" s="818"/>
      <c r="I200" s="2"/>
      <c r="J200" s="2"/>
      <c r="K200" s="2"/>
      <c r="L200" s="2"/>
      <c r="M200" s="2"/>
      <c r="N200" s="2"/>
      <c r="O200" s="2"/>
      <c r="P200" s="2"/>
      <c r="Q200" s="2"/>
    </row>
    <row r="201" spans="1:18" ht="12.75" customHeight="1">
      <c r="A201" s="2"/>
      <c r="B201" s="6">
        <f>MAX($B$13:B200)+1</f>
        <v>94</v>
      </c>
      <c r="C201" s="2"/>
      <c r="D201" s="821" t="s">
        <v>765</v>
      </c>
      <c r="E201" s="2"/>
      <c r="F201" s="818">
        <v>0.13604659196531985</v>
      </c>
      <c r="G201" s="2"/>
      <c r="H201" s="818"/>
      <c r="I201" s="2"/>
      <c r="J201" s="2"/>
      <c r="K201" s="2"/>
      <c r="L201" s="2"/>
      <c r="M201" s="2"/>
      <c r="N201" s="2"/>
      <c r="O201" s="2"/>
      <c r="P201" s="2"/>
      <c r="Q201" s="2"/>
    </row>
    <row r="202" spans="1:18" ht="12.75" customHeight="1">
      <c r="A202" s="2"/>
      <c r="B202" s="6">
        <f>MAX($B$13:B201)+1</f>
        <v>95</v>
      </c>
      <c r="C202" s="2"/>
      <c r="D202" s="828" t="s">
        <v>763</v>
      </c>
      <c r="E202" s="2"/>
      <c r="F202" s="845">
        <f>F200+F201</f>
        <v>1.5427329531994287</v>
      </c>
      <c r="G202" s="2"/>
      <c r="H202" s="827">
        <f>F202</f>
        <v>1.5427329531994287</v>
      </c>
      <c r="I202" s="2"/>
      <c r="J202" s="2"/>
      <c r="K202" s="2"/>
      <c r="L202" s="2"/>
      <c r="M202" s="2"/>
      <c r="N202" s="2"/>
      <c r="O202" s="2"/>
      <c r="P202" s="2"/>
      <c r="Q202" s="2"/>
    </row>
    <row r="203" spans="1:18" ht="12.75" customHeight="1">
      <c r="A203" s="2"/>
      <c r="B203" s="1"/>
      <c r="C203" s="2"/>
      <c r="D203" s="2"/>
      <c r="E203" s="2"/>
      <c r="F203" s="2"/>
      <c r="G203" s="2"/>
      <c r="H203" s="2"/>
      <c r="I203" s="2"/>
      <c r="J203" s="2"/>
      <c r="K203" s="2"/>
      <c r="L203" s="2"/>
      <c r="M203" s="2"/>
      <c r="N203" s="2"/>
      <c r="O203" s="2"/>
      <c r="P203" s="2"/>
      <c r="Q203" s="2"/>
    </row>
    <row r="204" spans="1:18" ht="12.75" customHeight="1">
      <c r="A204" s="2"/>
      <c r="B204" s="1"/>
      <c r="C204" s="2"/>
      <c r="D204" s="828" t="s">
        <v>766</v>
      </c>
      <c r="E204" s="2"/>
      <c r="F204" s="2"/>
      <c r="G204" s="2"/>
      <c r="H204" s="2"/>
      <c r="I204" s="2"/>
      <c r="J204" s="2"/>
      <c r="K204" s="2"/>
      <c r="L204" s="2"/>
      <c r="M204" s="2"/>
      <c r="N204" s="2"/>
      <c r="O204" s="2"/>
      <c r="P204" s="2"/>
      <c r="Q204" s="2"/>
    </row>
    <row r="205" spans="1:18" ht="12.75" customHeight="1">
      <c r="A205" s="2"/>
      <c r="B205" s="6">
        <f>MAX($B$13:B204)+1</f>
        <v>96</v>
      </c>
      <c r="C205" s="2"/>
      <c r="D205" s="821" t="s">
        <v>764</v>
      </c>
      <c r="E205" s="2"/>
      <c r="F205" s="818">
        <v>1.0935003223165258</v>
      </c>
      <c r="G205" s="2"/>
      <c r="H205" s="818"/>
      <c r="I205" s="2"/>
      <c r="J205" s="2"/>
      <c r="K205" s="2"/>
      <c r="L205" s="2"/>
      <c r="M205" s="2"/>
      <c r="N205" s="2"/>
      <c r="O205" s="2"/>
      <c r="P205" s="2"/>
      <c r="Q205" s="2"/>
    </row>
    <row r="206" spans="1:18" ht="12.75" customHeight="1">
      <c r="A206" s="2"/>
      <c r="B206" s="6">
        <f>MAX($B$13:B205)+1</f>
        <v>97</v>
      </c>
      <c r="C206" s="2"/>
      <c r="D206" s="821" t="s">
        <v>765</v>
      </c>
      <c r="E206" s="2"/>
      <c r="F206" s="818">
        <v>2.8906566429391087E-2</v>
      </c>
      <c r="G206" s="2"/>
      <c r="H206" s="818"/>
      <c r="I206" s="2"/>
      <c r="J206" s="2"/>
      <c r="K206" s="2"/>
      <c r="L206" s="2"/>
      <c r="M206" s="2"/>
      <c r="N206" s="2"/>
      <c r="O206" s="2"/>
      <c r="P206" s="2"/>
      <c r="Q206" s="2"/>
    </row>
    <row r="207" spans="1:18" ht="12.75" customHeight="1">
      <c r="A207" s="2"/>
      <c r="B207" s="6">
        <f>MAX($B$13:B206)+1</f>
        <v>98</v>
      </c>
      <c r="C207" s="2"/>
      <c r="D207" s="828" t="s">
        <v>766</v>
      </c>
      <c r="E207" s="2"/>
      <c r="F207" s="845">
        <f>F205+F206</f>
        <v>1.1224068887459169</v>
      </c>
      <c r="G207" s="2"/>
      <c r="H207" s="827">
        <f>F207</f>
        <v>1.1224068887459169</v>
      </c>
      <c r="I207" s="2"/>
      <c r="J207" s="2"/>
      <c r="K207" s="2"/>
      <c r="L207" s="2"/>
      <c r="M207" s="2"/>
      <c r="N207" s="2"/>
      <c r="O207" s="2"/>
      <c r="P207" s="2"/>
      <c r="Q207" s="2"/>
    </row>
    <row r="208" spans="1:18" ht="12.75" customHeight="1">
      <c r="A208" s="2"/>
      <c r="B208" s="1"/>
      <c r="C208" s="2"/>
      <c r="D208" s="2"/>
      <c r="E208" s="2"/>
      <c r="F208" s="2"/>
      <c r="G208" s="2"/>
      <c r="H208" s="2"/>
      <c r="I208" s="2"/>
      <c r="J208" s="2"/>
      <c r="K208" s="2"/>
      <c r="L208" s="2"/>
      <c r="M208" s="2"/>
      <c r="N208" s="2"/>
      <c r="O208" s="2"/>
      <c r="P208" s="2"/>
      <c r="Q208" s="2"/>
    </row>
    <row r="209" spans="1:17" ht="12.75" customHeight="1">
      <c r="A209" s="2"/>
      <c r="B209" s="1"/>
      <c r="C209" s="2"/>
      <c r="D209" s="828" t="s">
        <v>767</v>
      </c>
      <c r="E209" s="2"/>
      <c r="F209" s="2"/>
      <c r="G209" s="2"/>
      <c r="H209" s="2"/>
      <c r="I209" s="2"/>
      <c r="J209" s="2"/>
      <c r="K209" s="2"/>
      <c r="Q209" s="2"/>
    </row>
    <row r="210" spans="1:17" ht="12.75" customHeight="1">
      <c r="A210" s="2"/>
      <c r="B210" s="6">
        <f>MAX($B$13:B209)+1</f>
        <v>99</v>
      </c>
      <c r="C210" s="2"/>
      <c r="D210" s="821" t="s">
        <v>768</v>
      </c>
      <c r="E210" s="2"/>
      <c r="F210" s="818">
        <v>0.69986644643483042</v>
      </c>
      <c r="G210" s="2"/>
      <c r="H210" s="818"/>
      <c r="I210" s="858"/>
      <c r="J210" s="2"/>
      <c r="K210" s="2"/>
      <c r="Q210" s="2"/>
    </row>
    <row r="211" spans="1:17" ht="12.75" customHeight="1">
      <c r="A211" s="2"/>
      <c r="B211" s="6">
        <f>MAX($B$13:B210)+1</f>
        <v>100</v>
      </c>
      <c r="C211" s="2"/>
      <c r="D211" s="821" t="s">
        <v>765</v>
      </c>
      <c r="E211" s="2"/>
      <c r="F211" s="818">
        <v>8.0131372350082677E-2</v>
      </c>
      <c r="G211" s="2"/>
      <c r="H211" s="818"/>
      <c r="I211" s="858"/>
      <c r="J211" s="2"/>
      <c r="K211" s="2"/>
      <c r="Q211" s="2"/>
    </row>
    <row r="212" spans="1:17" ht="12.75" customHeight="1">
      <c r="A212" s="2"/>
      <c r="B212" s="6">
        <f>MAX($B$13:B211)+1</f>
        <v>101</v>
      </c>
      <c r="C212" s="2"/>
      <c r="D212" s="828" t="s">
        <v>767</v>
      </c>
      <c r="E212" s="2"/>
      <c r="F212" s="845">
        <f>F210+F211</f>
        <v>0.77999781878491314</v>
      </c>
      <c r="G212" s="2"/>
      <c r="H212" s="827">
        <f>F212</f>
        <v>0.77999781878491314</v>
      </c>
      <c r="I212" s="858"/>
      <c r="J212" s="2"/>
      <c r="K212" s="2"/>
      <c r="Q212" s="2"/>
    </row>
    <row r="213" spans="1:17" ht="12.75" customHeight="1">
      <c r="A213" s="2"/>
      <c r="B213" s="1"/>
      <c r="C213" s="2"/>
      <c r="D213" s="821"/>
      <c r="E213" s="2"/>
      <c r="F213" s="2"/>
      <c r="G213" s="2"/>
      <c r="H213" s="857"/>
      <c r="I213" s="858"/>
      <c r="J213" s="2"/>
      <c r="K213" s="2"/>
      <c r="L213" s="2"/>
      <c r="M213" s="2"/>
      <c r="N213" s="2"/>
      <c r="O213" s="2"/>
      <c r="P213" s="2"/>
      <c r="Q213" s="2"/>
    </row>
    <row r="214" spans="1:17" ht="12.75" customHeight="1">
      <c r="A214" s="2"/>
      <c r="B214" s="1"/>
      <c r="C214" s="2"/>
      <c r="D214" s="809"/>
      <c r="E214" s="809"/>
      <c r="F214" s="809"/>
      <c r="G214" s="809"/>
      <c r="H214" s="809"/>
      <c r="I214" s="809"/>
      <c r="J214" s="2"/>
      <c r="K214" s="2"/>
      <c r="L214" s="2"/>
      <c r="M214" s="2"/>
      <c r="N214" s="2"/>
      <c r="O214" s="2"/>
      <c r="P214" s="2"/>
      <c r="Q214" s="2"/>
    </row>
    <row r="215" spans="1:17" ht="12.75" customHeight="1">
      <c r="A215" s="2"/>
      <c r="B215" s="1"/>
      <c r="C215" s="2"/>
      <c r="D215" s="809"/>
      <c r="E215" s="809"/>
      <c r="F215" s="809"/>
      <c r="G215" s="809"/>
      <c r="H215" s="809"/>
      <c r="I215" s="809"/>
      <c r="J215" s="808"/>
      <c r="K215" s="808"/>
      <c r="L215" s="808"/>
      <c r="M215" s="2"/>
      <c r="N215" s="2"/>
      <c r="O215" s="2"/>
      <c r="P215" s="2"/>
      <c r="Q215" s="2"/>
    </row>
    <row r="216" spans="1:17" ht="12.75" customHeight="1">
      <c r="A216" s="2"/>
      <c r="B216" s="1"/>
      <c r="C216" s="2"/>
      <c r="D216" s="809"/>
      <c r="E216" s="809"/>
      <c r="F216" s="809"/>
      <c r="G216" s="809"/>
      <c r="H216" s="809"/>
      <c r="I216" s="809"/>
      <c r="J216" s="808"/>
      <c r="K216" s="808"/>
      <c r="L216" s="808"/>
      <c r="M216" s="2"/>
      <c r="N216" s="2"/>
      <c r="O216" s="2"/>
      <c r="P216" s="2"/>
      <c r="Q216" s="2"/>
    </row>
    <row r="217" spans="1:17" ht="12.75" customHeight="1">
      <c r="A217" s="2"/>
      <c r="B217" s="1"/>
      <c r="C217" s="2"/>
      <c r="D217" s="809"/>
      <c r="E217" s="809"/>
      <c r="F217" s="809"/>
      <c r="G217" s="809"/>
      <c r="H217" s="809"/>
      <c r="I217" s="809"/>
      <c r="J217" s="808"/>
      <c r="K217" s="808"/>
      <c r="L217" s="808"/>
      <c r="M217" s="2"/>
      <c r="N217" s="2"/>
      <c r="O217" s="2"/>
      <c r="P217" s="2"/>
      <c r="Q217" s="2"/>
    </row>
    <row r="218" spans="1:17" ht="12.75" customHeight="1">
      <c r="A218" s="2"/>
      <c r="B218" s="1166" t="s">
        <v>701</v>
      </c>
      <c r="C218" s="1166"/>
      <c r="D218" s="1168"/>
      <c r="E218" s="1168"/>
      <c r="F218" s="1168"/>
      <c r="G218" s="1168"/>
      <c r="H218" s="1168"/>
      <c r="I218" s="811"/>
      <c r="J218" s="808"/>
      <c r="K218" s="808"/>
      <c r="L218" s="808"/>
      <c r="M218" s="2"/>
      <c r="N218" s="2"/>
      <c r="O218" s="2"/>
      <c r="P218" s="2"/>
      <c r="Q218" s="2"/>
    </row>
    <row r="219" spans="1:17" ht="12.75" customHeight="1">
      <c r="A219" s="2"/>
      <c r="B219" s="872"/>
      <c r="C219" s="4"/>
      <c r="D219" s="811"/>
      <c r="E219" s="811"/>
      <c r="F219" s="811"/>
      <c r="G219" s="811"/>
      <c r="H219" s="811"/>
      <c r="I219" s="811"/>
      <c r="J219" s="808"/>
      <c r="K219" s="808"/>
      <c r="L219" s="808"/>
      <c r="M219" s="2"/>
      <c r="N219" s="2"/>
      <c r="O219" s="2"/>
      <c r="P219" s="2"/>
      <c r="Q219" s="2"/>
    </row>
    <row r="220" spans="1:17" ht="12.75" customHeight="1">
      <c r="A220" s="2"/>
      <c r="B220" s="6"/>
      <c r="C220" s="6"/>
      <c r="D220" s="6"/>
      <c r="E220" s="6"/>
      <c r="F220" s="1"/>
      <c r="G220" s="2"/>
      <c r="H220" s="1"/>
      <c r="I220" s="2"/>
      <c r="J220" s="1"/>
      <c r="K220" s="855"/>
      <c r="L220" s="855"/>
      <c r="M220" s="808"/>
      <c r="N220" s="808"/>
      <c r="O220" s="808"/>
      <c r="P220" s="808"/>
      <c r="Q220" s="808"/>
    </row>
    <row r="221" spans="1:17" ht="12.75" customHeight="1">
      <c r="A221" s="2"/>
      <c r="B221" s="6" t="s">
        <v>56</v>
      </c>
      <c r="C221" s="58"/>
      <c r="D221" s="58"/>
      <c r="E221" s="58"/>
      <c r="F221" s="1"/>
      <c r="G221" s="2"/>
      <c r="H221" s="6"/>
      <c r="I221" s="2"/>
      <c r="J221" s="6"/>
      <c r="K221" s="855"/>
      <c r="L221" s="855"/>
      <c r="M221" s="808"/>
      <c r="N221" s="808"/>
      <c r="O221" s="808"/>
      <c r="P221" s="808"/>
      <c r="Q221" s="808"/>
    </row>
    <row r="222" spans="1:17" ht="12.75" customHeight="1">
      <c r="A222" s="2"/>
      <c r="B222" s="237" t="s">
        <v>57</v>
      </c>
      <c r="C222" s="58"/>
      <c r="D222" s="59" t="s">
        <v>194</v>
      </c>
      <c r="E222" s="237"/>
      <c r="F222" s="7"/>
      <c r="G222" s="2"/>
      <c r="H222" s="812" t="s">
        <v>525</v>
      </c>
      <c r="I222" s="2"/>
      <c r="J222" s="856"/>
      <c r="K222" s="2"/>
      <c r="L222" s="2"/>
      <c r="M222" s="2"/>
      <c r="N222" s="2"/>
      <c r="O222" s="2"/>
      <c r="P222" s="2"/>
      <c r="Q222" s="2"/>
    </row>
    <row r="223" spans="1:17" ht="12.75" customHeight="1">
      <c r="A223" s="2"/>
      <c r="B223" s="6"/>
      <c r="C223" s="58"/>
      <c r="D223" s="58"/>
      <c r="E223" s="6"/>
      <c r="F223" s="1"/>
      <c r="G223" s="6"/>
      <c r="H223" s="6" t="s">
        <v>9</v>
      </c>
      <c r="I223" s="6"/>
      <c r="J223" s="6"/>
      <c r="K223" s="2"/>
      <c r="L223" s="2"/>
      <c r="M223" s="2"/>
      <c r="N223" s="2"/>
      <c r="O223" s="2"/>
      <c r="P223" s="2"/>
      <c r="Q223" s="2"/>
    </row>
    <row r="224" spans="1:17" ht="12.75" customHeight="1">
      <c r="A224" s="2"/>
      <c r="B224" s="1"/>
      <c r="C224" s="2"/>
      <c r="D224" s="809"/>
      <c r="E224" s="809"/>
      <c r="F224" s="809"/>
      <c r="G224" s="809"/>
      <c r="H224" s="809"/>
      <c r="I224" s="809"/>
      <c r="J224" s="808"/>
      <c r="K224" s="808"/>
      <c r="L224" s="808"/>
      <c r="M224" s="2"/>
      <c r="N224" s="2"/>
      <c r="O224" s="2"/>
      <c r="P224" s="2"/>
      <c r="Q224" s="2"/>
    </row>
    <row r="225" spans="1:17" ht="12.75" customHeight="1">
      <c r="A225" s="2"/>
      <c r="B225" s="1"/>
      <c r="C225" s="2"/>
      <c r="D225" s="9" t="s">
        <v>769</v>
      </c>
      <c r="E225" s="2"/>
      <c r="F225" s="2"/>
      <c r="G225" s="2"/>
      <c r="H225" s="2"/>
      <c r="I225" s="2"/>
      <c r="J225" s="2"/>
      <c r="K225" s="2"/>
      <c r="L225" s="2"/>
      <c r="M225" s="2"/>
      <c r="N225" s="2"/>
      <c r="O225" s="2"/>
      <c r="P225" s="2"/>
      <c r="Q225" s="2"/>
    </row>
    <row r="226" spans="1:17" ht="12.75" customHeight="1">
      <c r="A226" s="2"/>
      <c r="B226" s="1"/>
      <c r="C226" s="2"/>
      <c r="D226" s="809"/>
      <c r="E226" s="809"/>
      <c r="F226" s="809"/>
      <c r="G226" s="809"/>
      <c r="H226" s="809"/>
      <c r="I226" s="809"/>
      <c r="J226" s="808"/>
      <c r="K226" s="808"/>
      <c r="L226" s="808"/>
      <c r="M226" s="2"/>
      <c r="N226" s="2"/>
      <c r="O226" s="2"/>
      <c r="P226" s="2"/>
      <c r="Q226" s="2"/>
    </row>
    <row r="227" spans="1:17" ht="12.75" customHeight="1">
      <c r="A227" s="2"/>
      <c r="B227" s="6">
        <f>MAX($B$13:B226)+1</f>
        <v>102</v>
      </c>
      <c r="C227" s="2"/>
      <c r="D227" s="828" t="str">
        <f>"Rate 25 - 150% of Maximum Interruptible Delivery Commodity Charge (line "&amp; B136&amp;" x 150%)"</f>
        <v>Rate 25 - 150% of Maximum Interruptible Delivery Commodity Charge (line 66 x 150%)</v>
      </c>
      <c r="E227" s="2"/>
      <c r="F227" s="2"/>
      <c r="G227" s="2"/>
      <c r="H227" s="827">
        <f>F$136*1.5</f>
        <v>9.4628261135739393</v>
      </c>
      <c r="I227" s="2"/>
      <c r="J227" s="847"/>
      <c r="K227" s="2"/>
      <c r="L227" s="847"/>
      <c r="M227" s="2"/>
      <c r="N227" s="2"/>
      <c r="O227" s="2"/>
      <c r="P227" s="2"/>
      <c r="Q227" s="2"/>
    </row>
    <row r="228" spans="1:17" ht="12.75" customHeight="1">
      <c r="A228" s="2"/>
      <c r="B228" s="1"/>
      <c r="C228" s="2"/>
      <c r="D228" s="2"/>
      <c r="E228" s="2"/>
      <c r="F228" s="2"/>
      <c r="G228" s="2"/>
      <c r="H228" s="2"/>
      <c r="I228" s="2"/>
      <c r="J228" s="2"/>
      <c r="K228" s="2"/>
      <c r="L228" s="2"/>
      <c r="M228" s="2"/>
      <c r="N228" s="2"/>
      <c r="O228" s="2"/>
      <c r="P228" s="2"/>
      <c r="Q228" s="2"/>
    </row>
    <row r="229" spans="1:17" ht="12.75" customHeight="1">
      <c r="A229" s="2"/>
      <c r="B229" s="1"/>
      <c r="C229" s="2"/>
      <c r="D229" s="10" t="s">
        <v>770</v>
      </c>
      <c r="E229" s="2"/>
      <c r="F229" s="2"/>
      <c r="G229" s="2"/>
      <c r="H229" s="2"/>
      <c r="I229" s="2"/>
      <c r="J229" s="2"/>
      <c r="K229" s="2"/>
      <c r="L229" s="2"/>
      <c r="M229" s="2"/>
      <c r="N229" s="2"/>
      <c r="O229" s="2"/>
      <c r="P229" s="2"/>
      <c r="Q229" s="2"/>
    </row>
    <row r="230" spans="1:17" ht="12.75" customHeight="1">
      <c r="A230" s="2"/>
      <c r="B230" s="6">
        <f>MAX($B$13:B229)+1</f>
        <v>103</v>
      </c>
      <c r="C230" s="2"/>
      <c r="D230" s="12" t="s">
        <v>771</v>
      </c>
      <c r="E230" s="2"/>
      <c r="F230" s="818">
        <v>6.8406726199376235</v>
      </c>
      <c r="G230" s="2"/>
      <c r="H230" s="827">
        <f>F230</f>
        <v>6.8406726199376235</v>
      </c>
      <c r="I230" s="2"/>
      <c r="J230" s="2"/>
      <c r="K230" s="2"/>
      <c r="L230" s="2"/>
      <c r="M230" s="2"/>
      <c r="N230" s="2"/>
      <c r="O230" s="2"/>
      <c r="P230" s="2"/>
      <c r="Q230" s="2"/>
    </row>
    <row r="231" spans="1:17" ht="12.75" customHeight="1">
      <c r="A231" s="2"/>
      <c r="B231" s="1"/>
      <c r="C231" s="2"/>
      <c r="D231" s="2"/>
      <c r="E231" s="2"/>
      <c r="F231" s="2"/>
      <c r="G231" s="2"/>
      <c r="H231" s="2"/>
      <c r="I231" s="2"/>
      <c r="J231" s="2"/>
      <c r="K231" s="2"/>
      <c r="M231" s="2"/>
      <c r="N231" s="2"/>
      <c r="O231" s="2"/>
      <c r="P231" s="2"/>
      <c r="Q231" s="2"/>
    </row>
    <row r="232" spans="1:17" ht="12.75" customHeight="1">
      <c r="A232" s="2"/>
      <c r="B232" s="1"/>
      <c r="C232" s="2"/>
      <c r="D232" s="10" t="s">
        <v>772</v>
      </c>
      <c r="E232" s="2"/>
      <c r="F232" s="2"/>
      <c r="G232" s="2"/>
      <c r="H232" s="2"/>
      <c r="I232" s="2"/>
      <c r="J232" s="2"/>
      <c r="K232" s="2"/>
      <c r="L232" s="808"/>
      <c r="M232" s="2"/>
      <c r="N232" s="2"/>
      <c r="O232" s="2"/>
      <c r="P232" s="2"/>
      <c r="Q232" s="2"/>
    </row>
    <row r="233" spans="1:17" ht="12.75" customHeight="1">
      <c r="A233" s="2"/>
      <c r="B233" s="6">
        <f>MAX($B$13:B232)+1</f>
        <v>104</v>
      </c>
      <c r="C233" s="2"/>
      <c r="D233" s="12" t="s">
        <v>771</v>
      </c>
      <c r="E233" s="2"/>
      <c r="F233" s="818">
        <v>6.8406726199376235</v>
      </c>
      <c r="G233" s="2"/>
      <c r="H233" s="818"/>
      <c r="I233" s="2"/>
      <c r="J233" s="2"/>
      <c r="K233" s="2"/>
      <c r="M233" s="2"/>
      <c r="N233" s="2"/>
      <c r="O233" s="2"/>
      <c r="P233" s="2"/>
      <c r="Q233" s="2"/>
    </row>
    <row r="234" spans="1:17" ht="12.75" customHeight="1">
      <c r="A234" s="2"/>
      <c r="B234" s="6">
        <f>MAX($B$13:B233)+1</f>
        <v>105</v>
      </c>
      <c r="C234" s="2"/>
      <c r="D234" s="12" t="s">
        <v>773</v>
      </c>
      <c r="E234" s="2"/>
      <c r="F234" s="873">
        <v>39.08</v>
      </c>
      <c r="G234" s="2"/>
      <c r="H234" s="2"/>
      <c r="I234" s="2"/>
      <c r="J234" s="2"/>
      <c r="K234" s="2"/>
      <c r="L234" s="808"/>
      <c r="M234" s="2"/>
      <c r="N234" s="2"/>
      <c r="O234" s="2"/>
      <c r="P234" s="2"/>
      <c r="Q234" s="2"/>
    </row>
    <row r="235" spans="1:17" ht="12.75" customHeight="1">
      <c r="A235" s="2"/>
      <c r="B235" s="6">
        <f>MAX($B$13:B234)+1</f>
        <v>106</v>
      </c>
      <c r="C235" s="2"/>
      <c r="D235" s="10" t="str">
        <f>"Rates T1, T2 Unauthorized Injections/Withdrawals ($/GJ) (line" &amp; B233 &amp; " / line " &amp; B234 &amp;" x 10)"</f>
        <v>Rates T1, T2 Unauthorized Injections/Withdrawals ($/GJ) (line104 / line 105 x 10)</v>
      </c>
      <c r="E235" s="2"/>
      <c r="F235" s="857">
        <f>F233/F234*10</f>
        <v>1.7504279989604974</v>
      </c>
      <c r="G235" s="2"/>
      <c r="H235" s="860">
        <f>F235</f>
        <v>1.7504279989604974</v>
      </c>
      <c r="I235" s="2"/>
      <c r="J235" s="2"/>
      <c r="K235" s="2"/>
      <c r="L235" s="808"/>
      <c r="M235" s="2"/>
      <c r="N235" s="2"/>
      <c r="O235" s="2"/>
      <c r="P235" s="2"/>
      <c r="Q235" s="2"/>
    </row>
    <row r="236" spans="1:17" ht="12.75" customHeight="1">
      <c r="A236" s="2"/>
      <c r="B236" s="1"/>
      <c r="C236" s="2"/>
      <c r="D236" s="2"/>
      <c r="E236" s="2"/>
      <c r="F236" s="2"/>
      <c r="G236" s="2"/>
      <c r="H236" s="2"/>
      <c r="I236" s="2"/>
      <c r="J236" s="2"/>
      <c r="K236" s="2"/>
      <c r="L236" s="808"/>
      <c r="M236" s="2"/>
      <c r="N236" s="2"/>
      <c r="O236" s="2"/>
      <c r="P236" s="2"/>
      <c r="Q236" s="2"/>
    </row>
    <row r="237" spans="1:17" ht="12.75" customHeight="1">
      <c r="A237" s="2"/>
      <c r="B237" s="1"/>
      <c r="C237" s="2"/>
      <c r="D237" s="10" t="s">
        <v>774</v>
      </c>
      <c r="E237" s="2"/>
      <c r="F237" s="2"/>
      <c r="G237" s="2"/>
      <c r="H237" s="2"/>
      <c r="I237" s="2"/>
      <c r="J237" s="2"/>
      <c r="K237" s="2"/>
      <c r="L237" s="808"/>
      <c r="M237" s="2"/>
      <c r="N237" s="2"/>
      <c r="O237" s="2"/>
      <c r="P237" s="2"/>
      <c r="Q237" s="2"/>
    </row>
    <row r="238" spans="1:17" ht="15.6" customHeight="1">
      <c r="A238" s="2"/>
      <c r="B238" s="6">
        <f>MAX($B$13:B237)+1</f>
        <v>107</v>
      </c>
      <c r="C238" s="2"/>
      <c r="D238" s="12" t="s">
        <v>775</v>
      </c>
      <c r="E238" s="2"/>
      <c r="F238" s="818">
        <v>36</v>
      </c>
      <c r="G238" s="2"/>
      <c r="H238" s="818"/>
      <c r="I238" s="2"/>
      <c r="J238" s="2"/>
      <c r="K238" s="2"/>
      <c r="L238" s="808"/>
      <c r="M238" s="2"/>
      <c r="N238" s="2"/>
      <c r="O238" s="2"/>
      <c r="P238" s="2"/>
      <c r="Q238" s="2"/>
    </row>
    <row r="239" spans="1:17" ht="12.75" customHeight="1">
      <c r="A239" s="2"/>
      <c r="B239" s="6">
        <f>MAX($B$13:B238)+1</f>
        <v>108</v>
      </c>
      <c r="C239" s="2"/>
      <c r="D239" s="12" t="s">
        <v>773</v>
      </c>
      <c r="E239" s="2"/>
      <c r="F239" s="873">
        <v>39.08</v>
      </c>
      <c r="G239" s="2"/>
      <c r="H239" s="2"/>
      <c r="I239" s="2"/>
      <c r="J239" s="2"/>
      <c r="K239" s="2"/>
      <c r="L239" s="808"/>
      <c r="M239" s="2"/>
      <c r="N239" s="2"/>
      <c r="O239" s="2"/>
      <c r="P239" s="2"/>
      <c r="Q239" s="2"/>
    </row>
    <row r="240" spans="1:17" ht="12.75" customHeight="1">
      <c r="A240" s="2"/>
      <c r="B240" s="6">
        <f>MAX($B$13:B239)+1</f>
        <v>109</v>
      </c>
      <c r="C240" s="2"/>
      <c r="D240" s="10" t="str">
        <f>"Rate T3 Unauthorized Injections/Withdrawals ($/GJ) (line " &amp;B238&amp;" / line " &amp;B239&amp;" x 10)"</f>
        <v>Rate T3 Unauthorized Injections/Withdrawals ($/GJ) (line 107 / line 108 x 10)</v>
      </c>
      <c r="E240" s="2"/>
      <c r="F240" s="857">
        <f>F238/F239*10</f>
        <v>9.2118730808597746</v>
      </c>
      <c r="G240" s="2"/>
      <c r="H240" s="860">
        <f>F240</f>
        <v>9.2118730808597746</v>
      </c>
      <c r="I240" s="2"/>
      <c r="J240" s="2"/>
      <c r="K240" s="2"/>
      <c r="L240" s="808"/>
      <c r="M240" s="2"/>
      <c r="N240" s="2"/>
      <c r="O240" s="2"/>
      <c r="P240" s="2"/>
      <c r="Q240" s="2"/>
    </row>
    <row r="241" spans="1:17" ht="12.75" customHeight="1">
      <c r="A241" s="2"/>
      <c r="B241" s="1"/>
      <c r="C241" s="2"/>
      <c r="D241" s="2"/>
      <c r="E241" s="2"/>
      <c r="F241" s="2"/>
      <c r="G241" s="2"/>
      <c r="H241" s="2"/>
      <c r="I241" s="2"/>
      <c r="J241" s="2"/>
      <c r="K241" s="2"/>
      <c r="L241" s="808"/>
      <c r="M241" s="2"/>
      <c r="N241" s="2"/>
      <c r="O241" s="2"/>
      <c r="P241" s="2"/>
      <c r="Q241" s="2"/>
    </row>
    <row r="242" spans="1:17" ht="12.75" customHeight="1">
      <c r="A242" s="2"/>
      <c r="B242" s="1"/>
      <c r="C242" s="2"/>
      <c r="D242" s="10" t="s">
        <v>776</v>
      </c>
      <c r="E242" s="2"/>
      <c r="F242" s="2"/>
      <c r="G242" s="2"/>
      <c r="H242" s="2"/>
      <c r="I242" s="2"/>
      <c r="J242" s="2"/>
      <c r="K242" s="2"/>
      <c r="L242" s="808"/>
      <c r="M242" s="2"/>
      <c r="N242" s="2"/>
      <c r="O242" s="2"/>
      <c r="P242" s="2"/>
      <c r="Q242" s="2"/>
    </row>
    <row r="243" spans="1:17" ht="12.75" customHeight="1">
      <c r="A243" s="2"/>
      <c r="B243" s="6">
        <f>MAX($B$13:B242)+1</f>
        <v>110</v>
      </c>
      <c r="C243" s="2"/>
      <c r="D243" s="12" t="s">
        <v>777</v>
      </c>
      <c r="E243" s="2"/>
      <c r="F243" s="857">
        <v>60</v>
      </c>
      <c r="G243" s="2"/>
      <c r="H243" s="818"/>
      <c r="I243" s="2"/>
      <c r="J243" s="2"/>
      <c r="K243" s="2"/>
      <c r="L243" s="849"/>
      <c r="M243" s="2"/>
      <c r="N243" s="2"/>
      <c r="O243" s="2"/>
      <c r="P243" s="2"/>
      <c r="Q243" s="2"/>
    </row>
    <row r="244" spans="1:17" ht="12.75" customHeight="1">
      <c r="A244" s="2"/>
      <c r="B244" s="6">
        <f>MAX($B$13:B243)+1</f>
        <v>111</v>
      </c>
      <c r="C244" s="2"/>
      <c r="D244" s="12" t="s">
        <v>773</v>
      </c>
      <c r="E244" s="2"/>
      <c r="F244" s="873">
        <v>39.08</v>
      </c>
      <c r="G244" s="2"/>
      <c r="H244" s="2"/>
      <c r="I244" s="2"/>
      <c r="J244" s="2"/>
      <c r="K244" s="2"/>
      <c r="L244" s="808"/>
      <c r="M244" s="2"/>
      <c r="N244" s="2"/>
      <c r="O244" s="2"/>
      <c r="P244" s="2"/>
      <c r="Q244" s="2"/>
    </row>
    <row r="245" spans="1:17" ht="12.75" customHeight="1">
      <c r="A245" s="2"/>
      <c r="B245" s="6">
        <f>MAX($B$13:B244)+1</f>
        <v>112</v>
      </c>
      <c r="C245" s="2"/>
      <c r="D245" s="10" t="str">
        <f>"Unauthorized Overrun Non-Compliance (cents/m3) (line " &amp;B243 &amp;" x line " &amp;B244&amp; " / 10)"</f>
        <v>Unauthorized Overrun Non-Compliance (cents/m3) (line 110 x line 111 / 10)</v>
      </c>
      <c r="E245" s="2"/>
      <c r="F245" s="818">
        <f>F243*F244/10</f>
        <v>234.47999999999996</v>
      </c>
      <c r="G245" s="874"/>
      <c r="H245" s="827">
        <f>F245</f>
        <v>234.47999999999996</v>
      </c>
      <c r="I245" s="2"/>
      <c r="J245" s="822"/>
      <c r="K245" s="2"/>
      <c r="L245" s="808"/>
      <c r="M245" s="2"/>
      <c r="N245" s="2"/>
      <c r="O245" s="2"/>
      <c r="P245" s="2"/>
      <c r="Q245" s="2"/>
    </row>
    <row r="246" spans="1:17" ht="12.75" customHeight="1">
      <c r="A246" s="2"/>
      <c r="B246" s="6"/>
      <c r="C246" s="2"/>
      <c r="D246" s="10"/>
      <c r="E246" s="2"/>
      <c r="F246" s="818"/>
      <c r="G246" s="2"/>
      <c r="H246" s="818"/>
      <c r="I246" s="2"/>
      <c r="J246" s="822"/>
      <c r="K246" s="2"/>
      <c r="L246" s="808"/>
      <c r="M246" s="2"/>
      <c r="N246" s="2"/>
      <c r="O246" s="2"/>
      <c r="P246" s="2"/>
      <c r="Q246" s="2"/>
    </row>
    <row r="247" spans="1:17" ht="12.75" customHeight="1">
      <c r="A247" s="2"/>
      <c r="B247" s="6"/>
      <c r="C247" s="2"/>
      <c r="D247" s="10"/>
      <c r="E247" s="2"/>
      <c r="F247" s="818"/>
      <c r="G247" s="2"/>
      <c r="H247" s="818"/>
      <c r="I247" s="2"/>
      <c r="J247" s="822"/>
      <c r="K247" s="2"/>
      <c r="L247" s="808"/>
      <c r="M247" s="2"/>
      <c r="N247" s="2"/>
      <c r="O247" s="2"/>
      <c r="P247" s="2"/>
      <c r="Q247" s="2"/>
    </row>
    <row r="248" spans="1:17" ht="12.75" customHeight="1">
      <c r="A248" s="2"/>
      <c r="B248" s="6"/>
      <c r="C248" s="2"/>
      <c r="D248" s="875" t="s">
        <v>778</v>
      </c>
      <c r="E248" s="2"/>
      <c r="F248" s="818"/>
      <c r="G248" s="2"/>
      <c r="H248" s="818"/>
      <c r="I248" s="2"/>
      <c r="J248" s="822"/>
      <c r="K248" s="2"/>
      <c r="L248" s="808"/>
      <c r="M248" s="2"/>
      <c r="N248" s="2"/>
      <c r="O248" s="2"/>
      <c r="P248" s="2"/>
      <c r="Q248" s="2"/>
    </row>
    <row r="249" spans="1:17" ht="12.75" customHeight="1">
      <c r="A249" s="2"/>
      <c r="B249" s="6"/>
      <c r="C249" s="2"/>
      <c r="D249" s="10"/>
      <c r="E249" s="2"/>
      <c r="F249" s="818"/>
      <c r="G249" s="2"/>
      <c r="H249" s="818"/>
      <c r="I249" s="2"/>
      <c r="J249" s="822"/>
      <c r="K249" s="2"/>
      <c r="L249" s="808"/>
      <c r="M249" s="2"/>
      <c r="N249" s="2"/>
      <c r="O249" s="2"/>
      <c r="P249" s="2"/>
      <c r="Q249" s="2"/>
    </row>
    <row r="250" spans="1:17" ht="12.75" customHeight="1">
      <c r="A250" s="2"/>
      <c r="B250" s="6">
        <f>MAX($B$13:B249)+1</f>
        <v>113</v>
      </c>
      <c r="C250" s="2"/>
      <c r="D250" s="429" t="s">
        <v>779</v>
      </c>
      <c r="E250" s="2"/>
      <c r="F250" s="857">
        <v>1.5187525197395906</v>
      </c>
      <c r="G250" s="2"/>
      <c r="H250" s="818"/>
      <c r="I250" s="2"/>
      <c r="J250" s="822"/>
      <c r="K250" s="2"/>
      <c r="L250" s="808"/>
      <c r="M250" s="2"/>
      <c r="N250" s="2"/>
      <c r="O250" s="2"/>
      <c r="P250" s="2"/>
      <c r="Q250" s="2"/>
    </row>
    <row r="251" spans="1:17" ht="12.75" customHeight="1">
      <c r="A251" s="2"/>
      <c r="B251" s="6"/>
      <c r="C251" s="2"/>
      <c r="D251" s="476"/>
      <c r="E251" s="2"/>
      <c r="F251" s="818"/>
      <c r="G251" s="2"/>
      <c r="H251" s="818"/>
      <c r="I251" s="2"/>
      <c r="J251" s="822"/>
      <c r="K251" s="2"/>
      <c r="L251" s="808"/>
      <c r="M251" s="2"/>
      <c r="N251" s="2"/>
      <c r="O251" s="2"/>
      <c r="P251" s="2"/>
      <c r="Q251" s="2"/>
    </row>
    <row r="252" spans="1:17" ht="12.75" customHeight="1">
      <c r="A252" s="2"/>
      <c r="B252" s="6"/>
      <c r="C252" s="2"/>
      <c r="D252" s="476" t="s">
        <v>780</v>
      </c>
      <c r="E252" s="2"/>
      <c r="F252" s="818"/>
      <c r="G252" s="2"/>
      <c r="H252" s="818"/>
      <c r="I252" s="2"/>
      <c r="J252" s="822"/>
      <c r="K252" s="2"/>
      <c r="L252" s="808"/>
      <c r="M252" s="2"/>
      <c r="N252" s="2"/>
      <c r="O252" s="2"/>
      <c r="P252" s="2"/>
      <c r="Q252" s="2"/>
    </row>
    <row r="253" spans="1:17" ht="12.75" customHeight="1">
      <c r="A253" s="2"/>
      <c r="B253" s="6">
        <f>MAX($B$13:B252)+1</f>
        <v>114</v>
      </c>
      <c r="C253" s="2"/>
      <c r="D253" s="876" t="s">
        <v>781</v>
      </c>
      <c r="E253" s="2"/>
      <c r="F253" s="877">
        <v>75177124.25</v>
      </c>
      <c r="G253" s="2"/>
      <c r="H253" s="818"/>
      <c r="I253" s="2"/>
      <c r="J253" s="822"/>
      <c r="K253" s="2"/>
      <c r="L253" s="808"/>
      <c r="M253" s="2"/>
      <c r="N253" s="2"/>
      <c r="O253" s="2"/>
      <c r="P253" s="2"/>
      <c r="Q253" s="2"/>
    </row>
    <row r="254" spans="1:17" ht="12.75" customHeight="1">
      <c r="A254" s="2"/>
      <c r="B254" s="6">
        <f>MAX($B$13:B253)+1</f>
        <v>115</v>
      </c>
      <c r="C254" s="2"/>
      <c r="D254" s="876" t="s">
        <v>782</v>
      </c>
      <c r="E254" s="2"/>
      <c r="F254" s="878">
        <v>0.2</v>
      </c>
      <c r="G254" s="2"/>
      <c r="H254" s="818"/>
      <c r="I254" s="2"/>
      <c r="J254" s="822"/>
      <c r="K254" s="2"/>
      <c r="L254" s="808"/>
      <c r="M254" s="2"/>
      <c r="N254" s="2"/>
      <c r="O254" s="2"/>
      <c r="P254" s="2"/>
      <c r="Q254" s="2"/>
    </row>
    <row r="255" spans="1:17" ht="12.75" customHeight="1">
      <c r="A255" s="2"/>
      <c r="B255" s="6">
        <f>MAX($B$13:B254)+1</f>
        <v>116</v>
      </c>
      <c r="C255" s="2"/>
      <c r="D255" s="876" t="str">
        <f>"Inventory  (line " &amp;B253&amp;" x line "&amp;B254&amp;")"</f>
        <v>Inventory  (line 114 x line 115)</v>
      </c>
      <c r="E255" s="2"/>
      <c r="F255" s="879">
        <f>F253*F254</f>
        <v>15035424.850000001</v>
      </c>
      <c r="G255" s="2"/>
      <c r="H255" s="818"/>
      <c r="I255" s="2"/>
      <c r="J255" s="822"/>
      <c r="K255" s="2"/>
      <c r="L255" s="808"/>
      <c r="M255" s="2"/>
      <c r="N255" s="2"/>
      <c r="O255" s="2"/>
      <c r="P255" s="2"/>
      <c r="Q255" s="2"/>
    </row>
    <row r="256" spans="1:17" ht="12.75" customHeight="1">
      <c r="A256" s="2"/>
      <c r="B256" s="6"/>
      <c r="C256" s="2"/>
      <c r="D256" s="476"/>
      <c r="E256" s="2"/>
      <c r="F256" s="114"/>
      <c r="G256" s="2"/>
      <c r="H256" s="818"/>
      <c r="I256" s="2"/>
      <c r="J256" s="822"/>
      <c r="K256" s="2"/>
      <c r="L256" s="808"/>
      <c r="M256" s="2"/>
      <c r="N256" s="2"/>
      <c r="O256" s="2"/>
      <c r="P256" s="2"/>
      <c r="Q256" s="2"/>
    </row>
    <row r="257" spans="1:17" ht="12.75" customHeight="1">
      <c r="A257" s="2"/>
      <c r="B257" s="6">
        <f>MAX($B$13:B256)+1</f>
        <v>117</v>
      </c>
      <c r="C257" s="2"/>
      <c r="D257" s="876" t="s">
        <v>783</v>
      </c>
      <c r="E257" s="2"/>
      <c r="F257" s="114">
        <v>3.9620000000000002</v>
      </c>
      <c r="G257" s="2"/>
      <c r="H257" s="818"/>
      <c r="I257" s="2"/>
      <c r="J257" s="822"/>
      <c r="K257" s="2"/>
      <c r="L257" s="808"/>
      <c r="M257" s="2"/>
      <c r="N257" s="2"/>
      <c r="O257" s="2"/>
      <c r="P257" s="2"/>
      <c r="Q257" s="2"/>
    </row>
    <row r="258" spans="1:17" ht="12.75" customHeight="1">
      <c r="A258" s="2"/>
      <c r="B258" s="6">
        <f>MAX($B$13:B257)+1</f>
        <v>118</v>
      </c>
      <c r="C258" s="2"/>
      <c r="D258" s="876" t="s">
        <v>784</v>
      </c>
      <c r="E258" s="2"/>
      <c r="F258" s="503">
        <v>8.1699999999999995E-2</v>
      </c>
      <c r="G258" s="2"/>
      <c r="H258" s="818"/>
      <c r="I258" s="2"/>
      <c r="J258" s="822"/>
      <c r="K258" s="2"/>
      <c r="L258" s="808"/>
      <c r="M258" s="2"/>
      <c r="N258" s="2"/>
      <c r="O258" s="2"/>
      <c r="P258" s="2"/>
      <c r="Q258" s="2"/>
    </row>
    <row r="259" spans="1:17" ht="12.75" customHeight="1">
      <c r="A259" s="2"/>
      <c r="B259" s="6">
        <f>MAX($B$13:B258)+1</f>
        <v>119</v>
      </c>
      <c r="C259" s="2"/>
      <c r="D259" s="876" t="str">
        <f>"Inventory Carrying Costs (line "&amp;B255&amp;" x line "&amp;B257&amp;" x line " &amp;B258&amp;" / 1000)"</f>
        <v>Inventory Carrying Costs (line 116 x line 117 x line 118 / 1000)</v>
      </c>
      <c r="E259" s="2"/>
      <c r="F259" s="879">
        <f>F255*F257*F258/1000</f>
        <v>4866.8978609906899</v>
      </c>
      <c r="G259" s="2"/>
      <c r="H259" s="818"/>
      <c r="I259" s="2"/>
      <c r="J259" s="822"/>
      <c r="K259" s="2"/>
      <c r="L259" s="808"/>
      <c r="M259" s="2"/>
      <c r="N259" s="2"/>
      <c r="O259" s="2"/>
      <c r="P259" s="2"/>
      <c r="Q259" s="2"/>
    </row>
    <row r="260" spans="1:17" ht="12.75" customHeight="1">
      <c r="A260" s="2"/>
      <c r="B260" s="6"/>
      <c r="C260" s="2"/>
      <c r="D260" s="476"/>
      <c r="E260" s="2"/>
      <c r="F260" s="114"/>
      <c r="G260" s="2"/>
      <c r="H260" s="818"/>
      <c r="I260" s="2"/>
      <c r="J260" s="822"/>
      <c r="K260" s="2"/>
      <c r="L260" s="808"/>
      <c r="M260" s="2"/>
      <c r="N260" s="2"/>
      <c r="O260" s="2"/>
      <c r="P260" s="2"/>
      <c r="Q260" s="2"/>
    </row>
    <row r="261" spans="1:17" ht="12.75" customHeight="1">
      <c r="A261" s="2"/>
      <c r="B261" s="6">
        <f>MAX($B$13:B260)+1</f>
        <v>120</v>
      </c>
      <c r="C261" s="2"/>
      <c r="D261" s="876" t="s">
        <v>785</v>
      </c>
      <c r="E261" s="2"/>
      <c r="F261" s="877">
        <v>1332763.75</v>
      </c>
      <c r="G261" s="2"/>
      <c r="H261" s="818"/>
      <c r="I261" s="2"/>
      <c r="J261" s="822"/>
      <c r="K261" s="2"/>
      <c r="L261" s="808"/>
      <c r="M261" s="2"/>
      <c r="N261" s="2"/>
      <c r="O261" s="2"/>
      <c r="P261" s="2"/>
      <c r="Q261" s="2"/>
    </row>
    <row r="262" spans="1:17" ht="12.75" customHeight="1">
      <c r="A262" s="2"/>
      <c r="B262" s="6"/>
      <c r="C262" s="2"/>
      <c r="D262" s="476"/>
      <c r="E262" s="2"/>
      <c r="F262" s="114"/>
      <c r="G262" s="2"/>
      <c r="H262" s="818"/>
      <c r="I262" s="2"/>
      <c r="J262" s="822"/>
      <c r="K262" s="2"/>
      <c r="L262" s="808"/>
      <c r="M262" s="2"/>
      <c r="N262" s="2"/>
      <c r="O262" s="2"/>
      <c r="P262" s="2"/>
      <c r="Q262" s="2"/>
    </row>
    <row r="263" spans="1:17" ht="12.75" customHeight="1">
      <c r="A263" s="2"/>
      <c r="B263" s="6">
        <f>MAX($B$13:B262)+1</f>
        <v>121</v>
      </c>
      <c r="C263" s="2"/>
      <c r="D263" s="876" t="str">
        <f>"Line "&amp;B259&amp;" / line "&amp;B261&amp;" x 1000 / 12"</f>
        <v>Line 119 / line 120 x 1000 / 12</v>
      </c>
      <c r="E263" s="2"/>
      <c r="F263" s="880">
        <f>F259/F261*1000/12</f>
        <v>0.30431111421602225</v>
      </c>
      <c r="G263" s="2"/>
      <c r="H263" s="818"/>
      <c r="I263" s="2"/>
      <c r="J263" s="822"/>
      <c r="K263" s="2"/>
      <c r="L263" s="808"/>
      <c r="M263" s="2"/>
      <c r="N263" s="2"/>
      <c r="O263" s="2"/>
      <c r="P263" s="2"/>
      <c r="Q263" s="2"/>
    </row>
    <row r="264" spans="1:17" ht="12.75" customHeight="1">
      <c r="A264" s="2"/>
      <c r="B264" s="6"/>
      <c r="C264" s="2"/>
      <c r="D264" s="476"/>
      <c r="E264" s="2"/>
      <c r="F264" s="114"/>
      <c r="G264" s="2"/>
      <c r="H264" s="818"/>
      <c r="I264" s="2"/>
      <c r="J264" s="822"/>
      <c r="K264" s="2"/>
      <c r="L264" s="808"/>
      <c r="M264" s="2"/>
      <c r="N264" s="2"/>
      <c r="O264" s="2"/>
      <c r="P264" s="2"/>
      <c r="Q264" s="2"/>
    </row>
    <row r="265" spans="1:17" ht="12.75" customHeight="1">
      <c r="A265" s="2"/>
      <c r="B265" s="6">
        <f>MAX($B$13:B264)+1</f>
        <v>122</v>
      </c>
      <c r="C265" s="2"/>
      <c r="D265" s="876" t="s">
        <v>786</v>
      </c>
      <c r="E265" s="2"/>
      <c r="F265" s="881">
        <f>ROUND(F250+F263,3)</f>
        <v>1.823</v>
      </c>
      <c r="G265" s="2"/>
      <c r="H265" s="860">
        <f>F265</f>
        <v>1.823</v>
      </c>
      <c r="I265" s="2"/>
      <c r="J265" s="822"/>
      <c r="K265" s="2"/>
      <c r="L265" s="808"/>
      <c r="M265" s="2"/>
      <c r="N265" s="2"/>
      <c r="O265" s="2"/>
      <c r="P265" s="2"/>
      <c r="Q265" s="2"/>
    </row>
    <row r="266" spans="1:17" ht="12.75" customHeight="1">
      <c r="A266" s="2"/>
      <c r="B266" s="6"/>
      <c r="C266" s="2"/>
      <c r="D266" s="10"/>
      <c r="E266" s="2"/>
      <c r="F266" s="818"/>
      <c r="G266" s="2"/>
      <c r="H266" s="818"/>
      <c r="I266" s="2"/>
      <c r="J266" s="822"/>
      <c r="K266" s="2"/>
      <c r="L266" s="808"/>
      <c r="M266" s="2"/>
      <c r="N266" s="2"/>
      <c r="O266" s="2"/>
      <c r="P266" s="2"/>
      <c r="Q266" s="2"/>
    </row>
    <row r="267" spans="1:17" ht="12.75" customHeight="1">
      <c r="A267" s="2"/>
      <c r="B267" s="1"/>
      <c r="C267" s="2"/>
      <c r="D267" s="809"/>
      <c r="E267" s="809"/>
      <c r="F267" s="809"/>
      <c r="G267" s="809"/>
      <c r="H267" s="809"/>
      <c r="I267" s="809"/>
      <c r="J267" s="808"/>
      <c r="K267" s="808"/>
      <c r="L267" s="808"/>
      <c r="M267" s="2"/>
      <c r="N267" s="2"/>
      <c r="O267" s="2"/>
      <c r="P267" s="2"/>
      <c r="Q267" s="2"/>
    </row>
    <row r="268" spans="1:17" ht="12.75" customHeight="1">
      <c r="A268" s="2"/>
      <c r="B268" s="1"/>
      <c r="C268" s="2"/>
      <c r="D268" s="809"/>
      <c r="E268" s="809"/>
      <c r="F268" s="809"/>
      <c r="G268" s="809"/>
      <c r="H268" s="809"/>
      <c r="I268" s="809"/>
      <c r="J268" s="808"/>
      <c r="K268" s="808"/>
      <c r="L268" s="808"/>
      <c r="M268" s="2"/>
      <c r="N268" s="2"/>
      <c r="O268" s="2"/>
      <c r="P268" s="2"/>
      <c r="Q268" s="2"/>
    </row>
    <row r="269" spans="1:17" ht="12.75" customHeight="1">
      <c r="A269" s="2"/>
      <c r="B269" s="1"/>
      <c r="C269" s="2"/>
      <c r="D269" s="809"/>
      <c r="E269" s="809"/>
      <c r="F269" s="809"/>
      <c r="G269" s="809"/>
      <c r="H269" s="809"/>
      <c r="I269" s="809"/>
      <c r="J269" s="808"/>
      <c r="K269" s="808"/>
      <c r="L269" s="808"/>
      <c r="M269" s="2"/>
      <c r="N269" s="2"/>
      <c r="O269" s="2"/>
      <c r="P269" s="2"/>
      <c r="Q269" s="2"/>
    </row>
    <row r="270" spans="1:17" ht="12.75" customHeight="1">
      <c r="A270" s="2"/>
      <c r="B270" s="811"/>
      <c r="C270" s="4"/>
      <c r="D270" s="811"/>
      <c r="E270" s="811"/>
      <c r="F270" s="811"/>
      <c r="G270" s="811"/>
      <c r="H270" s="811"/>
      <c r="I270" s="811"/>
      <c r="J270" s="808"/>
      <c r="K270" s="808"/>
      <c r="L270" s="808"/>
      <c r="M270" s="2"/>
      <c r="N270" s="2"/>
      <c r="O270" s="2"/>
      <c r="P270" s="2"/>
      <c r="Q270" s="2"/>
    </row>
    <row r="271" spans="1:17" ht="12.75" customHeight="1">
      <c r="A271" s="2"/>
      <c r="B271" s="1166" t="s">
        <v>701</v>
      </c>
      <c r="C271" s="1166"/>
      <c r="D271" s="1168"/>
      <c r="E271" s="1168"/>
      <c r="F271" s="1168"/>
      <c r="G271" s="1168"/>
      <c r="H271" s="1168"/>
      <c r="I271" s="811"/>
      <c r="J271" s="808"/>
      <c r="K271" s="808"/>
      <c r="L271" s="808"/>
      <c r="M271" s="2"/>
      <c r="N271" s="2"/>
      <c r="O271" s="2"/>
      <c r="P271" s="2"/>
      <c r="Q271" s="2"/>
    </row>
    <row r="272" spans="1:17" ht="12.75" customHeight="1">
      <c r="A272" s="2"/>
      <c r="B272" s="6"/>
      <c r="C272" s="6"/>
      <c r="D272" s="6"/>
      <c r="E272" s="6"/>
      <c r="F272" s="2"/>
      <c r="G272" s="2"/>
      <c r="H272" s="2"/>
      <c r="I272" s="2"/>
      <c r="J272" s="1"/>
      <c r="K272" s="855"/>
      <c r="L272" s="855"/>
      <c r="M272" s="808"/>
      <c r="N272" s="808"/>
      <c r="O272" s="808"/>
      <c r="P272" s="808"/>
      <c r="Q272" s="808"/>
    </row>
    <row r="273" spans="1:17" ht="12.75" customHeight="1">
      <c r="A273" s="2"/>
      <c r="B273" s="6" t="s">
        <v>56</v>
      </c>
      <c r="C273" s="58"/>
      <c r="D273" s="58"/>
      <c r="E273" s="58"/>
      <c r="F273" s="866"/>
      <c r="G273" s="866"/>
      <c r="H273" s="866"/>
      <c r="I273" s="2"/>
      <c r="J273" s="6"/>
      <c r="K273" s="855"/>
      <c r="L273" s="855"/>
      <c r="M273" s="808"/>
      <c r="N273" s="808"/>
      <c r="O273" s="808"/>
      <c r="P273" s="808"/>
      <c r="Q273" s="808"/>
    </row>
    <row r="274" spans="1:17" ht="15" customHeight="1">
      <c r="A274" s="2"/>
      <c r="B274" s="237" t="s">
        <v>57</v>
      </c>
      <c r="C274" s="58"/>
      <c r="D274" s="59" t="s">
        <v>194</v>
      </c>
      <c r="E274" s="6"/>
      <c r="F274" s="199" t="s">
        <v>787</v>
      </c>
      <c r="G274" s="866"/>
      <c r="H274" s="199" t="s">
        <v>787</v>
      </c>
      <c r="I274" s="2"/>
      <c r="J274" s="856"/>
      <c r="K274" s="2"/>
      <c r="L274" s="2"/>
      <c r="M274" s="2"/>
      <c r="N274" s="2"/>
      <c r="O274" s="2"/>
      <c r="P274" s="2"/>
      <c r="Q274" s="2"/>
    </row>
    <row r="275" spans="1:17" ht="12.75" customHeight="1">
      <c r="A275" s="2"/>
      <c r="B275" s="6"/>
      <c r="C275" s="58"/>
      <c r="D275" s="58"/>
      <c r="E275" s="6"/>
      <c r="F275" s="882" t="s">
        <v>9</v>
      </c>
      <c r="G275" s="883"/>
      <c r="H275" s="6" t="s">
        <v>10</v>
      </c>
      <c r="I275" s="6"/>
      <c r="J275" s="6"/>
      <c r="K275" s="2"/>
      <c r="L275" s="2"/>
      <c r="M275" s="2"/>
      <c r="N275" s="2"/>
      <c r="O275" s="2"/>
      <c r="P275" s="2"/>
      <c r="Q275" s="2"/>
    </row>
    <row r="276" spans="1:17" ht="12.75" customHeight="1">
      <c r="A276" s="2"/>
      <c r="B276" s="1"/>
      <c r="C276" s="2"/>
      <c r="D276" s="809"/>
      <c r="E276" s="2"/>
      <c r="F276" s="2"/>
      <c r="G276" s="2"/>
      <c r="H276" s="818"/>
      <c r="I276" s="818"/>
      <c r="J276" s="818"/>
      <c r="K276" s="818"/>
      <c r="L276" s="818"/>
      <c r="M276" s="818"/>
      <c r="N276" s="2"/>
      <c r="O276" s="2"/>
      <c r="P276" s="2"/>
      <c r="Q276" s="2"/>
    </row>
    <row r="277" spans="1:17" ht="12.75" customHeight="1">
      <c r="A277" s="2"/>
      <c r="B277" s="1"/>
      <c r="C277" s="2"/>
      <c r="D277" s="9" t="s">
        <v>788</v>
      </c>
      <c r="E277" s="2"/>
      <c r="F277" s="4"/>
      <c r="G277" s="4"/>
      <c r="H277" s="4"/>
      <c r="I277" s="818"/>
      <c r="J277" s="818"/>
      <c r="K277" s="818"/>
      <c r="L277" s="818"/>
      <c r="M277" s="818"/>
      <c r="N277" s="2"/>
      <c r="O277" s="2"/>
      <c r="P277" s="2"/>
      <c r="Q277" s="2"/>
    </row>
    <row r="278" spans="1:17" ht="12.75" customHeight="1">
      <c r="A278" s="2"/>
      <c r="B278" s="1"/>
      <c r="C278" s="2"/>
      <c r="D278" s="809"/>
      <c r="E278" s="809"/>
      <c r="F278" s="140" t="s">
        <v>789</v>
      </c>
      <c r="G278" s="140"/>
      <c r="H278" s="140" t="s">
        <v>789</v>
      </c>
      <c r="I278" s="809"/>
      <c r="J278" s="808"/>
      <c r="K278" s="808"/>
      <c r="L278" s="808"/>
      <c r="M278" s="2"/>
      <c r="N278" s="2"/>
      <c r="O278" s="2"/>
      <c r="P278" s="2"/>
      <c r="Q278" s="2"/>
    </row>
    <row r="279" spans="1:17" ht="12.75" customHeight="1">
      <c r="A279" s="2"/>
      <c r="B279" s="1"/>
      <c r="C279" s="2"/>
      <c r="D279" s="884" t="s">
        <v>790</v>
      </c>
      <c r="E279" s="2"/>
      <c r="F279" s="199" t="s">
        <v>306</v>
      </c>
      <c r="G279" s="140"/>
      <c r="H279" s="199" t="s">
        <v>307</v>
      </c>
      <c r="I279" s="2"/>
      <c r="J279" s="2"/>
      <c r="K279" s="2"/>
      <c r="L279" s="2"/>
      <c r="M279" s="2"/>
      <c r="N279" s="2"/>
      <c r="O279" s="2"/>
      <c r="P279" s="2"/>
      <c r="Q279" s="2"/>
    </row>
    <row r="280" spans="1:17" ht="12.75" customHeight="1">
      <c r="A280" s="2"/>
      <c r="B280" s="1"/>
      <c r="C280" s="2"/>
      <c r="D280" s="884"/>
      <c r="E280" s="2"/>
      <c r="F280" s="2"/>
      <c r="G280" s="2"/>
      <c r="H280" s="2"/>
      <c r="I280" s="2"/>
      <c r="J280" s="2"/>
      <c r="K280" s="2"/>
      <c r="L280" s="2"/>
      <c r="M280" s="2"/>
      <c r="N280" s="2"/>
      <c r="O280" s="2"/>
      <c r="P280" s="2"/>
      <c r="Q280" s="2"/>
    </row>
    <row r="281" spans="1:17" ht="12.75" customHeight="1">
      <c r="A281" s="2"/>
      <c r="B281" s="6"/>
      <c r="C281" s="2"/>
      <c r="D281" s="828" t="s">
        <v>791</v>
      </c>
      <c r="E281" s="2"/>
      <c r="F281" s="2"/>
      <c r="G281" s="2"/>
      <c r="H281" s="2"/>
      <c r="I281" s="2"/>
      <c r="J281" s="2"/>
      <c r="K281" s="2"/>
      <c r="L281" s="2"/>
      <c r="M281" s="2"/>
      <c r="N281" s="2"/>
      <c r="O281" s="2"/>
      <c r="P281" s="2"/>
      <c r="Q281" s="2"/>
    </row>
    <row r="282" spans="1:17" ht="12.75" customHeight="1">
      <c r="A282" s="2"/>
      <c r="B282" s="6">
        <f>MAX($B$13:B281)+1</f>
        <v>123</v>
      </c>
      <c r="C282" s="2"/>
      <c r="D282" s="821" t="s">
        <v>792</v>
      </c>
      <c r="E282" s="2"/>
      <c r="F282" s="818">
        <v>2.3115257903776452</v>
      </c>
      <c r="G282" s="2"/>
      <c r="H282" s="818">
        <v>2.3115257903776452</v>
      </c>
      <c r="I282" s="2"/>
      <c r="J282" s="2"/>
      <c r="K282" s="808"/>
      <c r="L282" s="808"/>
      <c r="M282" s="2"/>
      <c r="N282" s="2"/>
      <c r="O282" s="2"/>
      <c r="P282" s="2"/>
      <c r="Q282" s="2"/>
    </row>
    <row r="283" spans="1:17" ht="12.75" customHeight="1">
      <c r="A283" s="2"/>
      <c r="B283" s="6">
        <f>MAX($B$13:B282)+1</f>
        <v>124</v>
      </c>
      <c r="C283" s="2"/>
      <c r="D283" s="821" t="s">
        <v>710</v>
      </c>
      <c r="E283" s="2"/>
      <c r="F283" s="818">
        <v>0.75926512076320185</v>
      </c>
      <c r="G283" s="2"/>
      <c r="H283" s="818">
        <v>0.75926512076320185</v>
      </c>
      <c r="I283" s="2"/>
      <c r="J283" s="2"/>
      <c r="K283" s="808"/>
      <c r="L283" s="808"/>
      <c r="M283" s="2"/>
      <c r="N283" s="2"/>
      <c r="O283" s="2"/>
      <c r="P283" s="2"/>
      <c r="Q283" s="2"/>
    </row>
    <row r="284" spans="1:17" ht="12.75" customHeight="1">
      <c r="A284" s="2"/>
      <c r="B284" s="6">
        <f>MAX($B$13:B283)+1</f>
        <v>125</v>
      </c>
      <c r="C284" s="2"/>
      <c r="D284" s="828" t="s">
        <v>791</v>
      </c>
      <c r="E284" s="2"/>
      <c r="F284" s="827">
        <f>F282+F283</f>
        <v>3.0707909111408469</v>
      </c>
      <c r="G284" s="2"/>
      <c r="H284" s="827">
        <f>H282+H283</f>
        <v>3.0707909111408469</v>
      </c>
      <c r="I284" s="2"/>
      <c r="J284" s="847"/>
      <c r="K284" s="808"/>
      <c r="L284" s="808"/>
      <c r="M284" s="2"/>
      <c r="N284" s="2"/>
      <c r="O284" s="2"/>
      <c r="P284" s="2"/>
      <c r="Q284" s="2"/>
    </row>
    <row r="285" spans="1:17" ht="12.75" customHeight="1">
      <c r="A285" s="2"/>
      <c r="B285" s="1"/>
      <c r="C285" s="2"/>
      <c r="D285" s="2"/>
      <c r="E285" s="2"/>
      <c r="F285" s="2"/>
      <c r="G285" s="2"/>
      <c r="H285" s="2"/>
      <c r="I285" s="2"/>
      <c r="J285" s="2"/>
      <c r="K285" s="2"/>
      <c r="L285" s="2"/>
      <c r="M285" s="818"/>
      <c r="N285" s="2"/>
      <c r="O285" s="2"/>
      <c r="P285" s="2"/>
      <c r="Q285" s="2"/>
    </row>
    <row r="286" spans="1:17" ht="12.75" customHeight="1">
      <c r="A286" s="2"/>
      <c r="B286" s="6"/>
      <c r="C286" s="2"/>
      <c r="D286" s="828" t="s">
        <v>793</v>
      </c>
      <c r="E286" s="2"/>
      <c r="F286" s="2"/>
      <c r="G286" s="2"/>
      <c r="H286" s="2"/>
      <c r="I286" s="2"/>
      <c r="J286" s="2"/>
      <c r="K286" s="2"/>
      <c r="L286" s="2"/>
      <c r="M286" s="2"/>
      <c r="N286" s="2"/>
      <c r="O286" s="2"/>
      <c r="P286" s="2"/>
      <c r="Q286" s="2"/>
    </row>
    <row r="287" spans="1:17" ht="12.75" customHeight="1">
      <c r="A287" s="2"/>
      <c r="B287" s="6">
        <f>MAX($B$13:B286)+1</f>
        <v>126</v>
      </c>
      <c r="C287" s="2"/>
      <c r="D287" s="821" t="s">
        <v>794</v>
      </c>
      <c r="E287" s="2"/>
      <c r="F287" s="818">
        <v>2.7646098555745726</v>
      </c>
      <c r="G287" s="2"/>
      <c r="H287" s="818">
        <v>2.8594367139044898</v>
      </c>
      <c r="I287" s="2"/>
      <c r="J287" s="2"/>
      <c r="K287" s="2"/>
      <c r="L287" s="2"/>
      <c r="M287" s="818"/>
      <c r="N287" s="2"/>
      <c r="O287" s="2"/>
      <c r="P287" s="2"/>
      <c r="Q287" s="2"/>
    </row>
    <row r="288" spans="1:17" ht="12.75" customHeight="1">
      <c r="A288" s="2"/>
      <c r="B288" s="6">
        <f>MAX($B$13:B287)+1</f>
        <v>127</v>
      </c>
      <c r="C288" s="2"/>
      <c r="D288" s="821" t="s">
        <v>268</v>
      </c>
      <c r="E288" s="2"/>
      <c r="F288" s="818">
        <v>2.5196786155898971</v>
      </c>
      <c r="G288" s="2"/>
      <c r="H288" s="818">
        <v>1.78148289914636</v>
      </c>
      <c r="I288" s="2"/>
      <c r="J288" s="2"/>
      <c r="K288" s="2"/>
      <c r="L288" s="2"/>
      <c r="M288" s="818"/>
      <c r="N288" s="2"/>
      <c r="O288" s="2"/>
      <c r="P288" s="2"/>
      <c r="Q288" s="2"/>
    </row>
    <row r="289" spans="1:17" ht="12.75" customHeight="1">
      <c r="A289" s="2"/>
      <c r="B289" s="6">
        <f>MAX($B$13:B288)+1</f>
        <v>128</v>
      </c>
      <c r="C289" s="2"/>
      <c r="D289" s="821" t="s">
        <v>795</v>
      </c>
      <c r="E289" s="2"/>
      <c r="F289" s="818">
        <v>0.4279</v>
      </c>
      <c r="G289" s="2"/>
      <c r="H289" s="818">
        <v>-4.8399999999999999E-2</v>
      </c>
      <c r="I289" s="2"/>
      <c r="J289" s="2"/>
      <c r="K289" s="2"/>
      <c r="L289" s="814"/>
      <c r="M289" s="818"/>
      <c r="N289" s="2"/>
      <c r="O289" s="2"/>
      <c r="P289" s="2"/>
      <c r="Q289" s="2"/>
    </row>
    <row r="290" spans="1:17" ht="12.75" customHeight="1">
      <c r="A290" s="2"/>
      <c r="B290" s="6">
        <f>MAX($B$13:B289)+1</f>
        <v>129</v>
      </c>
      <c r="C290" s="2"/>
      <c r="D290" s="821" t="str">
        <f xml:space="preserve"> "Line " &amp; B288 &amp; " + Line " &amp; B289 &amp; " x (4/5)"</f>
        <v>Line 127 + Line 128 x (4/5)</v>
      </c>
      <c r="E290" s="2"/>
      <c r="F290" s="846">
        <f>(F288+F289) * (4/5)</f>
        <v>2.358062892471918</v>
      </c>
      <c r="G290" s="2"/>
      <c r="H290" s="846">
        <f>(H288+H289) * (4/5)</f>
        <v>1.3864663193170881</v>
      </c>
      <c r="I290" s="2"/>
      <c r="J290" s="2"/>
      <c r="K290" s="2"/>
      <c r="L290" s="814"/>
      <c r="M290" s="818"/>
      <c r="N290" s="2"/>
      <c r="O290" s="2"/>
      <c r="P290" s="2"/>
      <c r="Q290" s="2"/>
    </row>
    <row r="291" spans="1:17" ht="12.75" customHeight="1">
      <c r="A291" s="2"/>
      <c r="B291" s="6">
        <f>MAX($B$13:B290)+1</f>
        <v>130</v>
      </c>
      <c r="C291" s="2"/>
      <c r="D291" s="828" t="str">
        <f>"Gas Supply Commissioning and Decommissioning Charge (Line "&amp; B287 &amp; " + Line "&amp;B290 &amp;")"</f>
        <v>Gas Supply Commissioning and Decommissioning Charge (Line 126 + Line 129)</v>
      </c>
      <c r="E291" s="2"/>
      <c r="F291" s="846">
        <f>F287+F290</f>
        <v>5.1226727480464902</v>
      </c>
      <c r="G291" s="2"/>
      <c r="H291" s="846">
        <f>H287+H290</f>
        <v>4.2459030332215777</v>
      </c>
      <c r="I291" s="2"/>
      <c r="J291" s="2"/>
      <c r="K291" s="2"/>
      <c r="L291" s="2"/>
      <c r="M291" s="818"/>
      <c r="N291" s="2"/>
      <c r="O291" s="2"/>
      <c r="P291" s="2"/>
      <c r="Q291" s="2"/>
    </row>
    <row r="292" spans="1:17" ht="12.75" customHeight="1">
      <c r="A292" s="2"/>
      <c r="B292" s="1"/>
      <c r="C292" s="2"/>
      <c r="D292" s="828"/>
      <c r="E292" s="2"/>
      <c r="F292" s="818"/>
      <c r="G292" s="2"/>
      <c r="H292" s="2"/>
      <c r="I292" s="2"/>
      <c r="J292" s="2"/>
      <c r="K292" s="2"/>
      <c r="L292" s="2"/>
      <c r="M292" s="818"/>
      <c r="N292" s="2"/>
      <c r="O292" s="2"/>
      <c r="P292" s="2"/>
      <c r="Q292" s="2"/>
    </row>
    <row r="293" spans="1:17" ht="12.75" customHeight="1">
      <c r="A293" s="2"/>
      <c r="B293" s="6">
        <f>MAX($B$13:B292)+1</f>
        <v>131</v>
      </c>
      <c r="C293" s="2"/>
      <c r="D293" s="828" t="str">
        <f>"Total Rate 20 Commissioning and Decommissioning Charge (Line "&amp; B284 &amp; " + Line "&amp;B291 &amp;")"</f>
        <v>Total Rate 20 Commissioning and Decommissioning Charge (Line 125 + Line 130)</v>
      </c>
      <c r="E293" s="2"/>
      <c r="F293" s="827">
        <f>F284+F291</f>
        <v>8.1934636591873371</v>
      </c>
      <c r="G293" s="2"/>
      <c r="H293" s="827">
        <f>H284+H291</f>
        <v>7.3166939443624246</v>
      </c>
      <c r="I293" s="2"/>
      <c r="J293" s="2"/>
      <c r="K293" s="2"/>
      <c r="L293" s="2"/>
      <c r="M293" s="818"/>
      <c r="N293" s="2"/>
      <c r="O293" s="2"/>
      <c r="P293" s="2"/>
      <c r="Q293" s="2"/>
    </row>
    <row r="294" spans="1:17" ht="12.75" customHeight="1">
      <c r="A294" s="2"/>
      <c r="B294" s="1"/>
      <c r="C294" s="2"/>
      <c r="D294" s="2"/>
      <c r="E294" s="2"/>
      <c r="F294" s="2"/>
      <c r="G294" s="2"/>
      <c r="H294" s="2"/>
      <c r="I294" s="2"/>
      <c r="J294" s="2"/>
      <c r="K294" s="2"/>
      <c r="L294" s="2"/>
      <c r="M294" s="818"/>
      <c r="N294" s="2"/>
      <c r="O294" s="2"/>
      <c r="P294" s="2"/>
      <c r="Q294" s="2"/>
    </row>
    <row r="295" spans="1:17" ht="12.75" customHeight="1">
      <c r="A295" s="2"/>
      <c r="B295" s="1"/>
      <c r="C295" s="2"/>
      <c r="D295" s="884" t="s">
        <v>796</v>
      </c>
      <c r="E295" s="2"/>
      <c r="F295" s="2"/>
      <c r="G295" s="2"/>
      <c r="H295" s="818"/>
      <c r="I295" s="818"/>
      <c r="J295" s="818"/>
      <c r="K295" s="818"/>
      <c r="L295" s="818"/>
      <c r="M295" s="2"/>
      <c r="N295" s="2"/>
      <c r="O295" s="2"/>
      <c r="P295" s="2"/>
      <c r="Q295" s="2"/>
    </row>
    <row r="296" spans="1:17" ht="12.75" customHeight="1">
      <c r="A296" s="2"/>
      <c r="B296" s="1"/>
      <c r="C296" s="2"/>
      <c r="D296" s="884"/>
      <c r="E296" s="2"/>
      <c r="F296" s="2"/>
      <c r="G296" s="2"/>
      <c r="H296" s="818"/>
      <c r="I296" s="818"/>
      <c r="J296" s="818"/>
      <c r="K296" s="818"/>
      <c r="L296" s="818"/>
      <c r="M296" s="2"/>
      <c r="N296" s="2"/>
      <c r="O296" s="2"/>
      <c r="P296" s="2"/>
      <c r="Q296" s="2"/>
    </row>
    <row r="297" spans="1:17" ht="12.75" customHeight="1">
      <c r="A297" s="2"/>
      <c r="B297" s="6"/>
      <c r="C297" s="2"/>
      <c r="D297" s="828" t="s">
        <v>791</v>
      </c>
      <c r="E297" s="2"/>
      <c r="F297" s="2"/>
      <c r="G297" s="2"/>
      <c r="H297" s="2"/>
      <c r="I297" s="2"/>
      <c r="J297" s="2"/>
      <c r="K297" s="2"/>
      <c r="L297" s="2"/>
      <c r="M297" s="2"/>
      <c r="N297" s="2"/>
      <c r="O297" s="2"/>
      <c r="P297" s="2"/>
      <c r="Q297" s="2"/>
    </row>
    <row r="298" spans="1:17" ht="12.75" customHeight="1">
      <c r="A298" s="2"/>
      <c r="B298" s="6">
        <f>MAX($B$13:B297)+1</f>
        <v>132</v>
      </c>
      <c r="C298" s="2"/>
      <c r="D298" s="821" t="s">
        <v>797</v>
      </c>
      <c r="E298" s="2"/>
      <c r="F298" s="818">
        <v>0.933939198585792</v>
      </c>
      <c r="G298" s="2"/>
      <c r="H298" s="818">
        <v>0.933939198585792</v>
      </c>
      <c r="I298" s="2"/>
      <c r="J298" s="2"/>
      <c r="K298" s="808"/>
      <c r="L298" s="808"/>
      <c r="M298" s="2"/>
      <c r="N298" s="2"/>
      <c r="O298" s="2"/>
      <c r="P298" s="2"/>
      <c r="Q298" s="2"/>
    </row>
    <row r="299" spans="1:17" ht="12.75" customHeight="1">
      <c r="A299" s="2"/>
      <c r="B299" s="6">
        <f>MAX($B$13:B298)+1</f>
        <v>133</v>
      </c>
      <c r="C299" s="2"/>
      <c r="D299" s="821" t="s">
        <v>501</v>
      </c>
      <c r="E299" s="2"/>
      <c r="F299" s="818">
        <v>0.28579945893462799</v>
      </c>
      <c r="G299" s="2"/>
      <c r="H299" s="818">
        <v>0.28579945893462799</v>
      </c>
      <c r="I299" s="2"/>
      <c r="J299" s="2"/>
      <c r="K299" s="808"/>
      <c r="L299" s="808"/>
      <c r="M299" s="2"/>
      <c r="N299" s="2"/>
      <c r="O299" s="2"/>
      <c r="P299" s="2"/>
      <c r="Q299" s="2"/>
    </row>
    <row r="300" spans="1:17" ht="12.75" customHeight="1">
      <c r="A300" s="2"/>
      <c r="B300" s="6">
        <f>MAX($B$13:B299)+1</f>
        <v>134</v>
      </c>
      <c r="C300" s="2"/>
      <c r="D300" s="828" t="s">
        <v>791</v>
      </c>
      <c r="E300" s="2"/>
      <c r="F300" s="845">
        <f>F298+F299</f>
        <v>1.2197386575204199</v>
      </c>
      <c r="G300" s="2"/>
      <c r="H300" s="845">
        <f>H298+H299</f>
        <v>1.2197386575204199</v>
      </c>
      <c r="I300" s="2"/>
      <c r="J300" s="847"/>
      <c r="K300" s="808"/>
      <c r="L300" s="808"/>
      <c r="M300" s="2"/>
      <c r="N300" s="2"/>
      <c r="O300" s="2"/>
      <c r="P300" s="2"/>
      <c r="Q300" s="2"/>
    </row>
    <row r="301" spans="1:17" ht="12.75" customHeight="1">
      <c r="A301" s="2"/>
      <c r="B301" s="1"/>
      <c r="C301" s="2"/>
      <c r="D301" s="809"/>
      <c r="E301" s="809"/>
      <c r="F301" s="809"/>
      <c r="G301" s="809"/>
      <c r="H301" s="809"/>
      <c r="I301" s="809"/>
      <c r="J301" s="808"/>
      <c r="K301" s="808"/>
      <c r="L301" s="808"/>
      <c r="M301" s="2"/>
      <c r="N301" s="2"/>
      <c r="O301" s="2"/>
      <c r="P301" s="2"/>
      <c r="Q301" s="2"/>
    </row>
    <row r="302" spans="1:17" ht="12.75" customHeight="1">
      <c r="A302" s="2"/>
      <c r="B302" s="6"/>
      <c r="C302" s="2"/>
      <c r="D302" s="828" t="s">
        <v>793</v>
      </c>
      <c r="E302" s="809"/>
      <c r="F302" s="809"/>
      <c r="G302" s="809"/>
      <c r="H302" s="809"/>
      <c r="I302" s="809"/>
      <c r="J302" s="808"/>
      <c r="K302" s="808"/>
      <c r="L302" s="808"/>
      <c r="M302" s="2"/>
      <c r="N302" s="2"/>
      <c r="O302" s="2"/>
      <c r="P302" s="2"/>
      <c r="Q302" s="2"/>
    </row>
    <row r="303" spans="1:17" ht="12.75" customHeight="1">
      <c r="A303" s="2"/>
      <c r="B303" s="6">
        <f>MAX($B$13:B302)+1</f>
        <v>135</v>
      </c>
      <c r="C303" s="2"/>
      <c r="D303" s="821" t="s">
        <v>798</v>
      </c>
      <c r="E303" s="809"/>
      <c r="F303" s="818">
        <v>3.5482435549542783</v>
      </c>
      <c r="G303" s="2"/>
      <c r="H303" s="818">
        <v>5.3672670575106256</v>
      </c>
      <c r="I303" s="809"/>
      <c r="J303" s="808"/>
      <c r="K303" s="808"/>
      <c r="L303" s="814"/>
      <c r="M303" s="2"/>
      <c r="N303" s="2"/>
      <c r="O303" s="2"/>
      <c r="P303" s="2"/>
      <c r="Q303" s="2"/>
    </row>
    <row r="304" spans="1:17" ht="12.75" customHeight="1">
      <c r="A304" s="2"/>
      <c r="B304" s="6">
        <f>MAX($B$13:B303)+1</f>
        <v>136</v>
      </c>
      <c r="C304" s="2"/>
      <c r="D304" s="821" t="s">
        <v>268</v>
      </c>
      <c r="E304" s="809"/>
      <c r="F304" s="818">
        <v>4.2433075180036228</v>
      </c>
      <c r="G304" s="2"/>
      <c r="H304" s="818">
        <v>6.5474188152954804</v>
      </c>
      <c r="I304" s="809"/>
      <c r="J304" s="808"/>
      <c r="K304" s="808"/>
      <c r="L304" s="808"/>
      <c r="M304" s="2"/>
      <c r="N304" s="2"/>
      <c r="O304" s="2"/>
      <c r="P304" s="2"/>
      <c r="Q304" s="2"/>
    </row>
    <row r="305" spans="1:18" ht="12.75" customHeight="1">
      <c r="A305" s="2"/>
      <c r="B305" s="6">
        <f>MAX($B$13:B304)+1</f>
        <v>137</v>
      </c>
      <c r="C305" s="2"/>
      <c r="D305" s="821" t="s">
        <v>799</v>
      </c>
      <c r="E305" s="809"/>
      <c r="F305" s="818">
        <f>(F303+F304) * (3/7)</f>
        <v>3.3392361741248147</v>
      </c>
      <c r="G305" s="2"/>
      <c r="H305" s="818">
        <f>(H303+H304) * (3/7)</f>
        <v>5.1062939454883312</v>
      </c>
      <c r="I305" s="809"/>
      <c r="J305" s="808"/>
      <c r="K305" s="808"/>
      <c r="L305" s="808"/>
      <c r="M305" s="2"/>
      <c r="N305" s="2"/>
      <c r="O305" s="2"/>
      <c r="P305" s="2"/>
      <c r="Q305" s="2"/>
    </row>
    <row r="306" spans="1:18" ht="12.75" customHeight="1">
      <c r="A306" s="2"/>
      <c r="B306" s="6">
        <f>MAX($B$13:B305)+1</f>
        <v>138</v>
      </c>
      <c r="C306" s="2"/>
      <c r="D306" s="828" t="s">
        <v>800</v>
      </c>
      <c r="E306" s="809"/>
      <c r="F306" s="845">
        <f>F303+F305</f>
        <v>6.887479729079093</v>
      </c>
      <c r="G306" s="2"/>
      <c r="H306" s="845">
        <f>H303+H305</f>
        <v>10.473561002998956</v>
      </c>
      <c r="I306" s="809"/>
      <c r="J306" s="808"/>
      <c r="K306" s="808"/>
      <c r="L306" s="808"/>
      <c r="M306" s="2"/>
      <c r="N306" s="2"/>
      <c r="O306" s="2"/>
      <c r="P306" s="2"/>
      <c r="Q306" s="2"/>
    </row>
    <row r="307" spans="1:18" ht="12.75" customHeight="1">
      <c r="A307" s="2"/>
      <c r="B307" s="1"/>
      <c r="C307" s="2"/>
      <c r="D307" s="809"/>
      <c r="E307" s="809"/>
      <c r="F307" s="809"/>
      <c r="G307" s="809"/>
      <c r="H307" s="809"/>
      <c r="I307" s="809"/>
      <c r="J307" s="808"/>
      <c r="K307" s="808"/>
      <c r="L307" s="808"/>
      <c r="M307" s="2"/>
      <c r="N307" s="2"/>
      <c r="O307" s="2"/>
      <c r="P307" s="2"/>
      <c r="Q307" s="2"/>
    </row>
    <row r="308" spans="1:18" ht="12.75" customHeight="1">
      <c r="A308" s="2"/>
      <c r="B308" s="6">
        <f>MAX($B$13:B307)+1</f>
        <v>139</v>
      </c>
      <c r="C308" s="2"/>
      <c r="D308" s="828" t="s">
        <v>801</v>
      </c>
      <c r="E308" s="2"/>
      <c r="F308" s="827">
        <f>F300+F306</f>
        <v>8.1072183865995129</v>
      </c>
      <c r="G308" s="2"/>
      <c r="H308" s="827">
        <f>H300+H306</f>
        <v>11.693299660519376</v>
      </c>
      <c r="I308" s="2"/>
      <c r="J308" s="2"/>
      <c r="K308" s="808"/>
      <c r="L308" s="808"/>
      <c r="M308" s="818"/>
      <c r="N308" s="2"/>
      <c r="O308" s="2"/>
      <c r="P308" s="2"/>
      <c r="Q308" s="2"/>
    </row>
    <row r="309" spans="1:18" ht="12.75" customHeight="1">
      <c r="A309" s="2"/>
      <c r="B309" s="1"/>
      <c r="C309" s="2"/>
      <c r="D309" s="2"/>
      <c r="E309" s="2"/>
      <c r="F309" s="4"/>
      <c r="G309" s="4"/>
      <c r="H309" s="4"/>
      <c r="I309" s="2"/>
      <c r="J309" s="2"/>
      <c r="K309" s="808"/>
      <c r="L309" s="808"/>
      <c r="M309" s="818"/>
      <c r="N309" s="2"/>
      <c r="O309" s="2"/>
      <c r="P309" s="2"/>
      <c r="Q309" s="2"/>
    </row>
    <row r="310" spans="1:18" ht="12.75" customHeight="1">
      <c r="A310" s="2"/>
      <c r="B310" s="1"/>
      <c r="C310" s="2"/>
      <c r="D310" s="884" t="s">
        <v>802</v>
      </c>
      <c r="E310" s="2"/>
      <c r="F310" s="818"/>
      <c r="G310" s="818"/>
      <c r="H310" s="818"/>
      <c r="I310" s="818"/>
      <c r="J310" s="818"/>
      <c r="K310" s="808"/>
      <c r="L310" s="808"/>
      <c r="M310" s="2"/>
      <c r="N310" s="2"/>
      <c r="O310" s="2"/>
      <c r="P310" s="315"/>
      <c r="Q310" s="315"/>
      <c r="R310" s="315"/>
    </row>
    <row r="311" spans="1:18" ht="12.75" customHeight="1">
      <c r="A311" s="2"/>
      <c r="B311" s="6">
        <f>MAX($B$13:B310)+1</f>
        <v>140</v>
      </c>
      <c r="C311" s="2"/>
      <c r="D311" s="821" t="s">
        <v>803</v>
      </c>
      <c r="E311" s="2"/>
      <c r="F311" s="818">
        <v>3.7430857993796733</v>
      </c>
      <c r="G311" s="2"/>
      <c r="H311" s="818"/>
      <c r="I311" s="2"/>
      <c r="J311" s="2"/>
      <c r="K311" s="808"/>
      <c r="L311" s="808"/>
      <c r="M311" s="2"/>
      <c r="N311" s="2"/>
      <c r="O311" s="2"/>
      <c r="P311" s="315"/>
      <c r="Q311" s="315"/>
      <c r="R311" s="852"/>
    </row>
    <row r="312" spans="1:18" ht="12.75" customHeight="1">
      <c r="A312" s="2"/>
      <c r="B312" s="6">
        <f>MAX($B$13:B311)+1</f>
        <v>141</v>
      </c>
      <c r="C312" s="2"/>
      <c r="D312" s="821" t="s">
        <v>501</v>
      </c>
      <c r="E312" s="2"/>
      <c r="F312" s="818">
        <v>0.46984452849414055</v>
      </c>
      <c r="G312" s="2"/>
      <c r="H312" s="818"/>
      <c r="I312" s="2"/>
      <c r="J312" s="2"/>
      <c r="K312" s="808"/>
      <c r="L312" s="2"/>
      <c r="M312" s="2"/>
      <c r="N312" s="2"/>
      <c r="O312" s="2"/>
      <c r="P312" s="315"/>
      <c r="Q312" s="315"/>
      <c r="R312" s="852"/>
    </row>
    <row r="313" spans="1:18" ht="12.75" customHeight="1">
      <c r="A313" s="2"/>
      <c r="B313" s="6">
        <f>MAX($B$13:B312)+1</f>
        <v>142</v>
      </c>
      <c r="C313" s="2"/>
      <c r="D313" s="828" t="s">
        <v>804</v>
      </c>
      <c r="E313" s="2"/>
      <c r="F313" s="845">
        <f>F311+F312</f>
        <v>4.2129303278738135</v>
      </c>
      <c r="G313" s="2"/>
      <c r="H313" s="827">
        <f>F313</f>
        <v>4.2129303278738135</v>
      </c>
      <c r="I313" s="2"/>
      <c r="J313" s="847"/>
      <c r="K313" s="808"/>
      <c r="L313" s="808"/>
      <c r="M313" s="2"/>
      <c r="N313" s="2"/>
      <c r="O313" s="2"/>
      <c r="P313" s="315"/>
      <c r="Q313" s="315"/>
      <c r="R313" s="853"/>
    </row>
    <row r="314" spans="1:18" ht="12.75" customHeight="1">
      <c r="A314" s="2"/>
      <c r="B314" s="1"/>
      <c r="C314" s="2"/>
      <c r="D314" s="809"/>
      <c r="E314" s="809"/>
      <c r="F314" s="809"/>
      <c r="G314" s="809"/>
      <c r="H314" s="809"/>
      <c r="I314" s="809"/>
      <c r="J314" s="808"/>
      <c r="K314" s="808"/>
      <c r="L314" s="808"/>
      <c r="M314" s="2"/>
      <c r="N314" s="2"/>
      <c r="O314" s="2"/>
      <c r="P314" s="315"/>
      <c r="Q314" s="315"/>
      <c r="R314" s="853"/>
    </row>
    <row r="315" spans="1:18" ht="12.75" customHeight="1">
      <c r="A315" s="2"/>
      <c r="B315" s="1"/>
      <c r="C315" s="2"/>
      <c r="D315" s="2"/>
      <c r="E315" s="2"/>
      <c r="F315" s="2"/>
      <c r="G315" s="2"/>
      <c r="H315" s="809"/>
      <c r="I315" s="2"/>
      <c r="J315" s="2"/>
      <c r="K315" s="2"/>
      <c r="L315" s="2"/>
      <c r="M315" s="2"/>
      <c r="N315" s="2"/>
      <c r="O315" s="2"/>
      <c r="P315" s="2"/>
      <c r="Q315" s="2"/>
    </row>
    <row r="316" spans="1:18" ht="12.75" customHeight="1">
      <c r="A316" s="2"/>
      <c r="B316" s="1"/>
      <c r="C316" s="2"/>
      <c r="D316" s="809"/>
      <c r="E316" s="809"/>
      <c r="F316" s="809"/>
      <c r="G316" s="809"/>
      <c r="H316" s="809"/>
      <c r="I316" s="809"/>
      <c r="J316" s="822"/>
      <c r="K316" s="808"/>
      <c r="L316" s="808"/>
      <c r="M316" s="2"/>
      <c r="N316" s="2"/>
      <c r="O316" s="2"/>
      <c r="P316" s="2"/>
      <c r="Q316" s="2"/>
    </row>
    <row r="317" spans="1:18" ht="12.75" customHeight="1">
      <c r="A317" s="2"/>
      <c r="B317" s="1"/>
      <c r="C317" s="2"/>
      <c r="D317" s="809"/>
      <c r="E317" s="809"/>
      <c r="F317" s="809"/>
      <c r="G317" s="809"/>
      <c r="H317" s="809"/>
      <c r="I317" s="809"/>
      <c r="J317" s="808"/>
      <c r="K317" s="808"/>
      <c r="L317" s="808"/>
      <c r="M317" s="2"/>
      <c r="N317" s="2"/>
      <c r="O317" s="2"/>
      <c r="P317" s="2"/>
      <c r="Q317" s="2"/>
    </row>
    <row r="318" spans="1:18" ht="12.75" customHeight="1">
      <c r="A318" s="2"/>
      <c r="B318" s="1166"/>
      <c r="C318" s="1166"/>
      <c r="D318" s="1168"/>
      <c r="E318" s="1168"/>
      <c r="F318" s="1168"/>
      <c r="G318" s="1168"/>
      <c r="H318" s="1168"/>
      <c r="I318" s="809"/>
      <c r="J318" s="808"/>
      <c r="K318" s="808"/>
      <c r="L318" s="808"/>
      <c r="M318" s="2"/>
      <c r="N318" s="2"/>
      <c r="O318" s="2"/>
      <c r="P318" s="2"/>
      <c r="Q318" s="2"/>
    </row>
    <row r="319" spans="1:18" ht="12.75" customHeight="1">
      <c r="A319" s="2"/>
      <c r="B319" s="1080"/>
      <c r="C319" s="1080"/>
      <c r="D319" s="1040"/>
      <c r="E319" s="1040"/>
      <c r="F319" s="1040"/>
      <c r="G319" s="1040"/>
      <c r="H319" s="1040"/>
      <c r="I319" s="809"/>
      <c r="J319" s="808"/>
      <c r="K319" s="808"/>
      <c r="L319" s="808"/>
      <c r="M319" s="2"/>
      <c r="N319" s="2"/>
      <c r="O319" s="2"/>
      <c r="P319" s="2"/>
      <c r="Q319" s="2"/>
    </row>
    <row r="320" spans="1:18" ht="12.75" customHeight="1">
      <c r="A320" s="2"/>
      <c r="B320" s="1166"/>
      <c r="C320" s="1166"/>
      <c r="D320" s="1168"/>
      <c r="E320" s="1168"/>
      <c r="F320" s="1168"/>
      <c r="G320" s="1168"/>
      <c r="H320" s="1168"/>
      <c r="I320" s="809"/>
      <c r="J320" s="808"/>
      <c r="K320" s="808"/>
      <c r="L320" s="808"/>
      <c r="M320" s="2"/>
      <c r="N320" s="2"/>
      <c r="O320" s="2"/>
      <c r="P320" s="2"/>
      <c r="Q320" s="2"/>
    </row>
    <row r="321" spans="1:17" ht="12.75" customHeight="1">
      <c r="A321" s="2"/>
      <c r="B321" s="1166" t="s">
        <v>701</v>
      </c>
      <c r="C321" s="1166"/>
      <c r="D321" s="1168"/>
      <c r="E321" s="1168"/>
      <c r="F321" s="1168"/>
      <c r="G321" s="1168"/>
      <c r="H321" s="1168"/>
      <c r="I321" s="811"/>
      <c r="J321" s="808"/>
      <c r="K321" s="808"/>
      <c r="L321" s="808"/>
      <c r="M321" s="2"/>
      <c r="N321" s="2"/>
      <c r="O321" s="2"/>
      <c r="P321" s="2"/>
      <c r="Q321" s="2"/>
    </row>
    <row r="322" spans="1:17" ht="12.75" customHeight="1">
      <c r="A322" s="2"/>
      <c r="B322" s="872"/>
      <c r="C322" s="4"/>
      <c r="D322" s="811"/>
      <c r="E322" s="811"/>
      <c r="F322" s="811"/>
      <c r="G322" s="811"/>
      <c r="H322" s="811"/>
      <c r="I322" s="811"/>
      <c r="J322" s="808"/>
      <c r="K322" s="808"/>
      <c r="L322" s="808"/>
      <c r="M322" s="2"/>
      <c r="N322" s="2"/>
      <c r="O322" s="2"/>
      <c r="P322" s="2"/>
      <c r="Q322" s="2"/>
    </row>
    <row r="323" spans="1:17" ht="12.75" customHeight="1">
      <c r="A323" s="2"/>
      <c r="B323" s="6"/>
      <c r="C323" s="6"/>
      <c r="D323" s="6"/>
      <c r="E323" s="6"/>
      <c r="F323" s="1"/>
      <c r="G323" s="2"/>
      <c r="H323" s="1"/>
      <c r="I323" s="2"/>
      <c r="J323" s="1"/>
      <c r="K323" s="855"/>
      <c r="L323" s="855"/>
      <c r="M323" s="808"/>
      <c r="N323" s="808"/>
      <c r="O323" s="808"/>
      <c r="P323" s="808"/>
      <c r="Q323" s="808"/>
    </row>
    <row r="324" spans="1:17" ht="12.75" customHeight="1">
      <c r="A324" s="2"/>
      <c r="B324" s="6" t="s">
        <v>56</v>
      </c>
      <c r="C324" s="58"/>
      <c r="D324" s="58"/>
      <c r="E324" s="58"/>
      <c r="F324" s="1"/>
      <c r="G324" s="2"/>
      <c r="H324" s="6"/>
      <c r="I324" s="2"/>
      <c r="J324" s="6"/>
      <c r="K324" s="855"/>
      <c r="L324" s="855"/>
      <c r="M324" s="808"/>
      <c r="N324" s="808"/>
      <c r="O324" s="808"/>
      <c r="P324" s="808"/>
      <c r="Q324" s="808"/>
    </row>
    <row r="325" spans="1:17" ht="12.75" customHeight="1">
      <c r="A325" s="2"/>
      <c r="B325" s="237" t="s">
        <v>57</v>
      </c>
      <c r="C325" s="58"/>
      <c r="D325" s="59" t="s">
        <v>194</v>
      </c>
      <c r="E325" s="237"/>
      <c r="F325" s="7"/>
      <c r="G325" s="2"/>
      <c r="H325" s="812" t="s">
        <v>525</v>
      </c>
      <c r="I325" s="2"/>
      <c r="J325" s="856"/>
      <c r="K325" s="2"/>
      <c r="L325" s="2"/>
      <c r="M325" s="2"/>
      <c r="N325" s="2"/>
      <c r="O325" s="2"/>
      <c r="P325" s="2"/>
      <c r="Q325" s="2"/>
    </row>
    <row r="326" spans="1:17" ht="12.75" customHeight="1">
      <c r="A326" s="2"/>
      <c r="B326" s="6"/>
      <c r="C326" s="58"/>
      <c r="D326" s="58"/>
      <c r="E326" s="6"/>
      <c r="F326" s="1"/>
      <c r="G326" s="6"/>
      <c r="H326" s="6" t="s">
        <v>9</v>
      </c>
      <c r="I326" s="6"/>
      <c r="J326" s="6"/>
      <c r="K326" s="2"/>
      <c r="L326" s="2"/>
      <c r="M326" s="2"/>
      <c r="N326" s="2"/>
      <c r="O326" s="2"/>
      <c r="P326" s="2"/>
      <c r="Q326" s="2"/>
    </row>
    <row r="327" spans="1:17" ht="12.75" customHeight="1">
      <c r="A327" s="2"/>
      <c r="B327" s="1"/>
      <c r="C327" s="2"/>
      <c r="D327" s="809"/>
      <c r="E327" s="2"/>
      <c r="F327" s="2"/>
      <c r="G327" s="2"/>
      <c r="H327" s="818"/>
      <c r="I327" s="818"/>
      <c r="J327" s="818"/>
      <c r="K327" s="818"/>
      <c r="L327" s="818"/>
      <c r="M327" s="818"/>
      <c r="N327" s="2"/>
      <c r="O327" s="2"/>
      <c r="P327" s="2"/>
      <c r="Q327" s="2"/>
    </row>
    <row r="328" spans="1:17" ht="12.75" customHeight="1">
      <c r="A328" s="2"/>
      <c r="B328" s="1"/>
      <c r="C328" s="2"/>
      <c r="D328" s="9" t="s">
        <v>805</v>
      </c>
      <c r="E328" s="2"/>
      <c r="F328" s="2"/>
      <c r="G328" s="2"/>
      <c r="H328" s="829"/>
      <c r="I328" s="2"/>
      <c r="J328" s="2"/>
      <c r="K328" s="2"/>
      <c r="L328" s="2"/>
      <c r="M328" s="2"/>
      <c r="N328" s="2"/>
      <c r="O328" s="2"/>
      <c r="P328" s="2"/>
      <c r="Q328" s="2"/>
    </row>
    <row r="329" spans="1:17" ht="12.75" customHeight="1">
      <c r="A329" s="2"/>
      <c r="B329" s="1"/>
      <c r="C329" s="2"/>
      <c r="D329" s="2"/>
      <c r="E329" s="2"/>
      <c r="F329" s="2"/>
      <c r="G329" s="2"/>
      <c r="H329" s="812" t="s">
        <v>584</v>
      </c>
      <c r="I329" s="2"/>
      <c r="J329" s="2"/>
      <c r="K329" s="2"/>
      <c r="L329" s="2"/>
      <c r="M329" s="2"/>
      <c r="N329" s="2"/>
      <c r="O329" s="2"/>
      <c r="P329" s="2"/>
      <c r="Q329" s="2"/>
    </row>
    <row r="330" spans="1:17" ht="12.75" customHeight="1">
      <c r="A330" s="2"/>
      <c r="B330" s="1"/>
      <c r="C330" s="2"/>
      <c r="D330" s="2" t="s">
        <v>806</v>
      </c>
      <c r="E330" s="2"/>
      <c r="F330" s="2"/>
      <c r="G330" s="2"/>
      <c r="H330" s="6" t="s">
        <v>9</v>
      </c>
      <c r="I330" s="2"/>
      <c r="K330" s="2"/>
      <c r="L330" s="814"/>
      <c r="M330" s="2"/>
      <c r="N330" s="2"/>
      <c r="O330" s="2"/>
      <c r="P330" s="2"/>
      <c r="Q330" s="2"/>
    </row>
    <row r="331" spans="1:17" ht="12.75" customHeight="1">
      <c r="A331" s="2"/>
      <c r="B331" s="1"/>
      <c r="C331" s="2"/>
      <c r="D331" s="2" t="s">
        <v>807</v>
      </c>
      <c r="E331" s="2"/>
      <c r="F331" s="2"/>
      <c r="G331" s="2"/>
      <c r="H331" s="809"/>
      <c r="I331" s="2"/>
      <c r="J331" s="2"/>
      <c r="K331" s="2"/>
      <c r="L331" s="2"/>
      <c r="M331" s="2"/>
      <c r="N331" s="2"/>
      <c r="O331" s="2"/>
      <c r="P331" s="2"/>
      <c r="Q331" s="2"/>
    </row>
    <row r="332" spans="1:17" ht="12.75" customHeight="1">
      <c r="A332" s="2"/>
      <c r="B332" s="1"/>
      <c r="C332" s="2"/>
      <c r="D332" s="2" t="s">
        <v>808</v>
      </c>
      <c r="E332" s="2"/>
      <c r="F332" s="2"/>
      <c r="G332" s="2"/>
      <c r="H332" s="809"/>
      <c r="I332" s="2"/>
      <c r="J332" s="2"/>
      <c r="K332" s="2"/>
      <c r="L332" s="2"/>
      <c r="M332" s="2"/>
      <c r="N332" s="2"/>
      <c r="O332" s="2"/>
      <c r="P332" s="2"/>
      <c r="Q332" s="2"/>
    </row>
    <row r="333" spans="1:17" ht="12.75" customHeight="1">
      <c r="A333" s="2"/>
      <c r="B333" s="1"/>
      <c r="C333" s="2"/>
      <c r="D333" s="2" t="s">
        <v>809</v>
      </c>
      <c r="E333" s="2"/>
      <c r="F333" s="2"/>
      <c r="G333" s="2"/>
      <c r="H333" s="809"/>
      <c r="I333" s="2"/>
      <c r="J333" s="2"/>
      <c r="K333" s="2"/>
      <c r="M333" s="2"/>
      <c r="N333" s="2"/>
      <c r="O333" s="2"/>
      <c r="P333" s="2"/>
      <c r="Q333" s="2"/>
    </row>
    <row r="334" spans="1:17" ht="12.75" customHeight="1">
      <c r="A334" s="2"/>
      <c r="B334" s="6"/>
      <c r="C334" s="2"/>
      <c r="D334" s="2" t="s">
        <v>810</v>
      </c>
      <c r="E334" s="2"/>
      <c r="F334" s="2"/>
      <c r="G334" s="2"/>
      <c r="H334" s="809"/>
      <c r="I334" s="2"/>
      <c r="J334" s="2"/>
      <c r="K334" s="2"/>
      <c r="L334" s="814"/>
      <c r="M334" s="2"/>
      <c r="N334" s="2"/>
      <c r="O334" s="2"/>
      <c r="P334" s="2"/>
      <c r="Q334" s="2"/>
    </row>
    <row r="335" spans="1:17" ht="12.75" customHeight="1">
      <c r="A335" s="2"/>
      <c r="B335" s="6"/>
      <c r="C335" s="2"/>
      <c r="D335" s="2" t="s">
        <v>811</v>
      </c>
      <c r="E335" s="2"/>
      <c r="F335" s="2"/>
      <c r="G335" s="2"/>
      <c r="H335" s="809"/>
      <c r="I335" s="2"/>
      <c r="J335" s="2"/>
      <c r="K335" s="2"/>
      <c r="L335" s="2"/>
      <c r="M335" s="2"/>
      <c r="N335" s="2"/>
      <c r="O335" s="2"/>
      <c r="P335" s="2"/>
      <c r="Q335" s="2"/>
    </row>
    <row r="336" spans="1:17" ht="12.75" customHeight="1">
      <c r="A336" s="2"/>
      <c r="B336" s="6">
        <f>MAX($B$13:B335)+1</f>
        <v>143</v>
      </c>
      <c r="C336" s="2"/>
      <c r="D336" s="10" t="s">
        <v>812</v>
      </c>
      <c r="E336" s="2"/>
      <c r="F336" s="885">
        <f>$H$54</f>
        <v>4.9614910854222875E-3</v>
      </c>
      <c r="G336" s="2"/>
      <c r="H336" s="809"/>
      <c r="I336" s="2"/>
      <c r="J336" s="2"/>
      <c r="K336" s="2"/>
      <c r="L336" s="814"/>
      <c r="M336" s="2"/>
      <c r="N336" s="2"/>
      <c r="O336" s="2"/>
      <c r="P336" s="2"/>
      <c r="Q336" s="2"/>
    </row>
    <row r="337" spans="1:17" ht="12.75" customHeight="1">
      <c r="A337" s="2"/>
      <c r="B337" s="6">
        <f>MAX($B$13:B336)+1</f>
        <v>144</v>
      </c>
      <c r="C337" s="2"/>
      <c r="D337" s="10" t="s">
        <v>813</v>
      </c>
      <c r="E337" s="2"/>
      <c r="F337" s="886">
        <v>5.3090000000000002</v>
      </c>
      <c r="G337" s="2"/>
      <c r="H337" s="809"/>
      <c r="I337" s="2"/>
      <c r="J337" s="822"/>
      <c r="K337" s="818"/>
      <c r="L337" s="808"/>
      <c r="M337" s="2"/>
      <c r="N337" s="2"/>
      <c r="O337" s="2"/>
      <c r="P337" s="2"/>
      <c r="Q337" s="2"/>
    </row>
    <row r="338" spans="1:17" ht="12.75" customHeight="1">
      <c r="A338" s="2"/>
      <c r="B338" s="6">
        <f>MAX($B$13:B337)+1</f>
        <v>145</v>
      </c>
      <c r="C338" s="2"/>
      <c r="D338" s="16" t="str">
        <f>"Storage Withdrawal Charge (line "&amp;B336&amp;" x line "&amp;B337&amp;")"</f>
        <v>Storage Withdrawal Charge (line 143 x line 144)</v>
      </c>
      <c r="E338" s="2"/>
      <c r="F338" s="859">
        <f>F336*F337</f>
        <v>2.6340556172506926E-2</v>
      </c>
      <c r="G338" s="2"/>
      <c r="H338" s="860">
        <f>F338</f>
        <v>2.6340556172506926E-2</v>
      </c>
      <c r="I338" s="2"/>
      <c r="J338" s="822"/>
      <c r="K338" s="818"/>
      <c r="L338" s="808"/>
      <c r="M338" s="2"/>
      <c r="N338" s="2"/>
      <c r="O338" s="2"/>
      <c r="P338" s="2"/>
      <c r="Q338" s="2"/>
    </row>
    <row r="339" spans="1:17" ht="12.75" customHeight="1">
      <c r="A339" s="2"/>
      <c r="B339" s="809"/>
      <c r="C339" s="809"/>
      <c r="D339" s="12"/>
      <c r="E339" s="2"/>
      <c r="F339" s="2"/>
      <c r="G339" s="2"/>
      <c r="H339" s="809"/>
      <c r="I339" s="2"/>
      <c r="J339" s="822"/>
      <c r="K339" s="818"/>
      <c r="L339" s="808"/>
      <c r="M339" s="2"/>
      <c r="N339" s="2"/>
      <c r="O339" s="2"/>
      <c r="P339" s="2"/>
      <c r="Q339" s="2"/>
    </row>
    <row r="340" spans="1:17" ht="12.75" customHeight="1">
      <c r="A340" s="2"/>
      <c r="B340" s="809"/>
      <c r="C340" s="809"/>
      <c r="D340" s="2" t="s">
        <v>814</v>
      </c>
      <c r="E340" s="2"/>
      <c r="F340" s="2"/>
      <c r="G340" s="2"/>
      <c r="H340" s="809"/>
      <c r="I340" s="2"/>
      <c r="J340" s="2"/>
      <c r="K340" s="2"/>
      <c r="L340" s="2"/>
      <c r="M340" s="2"/>
      <c r="N340" s="2"/>
      <c r="O340" s="2"/>
      <c r="P340" s="2"/>
      <c r="Q340" s="2"/>
    </row>
    <row r="341" spans="1:17" ht="12.75" customHeight="1">
      <c r="A341" s="2"/>
      <c r="B341" s="6">
        <f>MAX($B$13:B340)+1</f>
        <v>146</v>
      </c>
      <c r="C341" s="2"/>
      <c r="D341" s="12" t="s">
        <v>812</v>
      </c>
      <c r="E341" s="2"/>
      <c r="F341" s="885">
        <f>$H$54</f>
        <v>4.9614910854222875E-3</v>
      </c>
      <c r="G341" s="2"/>
      <c r="H341" s="809"/>
      <c r="I341" s="2"/>
      <c r="J341" s="2"/>
      <c r="K341" s="2"/>
      <c r="L341" s="2"/>
      <c r="M341" s="2"/>
      <c r="N341" s="2"/>
      <c r="O341" s="2"/>
      <c r="P341" s="2"/>
      <c r="Q341" s="2"/>
    </row>
    <row r="342" spans="1:17" ht="12.75" customHeight="1">
      <c r="A342" s="2"/>
      <c r="B342" s="6">
        <f>MAX($B$13:B341)+1</f>
        <v>147</v>
      </c>
      <c r="C342" s="2"/>
      <c r="D342" s="12" t="s">
        <v>813</v>
      </c>
      <c r="E342" s="2"/>
      <c r="F342" s="886">
        <v>5.3090000000000002</v>
      </c>
      <c r="G342" s="2"/>
      <c r="H342" s="809"/>
      <c r="I342" s="2"/>
      <c r="J342" s="2"/>
      <c r="K342" s="2"/>
      <c r="L342" s="875"/>
      <c r="M342" s="2"/>
      <c r="N342" s="2"/>
      <c r="O342" s="2"/>
      <c r="P342" s="2"/>
      <c r="Q342" s="2"/>
    </row>
    <row r="343" spans="1:17" ht="12.75" customHeight="1">
      <c r="A343" s="2"/>
      <c r="B343" s="6">
        <f>MAX($B$13:B342)+1</f>
        <v>148</v>
      </c>
      <c r="C343" s="2"/>
      <c r="D343" s="10" t="str">
        <f>"Storage Withdrawal Charge (line "&amp;B341&amp;" x line "&amp;B342&amp;")"</f>
        <v>Storage Withdrawal Charge (line 146 x line 147)</v>
      </c>
      <c r="E343" s="2"/>
      <c r="F343" s="859">
        <f>F341*F342</f>
        <v>2.6340556172506926E-2</v>
      </c>
      <c r="G343" s="2"/>
      <c r="H343" s="809"/>
      <c r="I343" s="2"/>
      <c r="J343" s="2"/>
      <c r="K343" s="2"/>
      <c r="L343" s="2"/>
      <c r="M343" s="2"/>
      <c r="N343" s="2"/>
      <c r="O343" s="2"/>
      <c r="P343" s="2"/>
      <c r="Q343" s="2"/>
    </row>
    <row r="344" spans="1:17" ht="12.75" customHeight="1">
      <c r="A344" s="2"/>
      <c r="B344" s="6">
        <f>MAX($B$13:B343)+1</f>
        <v>149</v>
      </c>
      <c r="C344" s="2"/>
      <c r="D344" s="476" t="s">
        <v>815</v>
      </c>
      <c r="E344" s="2"/>
      <c r="F344" s="887">
        <v>1.029632219178082</v>
      </c>
      <c r="G344" s="2"/>
      <c r="H344" s="809"/>
      <c r="I344" s="2"/>
      <c r="J344" s="2"/>
      <c r="K344" s="2"/>
      <c r="L344" s="814"/>
      <c r="M344" s="2"/>
      <c r="N344" s="2"/>
      <c r="O344" s="2"/>
      <c r="P344" s="2"/>
      <c r="Q344" s="2"/>
    </row>
    <row r="345" spans="1:17" ht="12.75" customHeight="1">
      <c r="A345" s="2"/>
      <c r="B345" s="6">
        <f>MAX($B$13:B344)+1</f>
        <v>150</v>
      </c>
      <c r="C345" s="2"/>
      <c r="D345" s="16" t="str">
        <f>"Total (line "&amp;B343&amp;" + line "&amp;B344&amp;")"</f>
        <v>Total (line 148 + line 149)</v>
      </c>
      <c r="E345" s="2"/>
      <c r="F345" s="860">
        <f>F343+F344</f>
        <v>1.055972775350589</v>
      </c>
      <c r="G345" s="2"/>
      <c r="H345" s="860">
        <f>F345</f>
        <v>1.055972775350589</v>
      </c>
      <c r="I345" s="2"/>
      <c r="J345" s="2"/>
      <c r="K345" s="2"/>
      <c r="L345" s="2"/>
      <c r="M345" s="2"/>
      <c r="N345" s="2"/>
      <c r="O345" s="2"/>
      <c r="P345" s="2"/>
      <c r="Q345" s="2"/>
    </row>
    <row r="346" spans="1:17" ht="12.75" customHeight="1">
      <c r="A346" s="2"/>
      <c r="B346" s="6"/>
      <c r="C346" s="2"/>
      <c r="D346" s="10"/>
      <c r="E346" s="2"/>
      <c r="F346" s="886"/>
      <c r="G346" s="2"/>
      <c r="H346" s="809"/>
      <c r="I346" s="2"/>
      <c r="J346" s="2"/>
      <c r="K346" s="2"/>
      <c r="L346" s="2"/>
      <c r="M346" s="2"/>
      <c r="N346" s="2"/>
      <c r="O346" s="2"/>
      <c r="P346" s="2"/>
      <c r="Q346" s="2"/>
    </row>
    <row r="347" spans="1:17" ht="12.75" customHeight="1">
      <c r="A347" s="2"/>
      <c r="B347" s="6"/>
      <c r="C347" s="2"/>
      <c r="D347" s="2" t="s">
        <v>816</v>
      </c>
      <c r="E347" s="2"/>
      <c r="F347" s="2"/>
      <c r="G347" s="2"/>
      <c r="H347" s="809"/>
      <c r="I347" s="2"/>
      <c r="J347" s="2"/>
      <c r="K347" s="2"/>
      <c r="L347" s="2"/>
      <c r="M347" s="2"/>
      <c r="N347" s="2"/>
      <c r="O347" s="2"/>
      <c r="P347" s="2"/>
      <c r="Q347" s="2"/>
    </row>
    <row r="348" spans="1:17" ht="12.75" customHeight="1">
      <c r="A348" s="2"/>
      <c r="B348" s="6">
        <f>MAX($B$13:B347)+1</f>
        <v>151</v>
      </c>
      <c r="C348" s="2"/>
      <c r="D348" s="12" t="s">
        <v>812</v>
      </c>
      <c r="E348" s="2"/>
      <c r="F348" s="885">
        <f>$H$54</f>
        <v>4.9614910854222875E-3</v>
      </c>
      <c r="G348" s="2"/>
      <c r="H348" s="809"/>
      <c r="I348" s="2"/>
      <c r="J348" s="2"/>
      <c r="K348" s="2"/>
      <c r="L348" s="2"/>
      <c r="M348" s="2"/>
      <c r="N348" s="2"/>
      <c r="O348" s="2"/>
      <c r="P348" s="2"/>
      <c r="Q348" s="2"/>
    </row>
    <row r="349" spans="1:17" ht="12.75" customHeight="1">
      <c r="A349" s="2"/>
      <c r="B349" s="6">
        <f>MAX($B$13:B348)+1</f>
        <v>152</v>
      </c>
      <c r="C349" s="2"/>
      <c r="D349" s="12" t="s">
        <v>813</v>
      </c>
      <c r="E349" s="2"/>
      <c r="F349" s="886">
        <v>5.3090000000000002</v>
      </c>
      <c r="G349" s="2"/>
      <c r="H349" s="809"/>
      <c r="I349" s="2"/>
      <c r="J349" s="2"/>
      <c r="K349" s="2"/>
      <c r="L349" s="2"/>
      <c r="M349" s="2"/>
      <c r="N349" s="2"/>
      <c r="O349" s="2"/>
      <c r="P349" s="2"/>
      <c r="Q349" s="2"/>
    </row>
    <row r="350" spans="1:17" ht="12.75" customHeight="1">
      <c r="A350" s="2"/>
      <c r="B350" s="6">
        <f>MAX($B$13:B349)+1</f>
        <v>153</v>
      </c>
      <c r="C350" s="2"/>
      <c r="D350" s="10" t="s">
        <v>817</v>
      </c>
      <c r="E350" s="2"/>
      <c r="F350" s="859">
        <f>F348*F349</f>
        <v>2.6340556172506926E-2</v>
      </c>
      <c r="G350" s="2"/>
      <c r="H350" s="809"/>
      <c r="I350" s="2"/>
      <c r="J350" s="2"/>
      <c r="K350" s="2"/>
      <c r="L350" s="2"/>
      <c r="M350" s="2"/>
      <c r="N350" s="2"/>
      <c r="O350" s="2"/>
      <c r="P350" s="2"/>
      <c r="Q350" s="2"/>
    </row>
    <row r="351" spans="1:17" ht="12.75" customHeight="1">
      <c r="A351" s="2"/>
      <c r="B351" s="6">
        <f>MAX($B$13:B350)+1</f>
        <v>154</v>
      </c>
      <c r="C351" s="2"/>
      <c r="D351" s="12" t="s">
        <v>818</v>
      </c>
      <c r="E351" s="2"/>
      <c r="F351" s="832">
        <v>3.0021488971966161E-3</v>
      </c>
      <c r="G351" s="2"/>
      <c r="H351" s="809"/>
      <c r="I351" s="2"/>
      <c r="J351" s="2"/>
      <c r="K351" s="2"/>
      <c r="L351" s="2"/>
      <c r="M351" s="2"/>
      <c r="N351" s="2"/>
      <c r="O351" s="2"/>
      <c r="P351" s="2"/>
      <c r="Q351" s="2"/>
    </row>
    <row r="352" spans="1:17" ht="12.75" customHeight="1">
      <c r="A352" s="2"/>
      <c r="B352" s="6">
        <f>MAX($B$13:B351)+1</f>
        <v>155</v>
      </c>
      <c r="C352" s="2"/>
      <c r="D352" s="12" t="s">
        <v>813</v>
      </c>
      <c r="E352" s="2"/>
      <c r="F352" s="886">
        <v>5.3090000000000002</v>
      </c>
      <c r="G352" s="2"/>
      <c r="H352" s="809"/>
      <c r="I352" s="2"/>
      <c r="J352" s="2"/>
      <c r="K352" s="2"/>
      <c r="L352" s="2"/>
      <c r="M352" s="2"/>
      <c r="N352" s="2"/>
      <c r="O352" s="2"/>
      <c r="P352" s="2"/>
      <c r="Q352" s="2"/>
    </row>
    <row r="353" spans="1:17" ht="12.75" customHeight="1">
      <c r="A353" s="2"/>
      <c r="B353" s="6">
        <f>MAX($B$13:B352)+1</f>
        <v>156</v>
      </c>
      <c r="C353" s="2"/>
      <c r="D353" s="10" t="s">
        <v>819</v>
      </c>
      <c r="E353" s="2"/>
      <c r="F353" s="886">
        <f>F351*F352</f>
        <v>1.5938408495216834E-2</v>
      </c>
      <c r="G353" s="2"/>
      <c r="H353" s="809"/>
      <c r="I353" s="2"/>
      <c r="J353" s="2"/>
      <c r="K353" s="2"/>
      <c r="L353" s="2"/>
      <c r="M353" s="2"/>
      <c r="N353" s="2"/>
      <c r="O353" s="2"/>
      <c r="P353" s="2"/>
      <c r="Q353" s="2"/>
    </row>
    <row r="354" spans="1:17" ht="12.75" customHeight="1">
      <c r="A354" s="2"/>
      <c r="B354" s="6">
        <f>MAX($B$13:B353)+1</f>
        <v>157</v>
      </c>
      <c r="C354" s="2"/>
      <c r="D354" s="10" t="s">
        <v>820</v>
      </c>
      <c r="E354" s="2"/>
      <c r="F354" s="887">
        <v>1.029632219178082</v>
      </c>
      <c r="G354" s="2"/>
      <c r="H354" s="809"/>
      <c r="I354" s="2"/>
      <c r="J354" s="2"/>
      <c r="K354" s="2"/>
      <c r="L354" s="2"/>
      <c r="M354" s="2"/>
      <c r="N354" s="2"/>
      <c r="O354" s="2"/>
      <c r="P354" s="2"/>
      <c r="Q354" s="2"/>
    </row>
    <row r="355" spans="1:17" ht="12.75" customHeight="1">
      <c r="A355" s="2"/>
      <c r="B355" s="6">
        <f>MAX($B$13:B354)+1</f>
        <v>158</v>
      </c>
      <c r="C355" s="2"/>
      <c r="D355" s="16" t="s">
        <v>821</v>
      </c>
      <c r="E355" s="2"/>
      <c r="F355" s="886">
        <f>F350+F353+F354</f>
        <v>1.0719111838458057</v>
      </c>
      <c r="G355" s="2"/>
      <c r="H355" s="860">
        <f>F355</f>
        <v>1.0719111838458057</v>
      </c>
      <c r="I355" s="809"/>
      <c r="J355" s="2"/>
      <c r="K355" s="2"/>
      <c r="L355" s="2"/>
      <c r="M355" s="2"/>
      <c r="N355" s="2"/>
      <c r="O355" s="2"/>
      <c r="P355" s="2"/>
      <c r="Q355" s="2"/>
    </row>
    <row r="356" spans="1:17" ht="12.75" customHeight="1">
      <c r="A356" s="2"/>
      <c r="B356" s="1"/>
      <c r="C356" s="2"/>
      <c r="D356" s="2"/>
      <c r="E356" s="2"/>
      <c r="F356" s="2"/>
      <c r="G356" s="2"/>
      <c r="H356" s="809"/>
      <c r="I356" s="2"/>
      <c r="J356" s="2"/>
      <c r="K356" s="2"/>
      <c r="L356" s="2"/>
      <c r="M356" s="2"/>
      <c r="N356" s="2"/>
      <c r="O356" s="2"/>
      <c r="P356" s="2"/>
      <c r="Q356" s="2"/>
    </row>
    <row r="357" spans="1:17" ht="12.75" customHeight="1">
      <c r="A357" s="2"/>
      <c r="B357" s="1"/>
      <c r="C357" s="2"/>
      <c r="D357" s="16" t="s">
        <v>822</v>
      </c>
      <c r="E357" s="2"/>
      <c r="F357" s="2"/>
      <c r="G357" s="2"/>
      <c r="H357" s="809"/>
      <c r="I357" s="2"/>
      <c r="J357" s="2"/>
      <c r="K357" s="2"/>
      <c r="L357" s="2"/>
      <c r="M357" s="2"/>
      <c r="N357" s="2"/>
      <c r="O357" s="2"/>
      <c r="P357" s="2"/>
      <c r="Q357" s="2"/>
    </row>
    <row r="358" spans="1:17" ht="12.75" customHeight="1">
      <c r="A358" s="2"/>
      <c r="B358" s="6">
        <f>MAX($B$13:B357)+1</f>
        <v>159</v>
      </c>
      <c r="C358" s="2"/>
      <c r="D358" s="10" t="s">
        <v>823</v>
      </c>
      <c r="E358" s="2"/>
      <c r="F358" s="817">
        <v>6.8406726199376235</v>
      </c>
      <c r="G358" s="2"/>
      <c r="H358" s="809"/>
      <c r="I358" s="2"/>
      <c r="J358" s="2"/>
      <c r="K358" s="2"/>
      <c r="L358" s="2"/>
      <c r="M358" s="2"/>
      <c r="N358" s="2"/>
      <c r="O358" s="2"/>
      <c r="P358" s="2"/>
      <c r="Q358" s="2"/>
    </row>
    <row r="359" spans="1:17" ht="12.75" customHeight="1">
      <c r="A359" s="2"/>
      <c r="B359" s="6">
        <f>MAX($B$13:B358)+1</f>
        <v>160</v>
      </c>
      <c r="C359" s="2"/>
      <c r="D359" s="10" t="s">
        <v>824</v>
      </c>
      <c r="E359" s="2"/>
      <c r="F359" s="817">
        <v>1.5699999999999999E-2</v>
      </c>
      <c r="G359" s="2"/>
      <c r="H359" s="809"/>
      <c r="I359" s="2"/>
      <c r="J359" s="2"/>
      <c r="K359" s="2"/>
      <c r="L359" s="2"/>
      <c r="M359" s="2"/>
      <c r="N359" s="2"/>
      <c r="O359" s="2"/>
      <c r="P359" s="2"/>
      <c r="Q359" s="2"/>
    </row>
    <row r="360" spans="1:17" ht="12.75" customHeight="1">
      <c r="A360" s="2"/>
      <c r="B360" s="6">
        <f>MAX($B$13:B359)+1</f>
        <v>161</v>
      </c>
      <c r="C360" s="2"/>
      <c r="D360" s="10" t="s">
        <v>825</v>
      </c>
      <c r="E360" s="2"/>
      <c r="F360" s="888">
        <f>4.25*365/30/10</f>
        <v>5.1708333333333334</v>
      </c>
      <c r="G360" s="2"/>
      <c r="H360" s="809"/>
      <c r="I360" s="2"/>
      <c r="J360" s="2"/>
      <c r="K360" s="2"/>
      <c r="L360" s="2"/>
      <c r="M360" s="2"/>
      <c r="N360" s="2"/>
      <c r="O360" s="2"/>
      <c r="P360" s="2"/>
      <c r="Q360" s="2"/>
    </row>
    <row r="361" spans="1:17" ht="12.75" customHeight="1">
      <c r="A361" s="2"/>
      <c r="B361" s="6">
        <f>MAX($B$13:B360)+1</f>
        <v>162</v>
      </c>
      <c r="C361" s="2"/>
      <c r="D361" s="16" t="s">
        <v>826</v>
      </c>
      <c r="E361" s="2"/>
      <c r="F361" s="817">
        <f>SUM(F358:F360)</f>
        <v>12.027205953270958</v>
      </c>
      <c r="G361" s="2"/>
      <c r="H361" s="809"/>
      <c r="I361" s="2"/>
      <c r="J361" s="2"/>
      <c r="K361" s="2"/>
      <c r="L361" s="2"/>
      <c r="M361" s="2"/>
      <c r="N361" s="2"/>
      <c r="O361" s="2"/>
      <c r="P361" s="2"/>
      <c r="Q361" s="2"/>
    </row>
    <row r="362" spans="1:17" ht="12.75" customHeight="1">
      <c r="A362" s="2"/>
      <c r="B362" s="6">
        <f>MAX($B$13:B361)+1</f>
        <v>163</v>
      </c>
      <c r="C362" s="2"/>
      <c r="D362" s="10" t="s">
        <v>773</v>
      </c>
      <c r="E362" s="2"/>
      <c r="F362" s="873">
        <v>39.08</v>
      </c>
      <c r="G362" s="2"/>
      <c r="H362" s="809"/>
      <c r="I362" s="2"/>
      <c r="J362" s="2"/>
      <c r="K362" s="2"/>
      <c r="L362" s="2"/>
      <c r="M362" s="2"/>
      <c r="N362" s="2"/>
      <c r="O362" s="2"/>
      <c r="P362" s="2"/>
      <c r="Q362" s="2"/>
    </row>
    <row r="363" spans="1:17" ht="12.75" customHeight="1">
      <c r="A363" s="2"/>
      <c r="B363" s="6">
        <f>MAX($B$13:B362)+1</f>
        <v>164</v>
      </c>
      <c r="C363" s="2"/>
      <c r="D363" s="16" t="str">
        <f>"Failure to Deliver Charge ($/GJ) (line "&amp;B361&amp;" / line "&amp;B362&amp;" x 10)"</f>
        <v>Failure to Deliver Charge ($/GJ) (line 162 / line 163 x 10)</v>
      </c>
      <c r="E363" s="2"/>
      <c r="F363" s="889">
        <f>F361/F362*10</f>
        <v>3.0775859655248099</v>
      </c>
      <c r="G363" s="2"/>
      <c r="H363" s="860">
        <f>F363</f>
        <v>3.0775859655248099</v>
      </c>
      <c r="I363" s="2"/>
      <c r="J363" s="2"/>
      <c r="K363" s="2"/>
      <c r="L363" s="2"/>
      <c r="M363" s="2"/>
      <c r="N363" s="2"/>
      <c r="O363" s="2"/>
      <c r="P363" s="2"/>
      <c r="Q363" s="2"/>
    </row>
    <row r="364" spans="1:17" ht="12.75" customHeight="1">
      <c r="A364" s="2"/>
      <c r="B364" s="1"/>
      <c r="C364" s="2"/>
      <c r="D364" s="12"/>
      <c r="E364" s="2"/>
      <c r="F364" s="2"/>
      <c r="G364" s="2"/>
      <c r="H364" s="809"/>
      <c r="I364" s="2"/>
      <c r="J364" s="2"/>
      <c r="K364" s="2"/>
      <c r="L364" s="2"/>
      <c r="M364" s="2"/>
      <c r="N364" s="2"/>
      <c r="O364" s="2"/>
      <c r="P364" s="2"/>
      <c r="Q364" s="2"/>
    </row>
    <row r="365" spans="1:17" ht="12.75" customHeight="1">
      <c r="A365" s="2"/>
      <c r="B365" s="1"/>
      <c r="C365" s="2"/>
      <c r="D365" s="848" t="s">
        <v>827</v>
      </c>
      <c r="E365" s="2"/>
      <c r="F365" s="2"/>
      <c r="G365" s="2"/>
      <c r="H365" s="809"/>
      <c r="I365" s="2"/>
      <c r="J365" s="2"/>
      <c r="K365" s="2"/>
      <c r="L365" s="2"/>
      <c r="M365" s="2"/>
      <c r="N365" s="2"/>
      <c r="O365" s="2"/>
      <c r="P365" s="2"/>
      <c r="Q365" s="2"/>
    </row>
    <row r="366" spans="1:17" ht="12.75" customHeight="1">
      <c r="A366" s="2"/>
      <c r="B366" s="6">
        <f>MAX($B$13:B365)+1</f>
        <v>165</v>
      </c>
      <c r="C366" s="2"/>
      <c r="D366" s="10" t="s">
        <v>828</v>
      </c>
      <c r="E366" s="2"/>
      <c r="F366" s="886">
        <v>0.12707770723601716</v>
      </c>
      <c r="G366" s="2"/>
      <c r="H366" s="2"/>
      <c r="I366" s="2"/>
      <c r="J366" s="2"/>
      <c r="K366" s="2"/>
      <c r="L366" s="814"/>
      <c r="M366" s="2"/>
      <c r="N366" s="2"/>
      <c r="O366" s="2"/>
      <c r="P366" s="2"/>
      <c r="Q366" s="2"/>
    </row>
    <row r="367" spans="1:17" ht="12.75" customHeight="1">
      <c r="A367" s="2"/>
      <c r="B367" s="6">
        <f>MAX($B$13:B366)+1</f>
        <v>166</v>
      </c>
      <c r="C367" s="2"/>
      <c r="D367" s="828" t="s">
        <v>829</v>
      </c>
      <c r="E367" s="2"/>
      <c r="F367" s="886">
        <v>3.5000000000000003E-2</v>
      </c>
      <c r="G367" s="2"/>
      <c r="H367" s="2"/>
      <c r="I367" s="2"/>
      <c r="J367" s="2"/>
      <c r="K367" s="2"/>
      <c r="L367" s="2"/>
      <c r="M367" s="2"/>
      <c r="N367" s="2"/>
      <c r="O367" s="2"/>
      <c r="P367" s="2"/>
      <c r="Q367" s="2"/>
    </row>
    <row r="368" spans="1:17" ht="15.6" customHeight="1">
      <c r="A368" s="2"/>
      <c r="B368" s="6">
        <f>MAX($B$13:B367)+1</f>
        <v>167</v>
      </c>
      <c r="C368" s="2"/>
      <c r="D368" s="828" t="s">
        <v>830</v>
      </c>
      <c r="E368" s="2"/>
      <c r="F368" s="887">
        <v>4.0000000000000001E-3</v>
      </c>
      <c r="G368" s="2"/>
      <c r="H368" s="2"/>
      <c r="I368" s="2"/>
      <c r="J368" s="2"/>
      <c r="K368" s="2"/>
      <c r="L368" s="2"/>
      <c r="M368" s="2"/>
      <c r="N368" s="2"/>
      <c r="O368" s="2"/>
      <c r="P368" s="2"/>
      <c r="Q368" s="2"/>
    </row>
    <row r="369" spans="1:17" ht="12.75" customHeight="1">
      <c r="A369" s="2"/>
      <c r="B369" s="6">
        <f>MAX($B$13:B368)+1</f>
        <v>168</v>
      </c>
      <c r="C369" s="58"/>
      <c r="D369" s="848" t="str">
        <f>"Total (line "&amp;B366&amp;" + line "&amp;B367&amp;" + line "&amp;B368&amp;") x (-1)"</f>
        <v>Total (line 165 + line 166 + line 167) x (-1)</v>
      </c>
      <c r="E369" s="2"/>
      <c r="F369" s="889">
        <f>-SUM(F366:F368)</f>
        <v>-0.16607770723601717</v>
      </c>
      <c r="G369" s="58"/>
      <c r="H369" s="890">
        <f>ROUND(F369,3)</f>
        <v>-0.16600000000000001</v>
      </c>
      <c r="I369" s="2"/>
      <c r="J369" s="2"/>
      <c r="K369" s="2"/>
      <c r="L369" s="2"/>
      <c r="M369" s="2"/>
      <c r="N369" s="2"/>
      <c r="O369" s="2"/>
      <c r="P369" s="2"/>
      <c r="Q369" s="2"/>
    </row>
    <row r="370" spans="1:17" ht="12.75" customHeight="1">
      <c r="A370" s="2"/>
      <c r="B370" s="1"/>
      <c r="C370" s="2"/>
      <c r="D370" s="2"/>
      <c r="E370" s="2"/>
      <c r="F370" s="2"/>
      <c r="G370" s="2"/>
      <c r="H370" s="809"/>
      <c r="I370" s="2"/>
      <c r="J370" s="2"/>
      <c r="K370" s="2"/>
      <c r="L370" s="2"/>
      <c r="M370" s="2"/>
      <c r="N370" s="2"/>
      <c r="O370" s="2"/>
      <c r="P370" s="2"/>
      <c r="Q370" s="2"/>
    </row>
    <row r="371" spans="1:17" ht="12.75" customHeight="1">
      <c r="A371" s="2"/>
      <c r="B371" s="7" t="s">
        <v>80</v>
      </c>
      <c r="C371" s="2"/>
      <c r="D371" s="2"/>
      <c r="E371" s="2"/>
      <c r="F371" s="2"/>
      <c r="G371" s="2"/>
      <c r="H371" s="809"/>
      <c r="I371" s="2"/>
      <c r="J371" s="2"/>
      <c r="K371" s="2"/>
      <c r="L371" s="2"/>
      <c r="M371" s="2"/>
      <c r="N371" s="2"/>
      <c r="O371" s="2"/>
      <c r="P371" s="2"/>
      <c r="Q371" s="2"/>
    </row>
    <row r="372" spans="1:17" ht="12.75" customHeight="1">
      <c r="A372" s="2"/>
      <c r="B372" s="716" t="s">
        <v>40</v>
      </c>
      <c r="D372" s="16" t="s">
        <v>831</v>
      </c>
      <c r="E372" s="16"/>
      <c r="F372" s="16"/>
      <c r="G372" s="16"/>
      <c r="H372" s="848"/>
      <c r="I372" s="16"/>
      <c r="J372" s="2"/>
      <c r="K372" s="2"/>
      <c r="L372" s="2"/>
      <c r="M372" s="2"/>
      <c r="N372" s="2"/>
      <c r="O372" s="2"/>
      <c r="P372" s="2"/>
      <c r="Q372" s="1"/>
    </row>
    <row r="373" spans="1:17" ht="12.75" customHeight="1">
      <c r="A373" s="2"/>
      <c r="B373" s="716" t="s">
        <v>20</v>
      </c>
      <c r="D373" s="2" t="s">
        <v>832</v>
      </c>
      <c r="E373" s="2"/>
      <c r="F373" s="2"/>
      <c r="G373" s="2"/>
      <c r="H373" s="2"/>
      <c r="I373" s="2"/>
      <c r="J373" s="2"/>
      <c r="K373" s="2"/>
      <c r="L373" s="2"/>
      <c r="M373" s="2"/>
      <c r="N373" s="2"/>
      <c r="O373" s="2"/>
      <c r="P373" s="2"/>
      <c r="Q373" s="2"/>
    </row>
    <row r="374" spans="1:17" ht="12.75" customHeight="1">
      <c r="A374" s="2"/>
      <c r="B374" s="716" t="s">
        <v>21</v>
      </c>
      <c r="C374" s="16"/>
      <c r="D374" s="16" t="s">
        <v>833</v>
      </c>
      <c r="E374" s="16"/>
      <c r="F374" s="16"/>
      <c r="G374" s="16"/>
      <c r="H374" s="848"/>
      <c r="I374" s="16"/>
      <c r="J374" s="2"/>
      <c r="K374" s="2"/>
      <c r="L374" s="814"/>
      <c r="M374" s="2"/>
      <c r="N374" s="2"/>
      <c r="O374" s="2"/>
      <c r="P374" s="2"/>
      <c r="Q374" s="2"/>
    </row>
    <row r="375" spans="1:17" ht="14.45">
      <c r="A375" s="2"/>
      <c r="B375" s="1082">
        <v>4</v>
      </c>
      <c r="D375" s="16" t="s">
        <v>834</v>
      </c>
      <c r="E375" s="16"/>
      <c r="F375" s="16"/>
      <c r="G375" s="16"/>
      <c r="H375" s="848"/>
      <c r="I375" s="16"/>
      <c r="J375" s="2"/>
      <c r="K375" s="2"/>
      <c r="L375" s="2"/>
      <c r="M375" s="2"/>
      <c r="N375" s="2"/>
      <c r="O375" s="2"/>
      <c r="P375" s="2"/>
      <c r="Q375" s="2"/>
    </row>
    <row r="376" spans="1:17" ht="40.15" customHeight="1">
      <c r="A376" s="2"/>
      <c r="B376" s="716" t="s">
        <v>85</v>
      </c>
      <c r="D376" s="1081" t="s">
        <v>835</v>
      </c>
      <c r="E376" s="1081"/>
      <c r="F376" s="1081"/>
      <c r="G376" s="1081"/>
      <c r="H376" s="1081"/>
      <c r="I376" s="1081"/>
      <c r="J376" s="822"/>
      <c r="K376" s="2"/>
      <c r="L376" s="2"/>
      <c r="M376" s="2"/>
      <c r="N376" s="2"/>
      <c r="O376" s="2"/>
      <c r="P376" s="2"/>
      <c r="Q376" s="2"/>
    </row>
    <row r="377" spans="1:17" ht="27.6" customHeight="1">
      <c r="A377" s="2"/>
      <c r="B377" s="891" t="s">
        <v>87</v>
      </c>
      <c r="D377" s="25" t="s">
        <v>836</v>
      </c>
      <c r="E377" s="25"/>
      <c r="F377" s="25"/>
      <c r="G377" s="25"/>
      <c r="H377" s="25"/>
      <c r="I377" s="25"/>
      <c r="J377" s="808"/>
      <c r="K377" s="808"/>
      <c r="L377" s="808"/>
      <c r="M377" s="808"/>
      <c r="N377" s="808"/>
      <c r="O377" s="808"/>
      <c r="P377" s="808"/>
      <c r="Q377" s="808"/>
    </row>
    <row r="378" spans="1:17" ht="12.75" customHeight="1">
      <c r="A378" s="2"/>
      <c r="B378" s="891" t="s">
        <v>89</v>
      </c>
      <c r="D378" s="16" t="s">
        <v>837</v>
      </c>
      <c r="E378" s="16"/>
      <c r="F378" s="16"/>
      <c r="G378" s="16"/>
      <c r="H378" s="848"/>
      <c r="I378" s="16"/>
    </row>
    <row r="379" spans="1:17" ht="12.75" customHeight="1">
      <c r="A379" s="2"/>
      <c r="B379" s="891" t="s">
        <v>838</v>
      </c>
      <c r="D379" s="16" t="s">
        <v>839</v>
      </c>
      <c r="E379" s="16"/>
      <c r="F379" s="16"/>
      <c r="G379" s="16"/>
      <c r="H379" s="848"/>
      <c r="I379" s="16"/>
      <c r="J379" s="808"/>
      <c r="K379" s="808"/>
      <c r="L379" s="808"/>
      <c r="M379" s="808"/>
      <c r="N379" s="808"/>
      <c r="O379" s="808"/>
      <c r="P379" s="808"/>
      <c r="Q379" s="808"/>
    </row>
    <row r="380" spans="1:17" ht="25.5" customHeight="1">
      <c r="A380" s="2"/>
      <c r="B380" s="891" t="s">
        <v>840</v>
      </c>
      <c r="D380" s="1165" t="s">
        <v>841</v>
      </c>
      <c r="E380" s="1165"/>
      <c r="F380" s="1165"/>
      <c r="G380" s="1165"/>
      <c r="H380" s="1165"/>
      <c r="I380" s="25"/>
      <c r="J380" s="808"/>
      <c r="K380" s="808"/>
      <c r="L380" s="808"/>
      <c r="M380" s="808"/>
      <c r="N380" s="808"/>
      <c r="O380" s="808"/>
      <c r="P380" s="808"/>
      <c r="Q380" s="808"/>
    </row>
    <row r="381" spans="1:17" ht="12.75" customHeight="1">
      <c r="A381" s="2"/>
      <c r="B381" s="8"/>
      <c r="C381" s="2"/>
      <c r="D381" s="2"/>
      <c r="E381" s="2"/>
      <c r="F381" s="2"/>
      <c r="G381" s="2"/>
      <c r="H381" s="809"/>
      <c r="I381" s="2"/>
      <c r="J381" s="808"/>
      <c r="K381" s="808"/>
      <c r="L381" s="808"/>
      <c r="M381" s="808"/>
      <c r="N381" s="808"/>
      <c r="O381" s="808"/>
      <c r="P381" s="808"/>
      <c r="Q381" s="808"/>
    </row>
    <row r="382" spans="1:17" ht="12.75" customHeight="1">
      <c r="A382" s="2"/>
      <c r="B382" s="1"/>
      <c r="C382" s="2"/>
      <c r="D382" s="2"/>
      <c r="E382" s="2"/>
      <c r="F382" s="2"/>
      <c r="G382" s="2"/>
      <c r="H382" s="809"/>
      <c r="I382" s="2"/>
    </row>
    <row r="386" ht="13.15" customHeight="1"/>
    <row r="387" ht="29.65" customHeight="1"/>
  </sheetData>
  <mergeCells count="12">
    <mergeCell ref="D380:H380"/>
    <mergeCell ref="B159:H159"/>
    <mergeCell ref="B4:H4"/>
    <mergeCell ref="L29:V31"/>
    <mergeCell ref="B59:H59"/>
    <mergeCell ref="B60:H60"/>
    <mergeCell ref="B113:H113"/>
    <mergeCell ref="B218:H218"/>
    <mergeCell ref="B271:H271"/>
    <mergeCell ref="B318:H318"/>
    <mergeCell ref="B320:H320"/>
    <mergeCell ref="B321:H321"/>
  </mergeCells>
  <pageMargins left="0.7" right="0.7" top="0.75" bottom="0.75" header="0.3" footer="0.3"/>
  <pageSetup scale="77" fitToHeight="0" orientation="portrait" horizontalDpi="1200" verticalDpi="1200" r:id="rId1"/>
  <headerFooter>
    <oddHeader>&amp;R&amp;10Filed: 2024-02-16
EB-2022-0200
Rate Order
Working Papers
Schedule 21
Page &amp;P of 7</oddHeader>
  </headerFooter>
  <rowBreaks count="6" manualBreakCount="6">
    <brk id="56" max="7" man="1"/>
    <brk id="109" max="7" man="1"/>
    <brk id="155" max="7" man="1"/>
    <brk id="214" max="7" man="1"/>
    <brk id="267" max="7" man="1"/>
    <brk id="317" max="7" man="1"/>
  </rowBreaks>
  <colBreaks count="1" manualBreakCount="1">
    <brk id="1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CE4D423B1DE4CB1730F6A38FCA8AB" ma:contentTypeVersion="8" ma:contentTypeDescription="Create a new document." ma:contentTypeScope="" ma:versionID="bff721e5b0ca07b4aef3a7f1fc1b1f90">
  <xsd:schema xmlns:xsd="http://www.w3.org/2001/XMLSchema" xmlns:xs="http://www.w3.org/2001/XMLSchema" xmlns:p="http://schemas.microsoft.com/office/2006/metadata/properties" xmlns:ns1="http://schemas.microsoft.com/sharepoint/v3" xmlns:ns2="bc9be6ef-036f-4d38-ab45-2a4da0c93cb0" xmlns:ns3="2b327a5e-a9b9-42ef-8f0e-d75e289b8b9c" targetNamespace="http://schemas.microsoft.com/office/2006/metadata/properties" ma:root="true" ma:fieldsID="643f24c61bc7d1ee9054c428dab75c76" ns1:_="" ns2:_="" ns3:_="">
    <xsd:import namespace="http://schemas.microsoft.com/sharepoint/v3"/>
    <xsd:import namespace="bc9be6ef-036f-4d38-ab45-2a4da0c93cb0"/>
    <xsd:import namespace="2b327a5e-a9b9-42ef-8f0e-d75e289b8b9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9be6ef-036f-4d38-ab45-2a4da0c93cb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327a5e-a9b9-42ef-8f0e-d75e289b8b9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bc9be6ef-036f-4d38-ab45-2a4da0c93cb0">C6U45NHNYSXQ-170716136-130</_dlc_DocId>
    <_ip_UnifiedCompliancePolicyUIAction xmlns="http://schemas.microsoft.com/sharepoint/v3" xsi:nil="true"/>
    <_dlc_DocIdUrl xmlns="bc9be6ef-036f-4d38-ab45-2a4da0c93cb0">
      <Url>https://enbridge.sharepoint.com/teams/EB-2022-02002024Rebasing/_layouts/15/DocIdRedir.aspx?ID=C6U45NHNYSXQ-170716136-130</Url>
      <Description>C6U45NHNYSXQ-170716136-130</Description>
    </_dlc_DocIdUrl>
    <_ip_UnifiedCompliancePolicyProperties xmlns="http://schemas.microsoft.com/sharepoint/v3"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A217358-ECFE-40F5-8EAE-CD594BA7EE7E}"/>
</file>

<file path=customXml/itemProps2.xml><?xml version="1.0" encoding="utf-8"?>
<ds:datastoreItem xmlns:ds="http://schemas.openxmlformats.org/officeDocument/2006/customXml" ds:itemID="{6A1AF134-4C12-492E-B822-7C2DDE2E3262}"/>
</file>

<file path=customXml/itemProps3.xml><?xml version="1.0" encoding="utf-8"?>
<ds:datastoreItem xmlns:ds="http://schemas.openxmlformats.org/officeDocument/2006/customXml" ds:itemID="{F0EC4B5B-9257-439A-A1EF-74744AD2FD82}"/>
</file>

<file path=customXml/itemProps4.xml><?xml version="1.0" encoding="utf-8"?>
<ds:datastoreItem xmlns:ds="http://schemas.openxmlformats.org/officeDocument/2006/customXml" ds:itemID="{548A43DB-A7DA-460D-BA6E-795FB564ACA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Mia Manyu Liang</cp:lastModifiedBy>
  <cp:revision>1</cp:revision>
  <dcterms:created xsi:type="dcterms:W3CDTF">2024-02-16T19:00:16Z</dcterms:created>
  <dcterms:modified xsi:type="dcterms:W3CDTF">2024-02-16T20:28:57Z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1a6f161-e42b-4c47-8f69-f6a81e023e2d_Name">
    <vt:lpwstr>b1a6f161-e42b-4c47-8f69-f6a81e023e2d</vt:lpwstr>
  </property>
  <property fmtid="{D5CDD505-2E9C-101B-9397-08002B2CF9AE}" pid="3" name="ContentTypeId">
    <vt:lpwstr>0x01010023BCE4D423B1DE4CB1730F6A38FCA8AB</vt:lpwstr>
  </property>
  <property fmtid="{D5CDD505-2E9C-101B-9397-08002B2CF9AE}" pid="4" name="MSIP_Label_b1a6f161-e42b-4c47-8f69-f6a81e023e2d_Enabled">
    <vt:lpwstr>true</vt:lpwstr>
  </property>
  <property fmtid="{D5CDD505-2E9C-101B-9397-08002B2CF9AE}" pid="5" name="MSIP_Label_b1a6f161-e42b-4c47-8f69-f6a81e023e2d_ContentBits">
    <vt:lpwstr>0</vt:lpwstr>
  </property>
  <property fmtid="{D5CDD505-2E9C-101B-9397-08002B2CF9AE}" pid="6" name="_dlc_DocIdItemGuid">
    <vt:lpwstr>2cff78e0-db12-4801-8da3-224e850e4da3</vt:lpwstr>
  </property>
  <property fmtid="{D5CDD505-2E9C-101B-9397-08002B2CF9AE}" pid="7" name="MSIP_Label_b1a6f161-e42b-4c47-8f69-f6a81e023e2d_SetDate">
    <vt:lpwstr>2024-02-16T18:59:12Z</vt:lpwstr>
  </property>
  <property fmtid="{D5CDD505-2E9C-101B-9397-08002B2CF9AE}" pid="8" name="MSIP_Label_b1a6f161-e42b-4c47-8f69-f6a81e023e2d_Method">
    <vt:lpwstr>Standard</vt:lpwstr>
  </property>
  <property fmtid="{D5CDD505-2E9C-101B-9397-08002B2CF9AE}" pid="9" name="MSIP_Label_b1a6f161-e42b-4c47-8f69-f6a81e023e2d_SiteId">
    <vt:lpwstr>271df5c2-953a-497b-93ad-7adf7a4b3cd7</vt:lpwstr>
  </property>
  <property fmtid="{D5CDD505-2E9C-101B-9397-08002B2CF9AE}" pid="10" name="MSIP_Label_b1a6f161-e42b-4c47-8f69-f6a81e023e2d_ActionId">
    <vt:lpwstr>2abdafc3-e7c4-4f55-a9a6-4816f8a288d0</vt:lpwstr>
  </property>
</Properties>
</file>