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T:\5. TESI UTILITIES\Westario Power Inc\WPI COS 2024\IRs\Final Filing\"/>
    </mc:Choice>
  </mc:AlternateContent>
  <xr:revisionPtr revIDLastSave="0" documentId="8_{5A91D0CD-03F7-48CE-8D6D-037BCE382527}" xr6:coauthVersionLast="47" xr6:coauthVersionMax="47" xr10:uidLastSave="{00000000-0000-0000-0000-000000000000}"/>
  <bookViews>
    <workbookView xWindow="-15" yWindow="0" windowWidth="28830" windowHeight="15465" activeTab="1" xr2:uid="{46B2D7A3-CF30-4821-A262-F54287E6FA71}"/>
  </bookViews>
  <sheets>
    <sheet name="2-AA" sheetId="1" r:id="rId1"/>
    <sheet name="2-AB" sheetId="2" r:id="rId2"/>
  </sheets>
  <externalReferences>
    <externalReference r:id="rId3"/>
  </externalReferences>
  <definedNames>
    <definedName name="BridgeYear">#REF!</definedName>
    <definedName name="Test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2" l="1"/>
  <c r="M23" i="2"/>
  <c r="J23" i="2"/>
  <c r="G23" i="2"/>
  <c r="D23" i="2"/>
  <c r="U22" i="2"/>
  <c r="T22" i="2"/>
  <c r="S22" i="2"/>
  <c r="R22" i="2"/>
  <c r="Q22" i="2"/>
  <c r="N22" i="2"/>
  <c r="L22" i="2"/>
  <c r="M22" i="2" s="1"/>
  <c r="K22" i="2"/>
  <c r="I22" i="2"/>
  <c r="J22" i="2" s="1"/>
  <c r="H22" i="2"/>
  <c r="F22" i="2"/>
  <c r="G22" i="2" s="1"/>
  <c r="E22" i="2"/>
  <c r="D22" i="2"/>
  <c r="C22" i="2"/>
  <c r="B22" i="2"/>
  <c r="O20" i="2"/>
  <c r="P20" i="2" s="1"/>
  <c r="M20" i="2"/>
  <c r="J20" i="2"/>
  <c r="G20" i="2"/>
  <c r="D20" i="2"/>
  <c r="Q19" i="2"/>
  <c r="O19" i="2"/>
  <c r="P19" i="2" s="1"/>
  <c r="M19" i="2"/>
  <c r="J19" i="2"/>
  <c r="G19" i="2"/>
  <c r="D19" i="2"/>
  <c r="O18" i="2"/>
  <c r="P18" i="2" s="1"/>
  <c r="M18" i="2"/>
  <c r="J18" i="2"/>
  <c r="G18" i="2"/>
  <c r="D18" i="2"/>
  <c r="O17" i="2"/>
  <c r="P17" i="2" s="1"/>
  <c r="M17" i="2"/>
  <c r="J17" i="2"/>
  <c r="G17" i="2"/>
  <c r="D17" i="2"/>
  <c r="Q14" i="2"/>
  <c r="R14" i="2" s="1"/>
  <c r="S14" i="2" s="1"/>
  <c r="T14" i="2" s="1"/>
  <c r="U14" i="2" s="1"/>
  <c r="N14" i="2"/>
  <c r="K14" i="2"/>
  <c r="H14" i="2"/>
  <c r="E14" i="2"/>
  <c r="B14" i="2" s="1"/>
  <c r="O22" i="2" l="1"/>
  <c r="P22" i="2" s="1"/>
  <c r="B85" i="1" l="1"/>
  <c r="B74" i="1"/>
  <c r="G47" i="1"/>
  <c r="G48" i="1"/>
  <c r="E26" i="1"/>
  <c r="E25" i="1"/>
  <c r="D39" i="1"/>
  <c r="E21" i="1" l="1"/>
  <c r="G50" i="1" l="1"/>
  <c r="G49" i="1"/>
  <c r="F25" i="1" l="1"/>
  <c r="F26" i="1"/>
  <c r="F21" i="1"/>
  <c r="D37" i="1" l="1"/>
  <c r="D26" i="1"/>
  <c r="D21" i="1"/>
  <c r="D18" i="1"/>
  <c r="E48" i="1"/>
  <c r="E12" i="1"/>
  <c r="C47" i="1" l="1"/>
  <c r="C18" i="1"/>
  <c r="B18" i="1"/>
  <c r="C62" i="1" l="1"/>
  <c r="B62" i="1"/>
  <c r="G32" i="1" l="1"/>
  <c r="E32" i="1"/>
  <c r="F32" i="1"/>
  <c r="H32" i="1"/>
  <c r="F17" i="1"/>
  <c r="G17" i="1"/>
  <c r="H17" i="1"/>
  <c r="E17" i="1"/>
  <c r="C17" i="1"/>
  <c r="D17" i="1"/>
  <c r="D32" i="1"/>
  <c r="C32" i="1"/>
  <c r="B32" i="1"/>
  <c r="C42" i="1" l="1"/>
  <c r="C44" i="1" s="1"/>
  <c r="C19" i="1"/>
  <c r="B42" i="1"/>
  <c r="B44" i="1" s="1"/>
  <c r="B17" i="1"/>
  <c r="B19" i="1" s="1"/>
  <c r="H52" i="1"/>
  <c r="H54" i="1" s="1"/>
  <c r="G52" i="1"/>
  <c r="G54" i="1" s="1"/>
  <c r="F52" i="1"/>
  <c r="F54" i="1" s="1"/>
  <c r="E52" i="1"/>
  <c r="E54" i="1" s="1"/>
  <c r="D52" i="1"/>
  <c r="D54" i="1" s="1"/>
  <c r="C52" i="1"/>
  <c r="C54" i="1" s="1"/>
  <c r="B52" i="1"/>
  <c r="B54" i="1" s="1"/>
  <c r="H42" i="1"/>
  <c r="H44" i="1" s="1"/>
  <c r="G42" i="1"/>
  <c r="G44" i="1" s="1"/>
  <c r="F42" i="1"/>
  <c r="F44" i="1" s="1"/>
  <c r="E42" i="1"/>
  <c r="E44" i="1" s="1"/>
  <c r="D42" i="1"/>
  <c r="D44" i="1" s="1"/>
  <c r="H19" i="1"/>
  <c r="G19" i="1"/>
  <c r="F19" i="1"/>
  <c r="E19" i="1"/>
  <c r="D19" i="1"/>
  <c r="E6" i="1"/>
  <c r="D6" i="1" s="1"/>
  <c r="C6" i="1" s="1"/>
  <c r="B6" i="1" s="1"/>
  <c r="E34" i="1" l="1"/>
  <c r="E58" i="1" s="1"/>
  <c r="E60" i="1" s="1"/>
  <c r="E64" i="1" s="1"/>
  <c r="C34" i="1"/>
  <c r="C58" i="1" s="1"/>
  <c r="C60" i="1" s="1"/>
  <c r="C64" i="1" s="1"/>
  <c r="H34" i="1"/>
  <c r="H58" i="1" s="1"/>
  <c r="H60" i="1" s="1"/>
  <c r="H64" i="1" s="1"/>
  <c r="G34" i="1"/>
  <c r="F34" i="1"/>
  <c r="F58" i="1" s="1"/>
  <c r="F60" i="1" s="1"/>
  <c r="F64" i="1" s="1"/>
  <c r="B34" i="1"/>
  <c r="B58" i="1" s="1"/>
  <c r="B60" i="1" s="1"/>
  <c r="B64" i="1" s="1"/>
  <c r="D34" i="1"/>
  <c r="D58" i="1" s="1"/>
  <c r="D60" i="1" s="1"/>
  <c r="D64" i="1" s="1"/>
  <c r="G58" i="1" l="1"/>
  <c r="G60" i="1" s="1"/>
  <c r="G64" i="1" s="1"/>
</calcChain>
</file>

<file path=xl/sharedStrings.xml><?xml version="1.0" encoding="utf-8"?>
<sst xmlns="http://schemas.openxmlformats.org/spreadsheetml/2006/main" count="112" uniqueCount="83">
  <si>
    <t>Projects</t>
  </si>
  <si>
    <t>Reporting Basis</t>
  </si>
  <si>
    <t>SA-01 - Capital Poles</t>
  </si>
  <si>
    <t>SA-06 - New Subdivisions</t>
  </si>
  <si>
    <t>SA-03 - New UG Service</t>
  </si>
  <si>
    <t>SA-07- Service Upgrades</t>
  </si>
  <si>
    <t>SA-05 - 3-Phase Customer Connections</t>
  </si>
  <si>
    <t>System Access Gross Expenditures</t>
  </si>
  <si>
    <t>System Access Capital Contributions</t>
  </si>
  <si>
    <t>Sub-Total</t>
  </si>
  <si>
    <t>System Renewal</t>
  </si>
  <si>
    <t>SR-04 - Decrepit Pole Replacement</t>
  </si>
  <si>
    <t>SR-02 -  Substation Upgrades</t>
  </si>
  <si>
    <t>SR-05C - Kincardine Load Balancing</t>
  </si>
  <si>
    <t>SR-05D- Fibreglass Transformer Base Replacement</t>
  </si>
  <si>
    <t>SR-05 - Distribution Transformer Replacement</t>
  </si>
  <si>
    <t>SR-06 - Infrastructure Upgrade</t>
  </si>
  <si>
    <t>SR-07- Pole Line Upgrades</t>
  </si>
  <si>
    <t>System Renewal Gross Expenditures</t>
  </si>
  <si>
    <t>System Service</t>
  </si>
  <si>
    <t>Meters</t>
  </si>
  <si>
    <t>System Service Gross Expenditures</t>
  </si>
  <si>
    <t>System Service Capital Contributions</t>
  </si>
  <si>
    <t>General Plant</t>
  </si>
  <si>
    <t>Technology</t>
  </si>
  <si>
    <t>Vehicle Replacement</t>
  </si>
  <si>
    <t>Tools and Equipment</t>
  </si>
  <si>
    <t>General Plant Gross Expenditures</t>
  </si>
  <si>
    <t>General Plant Capital Contributions</t>
  </si>
  <si>
    <t>Miscellaneous</t>
  </si>
  <si>
    <t>Total</t>
  </si>
  <si>
    <r>
      <t xml:space="preserve">Less Renewable Generation Facility Assets and Other Non-Rate-Regulated Utility Assets </t>
    </r>
    <r>
      <rPr>
        <b/>
        <i/>
        <sz val="10"/>
        <color rgb="FFFF0000"/>
        <rFont val="Arial"/>
        <family val="2"/>
      </rPr>
      <t>(input as negative)</t>
    </r>
  </si>
  <si>
    <t>Poletran Conversion</t>
  </si>
  <si>
    <t>#6 Copper Replacement</t>
  </si>
  <si>
    <t>New O/H Service Connections</t>
  </si>
  <si>
    <t>Microfits</t>
  </si>
  <si>
    <t>Non-demarcation Customers</t>
  </si>
  <si>
    <t>SCADA</t>
  </si>
  <si>
    <t>Facilities Enhancements</t>
  </si>
  <si>
    <t>Office Furniture and Equipment</t>
  </si>
  <si>
    <t>Communication Equipment</t>
  </si>
  <si>
    <t>Other Capitl Projects</t>
  </si>
  <si>
    <t>HONI LTLT Asset Purchase</t>
  </si>
  <si>
    <t>Automatic Switch</t>
  </si>
  <si>
    <t>System Renewal Capital Contributions</t>
  </si>
  <si>
    <t>PME/Metering Replacement</t>
  </si>
  <si>
    <t>SR-04 - Decrepit Pole Replacement Emergent</t>
  </si>
  <si>
    <t>Micellaneous Metering</t>
  </si>
  <si>
    <t>CYME &amp; GIS Integration</t>
  </si>
  <si>
    <t>2023
Bridge Year</t>
  </si>
  <si>
    <t>2024
Test Year</t>
  </si>
  <si>
    <t>It relates to the following assets:</t>
  </si>
  <si>
    <t>Oth-03 Service Upgrades</t>
  </si>
  <si>
    <t>SA-01 Capital Poles</t>
  </si>
  <si>
    <t>SA-03 New U/G Service Connections</t>
  </si>
  <si>
    <t>SA-05 3 Phase Customers</t>
  </si>
  <si>
    <t>SA-06 New Subdivision</t>
  </si>
  <si>
    <t>SR-02 Substation Upgrades</t>
  </si>
  <si>
    <r>
      <rPr>
        <b/>
        <sz val="11"/>
        <color theme="1"/>
        <rFont val="Calibri"/>
        <family val="2"/>
        <scheme val="minor"/>
      </rPr>
      <t>Work in Progress (WIP)</t>
    </r>
    <r>
      <rPr>
        <sz val="11"/>
        <color theme="1"/>
        <rFont val="Calibri"/>
        <family val="2"/>
        <scheme val="minor"/>
      </rPr>
      <t xml:space="preserve"> at the end of 2023 consists of the following project categories:</t>
    </r>
  </si>
  <si>
    <t>Appendix 2-AB</t>
  </si>
  <si>
    <t>Table 2 - Capital Expenditure Summary from Chapter 5 Consolidated
Distribution System Plan Filing Requirements</t>
  </si>
  <si>
    <t>First year of Forecast Period:</t>
  </si>
  <si>
    <t>CATEGORY</t>
  </si>
  <si>
    <r>
      <t xml:space="preserve">Historical Period </t>
    </r>
    <r>
      <rPr>
        <sz val="11"/>
        <color theme="1"/>
        <rFont val="Calibri"/>
        <family val="2"/>
        <scheme val="minor"/>
      </rPr>
      <t>(previous plan</t>
    </r>
    <r>
      <rPr>
        <vertAlign val="superscript"/>
        <sz val="10"/>
        <rFont val="Arial"/>
        <family val="2"/>
      </rPr>
      <t>1</t>
    </r>
    <r>
      <rPr>
        <sz val="11"/>
        <color theme="1"/>
        <rFont val="Calibri"/>
        <family val="2"/>
        <scheme val="minor"/>
      </rPr>
      <t xml:space="preserve"> &amp; actual)</t>
    </r>
  </si>
  <si>
    <r>
      <t xml:space="preserve">Forecast Period </t>
    </r>
    <r>
      <rPr>
        <sz val="11"/>
        <color theme="1"/>
        <rFont val="Calibri"/>
        <family val="2"/>
        <scheme val="minor"/>
      </rPr>
      <t>(planned)</t>
    </r>
  </si>
  <si>
    <t>Plan</t>
  </si>
  <si>
    <t>Actual</t>
  </si>
  <si>
    <t>Var</t>
  </si>
  <si>
    <r>
      <t>Actual</t>
    </r>
    <r>
      <rPr>
        <b/>
        <vertAlign val="superscript"/>
        <sz val="10"/>
        <rFont val="Arial"/>
        <family val="2"/>
      </rPr>
      <t>2</t>
    </r>
  </si>
  <si>
    <t>$ '000</t>
  </si>
  <si>
    <t>%</t>
  </si>
  <si>
    <t>System Access</t>
  </si>
  <si>
    <t>Capital Contribution</t>
  </si>
  <si>
    <t>TOTAL EXPENDITURE</t>
  </si>
  <si>
    <t>System O&amp;M (exclude Admin)</t>
  </si>
  <si>
    <t>Continuity Schedule  Integrigy Check</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</si>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</sst>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_-;\-* #,##0_-;_-* &quot;-&quot;??_-;_-@_-"/>
    <numFmt numFmtId="165" formatCode="&quot;$&quot;#,##0"/>
    <numFmt numFmtId="166" formatCode="_(* #,##0.00_);_(* \(#,##0.00\);_(* &quot;-&quot;??_);_(@_)"/>
    <numFmt numFmtId="167" formatCode="_(* #,##0_);_(* \(#,##0\);_(* &quot;-&quot;_);_(@_)"/>
    <numFmt numFmtId="168" formatCode="0.0%"/>
    <numFmt numFmtId="169" formatCode="_(&quot;$&quot;* #,##0_);_(&quot;$&quot;* \(#,##0\);_(&quot;$&quot;* &quot;-&quot;_);_(@_)"/>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b/>
      <i/>
      <sz val="10"/>
      <color rgb="FFFF0000"/>
      <name val="Arial"/>
      <family val="2"/>
    </font>
    <font>
      <b/>
      <sz val="10"/>
      <color rgb="FFFF0000"/>
      <name val="Arial"/>
      <family val="2"/>
    </font>
    <font>
      <b/>
      <sz val="11"/>
      <color theme="1"/>
      <name val="Calibri"/>
      <family val="2"/>
      <scheme val="minor"/>
    </font>
    <font>
      <b/>
      <i/>
      <sz val="8"/>
      <color theme="0" tint="-0.14999847407452621"/>
      <name val="Arial"/>
      <family val="2"/>
      <charset val="1"/>
    </font>
    <font>
      <b/>
      <sz val="14"/>
      <name val="Arial"/>
      <family val="2"/>
    </font>
    <font>
      <i/>
      <sz val="12"/>
      <color theme="1"/>
      <name val="Calibri"/>
      <family val="2"/>
      <scheme val="minor"/>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theme="0" tint="-4.9989318521683403E-2"/>
        <bgColor indexed="64"/>
      </patternFill>
    </fill>
  </fills>
  <borders count="2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3" fillId="0" borderId="0"/>
    <xf numFmtId="166" fontId="3" fillId="0" borderId="0" applyFont="0" applyFill="0" applyBorder="0" applyAlignment="0" applyProtection="0"/>
  </cellStyleXfs>
  <cellXfs count="84">
    <xf numFmtId="0" fontId="0" fillId="0" borderId="0" xfId="0"/>
    <xf numFmtId="0" fontId="2" fillId="0" borderId="1" xfId="0" applyFont="1" applyBorder="1" applyProtection="1">
      <protection locked="0"/>
    </xf>
    <xf numFmtId="0" fontId="2" fillId="0" borderId="2" xfId="0" applyFont="1" applyBorder="1" applyAlignment="1">
      <alignment horizontal="center" vertical="center" wrapText="1"/>
    </xf>
    <xf numFmtId="0" fontId="2" fillId="0" borderId="3" xfId="0" applyFont="1" applyBorder="1" applyProtection="1">
      <protection locked="0"/>
    </xf>
    <xf numFmtId="0" fontId="2"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2" fillId="3" borderId="5" xfId="0" applyFont="1" applyFill="1" applyBorder="1" applyProtection="1">
      <protection locked="0"/>
    </xf>
    <xf numFmtId="3" fontId="0" fillId="0" borderId="6" xfId="1" applyNumberFormat="1" applyFont="1" applyFill="1" applyBorder="1" applyProtection="1">
      <protection locked="0"/>
    </xf>
    <xf numFmtId="3" fontId="3" fillId="0" borderId="6" xfId="1" applyNumberFormat="1" applyFont="1" applyFill="1" applyBorder="1" applyProtection="1">
      <protection locked="0"/>
    </xf>
    <xf numFmtId="0" fontId="3" fillId="3" borderId="7" xfId="0" applyFont="1" applyFill="1" applyBorder="1" applyProtection="1">
      <protection locked="0"/>
    </xf>
    <xf numFmtId="3" fontId="0" fillId="3" borderId="8" xfId="1" applyNumberFormat="1" applyFont="1" applyFill="1" applyBorder="1" applyProtection="1">
      <protection locked="0"/>
    </xf>
    <xf numFmtId="0" fontId="3" fillId="3" borderId="5" xfId="0" applyFont="1" applyFill="1" applyBorder="1" applyProtection="1">
      <protection locked="0"/>
    </xf>
    <xf numFmtId="3" fontId="0" fillId="3" borderId="6" xfId="1" applyNumberFormat="1" applyFont="1" applyFill="1" applyBorder="1" applyProtection="1">
      <protection locked="0"/>
    </xf>
    <xf numFmtId="0" fontId="3" fillId="3" borderId="9" xfId="0" applyFont="1" applyFill="1" applyBorder="1" applyProtection="1">
      <protection locked="0"/>
    </xf>
    <xf numFmtId="3" fontId="0" fillId="3" borderId="10" xfId="1" applyNumberFormat="1" applyFont="1" applyFill="1" applyBorder="1" applyProtection="1">
      <protection locked="0"/>
    </xf>
    <xf numFmtId="0" fontId="2" fillId="0" borderId="5" xfId="0" applyFont="1" applyBorder="1" applyProtection="1">
      <protection locked="0"/>
    </xf>
    <xf numFmtId="3" fontId="0" fillId="0" borderId="6" xfId="0" applyNumberFormat="1" applyBorder="1"/>
    <xf numFmtId="3" fontId="3" fillId="0" borderId="6" xfId="0" applyNumberFormat="1" applyFont="1" applyBorder="1"/>
    <xf numFmtId="0" fontId="2" fillId="3" borderId="5" xfId="0" applyFont="1" applyFill="1" applyBorder="1" applyAlignment="1" applyProtection="1">
      <alignment wrapText="1"/>
      <protection locked="0"/>
    </xf>
    <xf numFmtId="3" fontId="0" fillId="0" borderId="4" xfId="1" applyNumberFormat="1" applyFont="1" applyFill="1" applyBorder="1" applyProtection="1">
      <protection locked="0"/>
    </xf>
    <xf numFmtId="3" fontId="3" fillId="0" borderId="4" xfId="1" applyNumberFormat="1" applyFont="1" applyFill="1" applyBorder="1" applyProtection="1">
      <protection locked="0"/>
    </xf>
    <xf numFmtId="3" fontId="3" fillId="3" borderId="6" xfId="1" applyNumberFormat="1" applyFont="1" applyFill="1" applyBorder="1" applyProtection="1">
      <protection locked="0"/>
    </xf>
    <xf numFmtId="0" fontId="2" fillId="0" borderId="11" xfId="0" applyFont="1" applyBorder="1" applyProtection="1">
      <protection locked="0"/>
    </xf>
    <xf numFmtId="3" fontId="2" fillId="0" borderId="12" xfId="0" applyNumberFormat="1" applyFont="1" applyBorder="1"/>
    <xf numFmtId="0" fontId="2" fillId="0" borderId="6" xfId="0" applyFont="1" applyBorder="1" applyAlignment="1" applyProtection="1">
      <alignment vertical="top" wrapText="1"/>
      <protection locked="0"/>
    </xf>
    <xf numFmtId="0" fontId="2" fillId="0" borderId="12" xfId="0" applyFont="1" applyBorder="1" applyProtection="1">
      <protection locked="0"/>
    </xf>
    <xf numFmtId="0" fontId="2" fillId="4" borderId="5" xfId="0" applyFont="1" applyFill="1" applyBorder="1" applyProtection="1">
      <protection locked="0"/>
    </xf>
    <xf numFmtId="3" fontId="3" fillId="0" borderId="9" xfId="0" applyNumberFormat="1" applyFont="1" applyBorder="1"/>
    <xf numFmtId="3" fontId="5" fillId="0" borderId="12" xfId="0" applyNumberFormat="1" applyFont="1" applyBorder="1"/>
    <xf numFmtId="3" fontId="0" fillId="0" borderId="0" xfId="0" applyNumberFormat="1"/>
    <xf numFmtId="164" fontId="0" fillId="0" borderId="0" xfId="2" applyNumberFormat="1" applyFont="1"/>
    <xf numFmtId="0" fontId="3" fillId="0" borderId="7" xfId="0" applyFont="1" applyBorder="1" applyProtection="1">
      <protection locked="0"/>
    </xf>
    <xf numFmtId="3" fontId="0" fillId="0" borderId="8" xfId="1" applyNumberFormat="1" applyFont="1" applyFill="1" applyBorder="1" applyProtection="1">
      <protection locked="0"/>
    </xf>
    <xf numFmtId="165" fontId="0" fillId="0" borderId="6" xfId="3" applyNumberFormat="1" applyFont="1" applyFill="1" applyBorder="1" applyProtection="1">
      <protection locked="0"/>
    </xf>
    <xf numFmtId="3" fontId="0" fillId="5" borderId="10" xfId="1" applyNumberFormat="1" applyFont="1" applyFill="1" applyBorder="1" applyProtection="1">
      <protection locked="0"/>
    </xf>
    <xf numFmtId="0" fontId="2" fillId="5" borderId="2" xfId="0" applyFont="1" applyFill="1" applyBorder="1" applyAlignment="1">
      <alignment horizontal="center" vertical="center" wrapText="1"/>
    </xf>
    <xf numFmtId="3" fontId="3" fillId="5" borderId="9" xfId="0" applyNumberFormat="1" applyFont="1" applyFill="1" applyBorder="1"/>
    <xf numFmtId="3" fontId="0" fillId="5" borderId="10" xfId="0" applyNumberFormat="1" applyFill="1" applyBorder="1"/>
    <xf numFmtId="3" fontId="0" fillId="5" borderId="8" xfId="1" applyNumberFormat="1" applyFont="1" applyFill="1" applyBorder="1" applyProtection="1">
      <protection locked="0"/>
    </xf>
    <xf numFmtId="164" fontId="0" fillId="0" borderId="13" xfId="2" applyNumberFormat="1" applyFont="1" applyBorder="1"/>
    <xf numFmtId="0" fontId="6" fillId="0" borderId="0" xfId="0" applyFont="1"/>
    <xf numFmtId="164" fontId="6" fillId="0" borderId="0" xfId="2" applyNumberFormat="1" applyFont="1"/>
    <xf numFmtId="164" fontId="6" fillId="0" borderId="0" xfId="0" applyNumberFormat="1" applyFont="1"/>
    <xf numFmtId="0" fontId="0" fillId="0" borderId="0" xfId="0" applyAlignment="1">
      <alignment horizontal="left"/>
    </xf>
    <xf numFmtId="0" fontId="7" fillId="0" borderId="0" xfId="4" applyFont="1" applyAlignment="1">
      <alignment horizontal="left" wrapText="1"/>
    </xf>
    <xf numFmtId="0" fontId="3" fillId="0" borderId="0" xfId="4" applyProtection="1">
      <protection locked="0"/>
    </xf>
    <xf numFmtId="0" fontId="3" fillId="0" borderId="0" xfId="4"/>
    <xf numFmtId="0" fontId="8" fillId="0" borderId="0" xfId="4" applyFont="1" applyAlignment="1" applyProtection="1">
      <alignment horizontal="center" vertical="top"/>
      <protection locked="0"/>
    </xf>
    <xf numFmtId="0" fontId="8" fillId="0" borderId="0" xfId="4" applyFont="1" applyAlignment="1" applyProtection="1">
      <alignment horizontal="center" vertical="center" wrapText="1"/>
      <protection locked="0"/>
    </xf>
    <xf numFmtId="0" fontId="2" fillId="0" borderId="0" xfId="4" applyFont="1" applyAlignment="1" applyProtection="1">
      <alignment horizontal="right" vertical="center"/>
      <protection locked="0"/>
    </xf>
    <xf numFmtId="0" fontId="9" fillId="0" borderId="0" xfId="4" applyFont="1" applyAlignment="1" applyProtection="1">
      <alignment horizontal="center" vertical="center"/>
      <protection locked="0"/>
    </xf>
    <xf numFmtId="0" fontId="8" fillId="0" borderId="6" xfId="4" applyFont="1" applyBorder="1" applyAlignment="1" applyProtection="1">
      <alignment horizontal="center" vertical="center" wrapText="1"/>
      <protection locked="0"/>
    </xf>
    <xf numFmtId="0" fontId="2" fillId="0" borderId="6" xfId="4" applyFont="1" applyBorder="1" applyAlignment="1" applyProtection="1">
      <alignment horizontal="center" vertical="center" wrapText="1"/>
      <protection locked="0"/>
    </xf>
    <xf numFmtId="0" fontId="11" fillId="0" borderId="6" xfId="4" applyFont="1" applyBorder="1" applyAlignment="1" applyProtection="1">
      <alignment horizontal="center" vertical="center" wrapText="1"/>
      <protection locked="0"/>
    </xf>
    <xf numFmtId="0" fontId="11" fillId="0" borderId="6"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3" fillId="0" borderId="6" xfId="4" applyBorder="1" applyAlignment="1" applyProtection="1">
      <alignment horizontal="center" vertical="center" wrapText="1"/>
      <protection locked="0"/>
    </xf>
    <xf numFmtId="0" fontId="14" fillId="0" borderId="6" xfId="4" applyFont="1" applyBorder="1" applyAlignment="1" applyProtection="1">
      <alignment horizontal="right" vertical="center" wrapText="1" indent="1"/>
      <protection locked="0"/>
    </xf>
    <xf numFmtId="165" fontId="0" fillId="3" borderId="6" xfId="5" applyNumberFormat="1" applyFont="1" applyFill="1" applyBorder="1"/>
    <xf numFmtId="167" fontId="3" fillId="0" borderId="6" xfId="4" applyNumberFormat="1" applyBorder="1" applyAlignment="1" applyProtection="1">
      <alignment horizontal="center" vertical="center" wrapText="1"/>
      <protection locked="0"/>
    </xf>
    <xf numFmtId="168" fontId="3" fillId="0" borderId="6" xfId="4" applyNumberFormat="1" applyBorder="1" applyAlignment="1" applyProtection="1">
      <alignment horizontal="center" vertical="center" wrapText="1"/>
      <protection locked="0"/>
    </xf>
    <xf numFmtId="167" fontId="3" fillId="3" borderId="6" xfId="4" applyNumberFormat="1" applyFill="1" applyBorder="1" applyAlignment="1" applyProtection="1">
      <alignment horizontal="center" vertical="center" wrapText="1"/>
      <protection locked="0"/>
    </xf>
    <xf numFmtId="165" fontId="0" fillId="3" borderId="14" xfId="5" applyNumberFormat="1" applyFont="1" applyFill="1" applyBorder="1"/>
    <xf numFmtId="169" fontId="3" fillId="3" borderId="6" xfId="4" applyNumberFormat="1" applyFill="1" applyBorder="1" applyAlignment="1" applyProtection="1">
      <alignment horizontal="center" vertical="center" wrapText="1"/>
      <protection locked="0"/>
    </xf>
    <xf numFmtId="0" fontId="2" fillId="0" borderId="15" xfId="4" applyFont="1" applyBorder="1" applyProtection="1">
      <protection locked="0"/>
    </xf>
    <xf numFmtId="0" fontId="3" fillId="0" borderId="16" xfId="4" applyBorder="1" applyProtection="1">
      <protection locked="0"/>
    </xf>
    <xf numFmtId="3" fontId="3" fillId="0" borderId="16" xfId="4" applyNumberFormat="1" applyBorder="1" applyProtection="1">
      <protection locked="0"/>
    </xf>
    <xf numFmtId="0" fontId="3" fillId="0" borderId="17" xfId="4" applyBorder="1" applyProtection="1">
      <protection locked="0"/>
    </xf>
    <xf numFmtId="0" fontId="6" fillId="0" borderId="0" xfId="4" applyFont="1" applyProtection="1">
      <protection locked="0"/>
    </xf>
    <xf numFmtId="0" fontId="3" fillId="0" borderId="0" xfId="4" applyAlignment="1" applyProtection="1">
      <alignment horizontal="left" vertical="top" wrapText="1"/>
      <protection locked="0"/>
    </xf>
    <xf numFmtId="0" fontId="3" fillId="0" borderId="0" xfId="4" applyAlignment="1" applyProtection="1">
      <alignment horizontal="left" vertical="center"/>
      <protection locked="0"/>
    </xf>
    <xf numFmtId="0" fontId="3" fillId="3" borderId="18" xfId="4" applyFill="1" applyBorder="1" applyProtection="1">
      <protection locked="0"/>
    </xf>
    <xf numFmtId="0" fontId="15" fillId="0" borderId="19" xfId="4" applyFont="1" applyBorder="1" applyProtection="1">
      <protection locked="0"/>
    </xf>
    <xf numFmtId="0" fontId="15" fillId="0" borderId="20" xfId="4" applyFont="1" applyBorder="1" applyProtection="1">
      <protection locked="0"/>
    </xf>
    <xf numFmtId="0" fontId="15" fillId="0" borderId="5" xfId="4" applyFont="1" applyBorder="1" applyProtection="1">
      <protection locked="0"/>
    </xf>
    <xf numFmtId="0" fontId="6" fillId="0" borderId="19" xfId="4" applyFont="1" applyBorder="1" applyProtection="1">
      <protection locked="0"/>
    </xf>
    <xf numFmtId="0" fontId="6" fillId="0" borderId="20" xfId="4" applyFont="1" applyBorder="1" applyProtection="1">
      <protection locked="0"/>
    </xf>
    <xf numFmtId="0" fontId="6" fillId="0" borderId="5" xfId="4" applyFont="1" applyBorder="1" applyProtection="1">
      <protection locked="0"/>
    </xf>
    <xf numFmtId="0" fontId="16" fillId="3" borderId="21" xfId="4" applyFont="1" applyFill="1" applyBorder="1" applyAlignment="1" applyProtection="1">
      <alignment horizontal="left" vertical="top"/>
      <protection locked="0"/>
    </xf>
    <xf numFmtId="0" fontId="16" fillId="3" borderId="22" xfId="4" applyFont="1" applyFill="1" applyBorder="1" applyAlignment="1" applyProtection="1">
      <alignment horizontal="left" vertical="top"/>
      <protection locked="0"/>
    </xf>
    <xf numFmtId="0" fontId="16" fillId="3" borderId="9" xfId="4" applyFont="1" applyFill="1" applyBorder="1" applyAlignment="1" applyProtection="1">
      <alignment horizontal="left" vertical="top"/>
      <protection locked="0"/>
    </xf>
    <xf numFmtId="0" fontId="16" fillId="3" borderId="23" xfId="4" applyFont="1" applyFill="1" applyBorder="1" applyAlignment="1" applyProtection="1">
      <alignment horizontal="left" vertical="top"/>
      <protection locked="0"/>
    </xf>
    <xf numFmtId="0" fontId="16" fillId="3" borderId="13" xfId="4" applyFont="1" applyFill="1" applyBorder="1" applyAlignment="1" applyProtection="1">
      <alignment horizontal="left" vertical="top"/>
      <protection locked="0"/>
    </xf>
    <xf numFmtId="0" fontId="16" fillId="3" borderId="3" xfId="4" applyFont="1" applyFill="1" applyBorder="1" applyAlignment="1" applyProtection="1">
      <alignment horizontal="left" vertical="top"/>
      <protection locked="0"/>
    </xf>
  </cellXfs>
  <cellStyles count="6">
    <cellStyle name="Comma" xfId="2" builtinId="3"/>
    <cellStyle name="Comma 9" xfId="5" xr:uid="{D0EEA2BC-42D9-4809-8E39-65218C1BBD6F}"/>
    <cellStyle name="Currency" xfId="1" builtinId="4"/>
    <cellStyle name="Currency 11" xfId="3" xr:uid="{83EDD275-5F2B-4D33-9699-00220B7A337D}"/>
    <cellStyle name="Normal" xfId="0" builtinId="0"/>
    <cellStyle name="Normal 2" xfId="4" xr:uid="{D133CF18-B95C-4989-AD28-375841BCF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Finanical Health Check-&gt;"/>
      <sheetName val="0.1 Rev Deficiency Sufficiency"/>
      <sheetName val="IRM vs CoS - Depreciation Calcs"/>
      <sheetName val="IRM vs CoS - Income Taxes"/>
      <sheetName val="Exhibit 1 -&gt;"/>
      <sheetName val="1.1 Trial Balance Summary"/>
      <sheetName val="Dec 23"/>
      <sheetName val="1.2. Hist TB and Budgets"/>
      <sheetName val="hhhhh"/>
      <sheetName val="Exhibit 2 -&gt;"/>
      <sheetName val="NBV-CoS"/>
      <sheetName val="2.5 FS PPE-IA-DR Roll-AFS"/>
      <sheetName val="2440"/>
      <sheetName val="2.6 Fixed Asset Cont Stmt"/>
      <sheetName val="2.9 Depreciation Expenses"/>
      <sheetName val="2.1. Rate Base Trend "/>
      <sheetName val="Table 2 DSP"/>
      <sheetName val="2.3 System Renewal"/>
      <sheetName val="2.3 System Access"/>
      <sheetName val="2.3 System Service"/>
      <sheetName val="2.3 General Plan "/>
      <sheetName val="2.4 Var Capital Expenditures"/>
      <sheetName val="Sheet1"/>
      <sheetName val="Exhibit 3 -&gt;"/>
      <sheetName val="LOAD FORECAST -&gt;"/>
      <sheetName val="3.1 Load Forecast Inputs"/>
      <sheetName val="3.2 LoadForecast"/>
      <sheetName val="Exhibit 4 -&gt;"/>
      <sheetName val="OM&amp;A -&gt;"/>
      <sheetName val="4.1 OM&amp;A_Detailed_Analysis"/>
      <sheetName val="4.2 OM&amp;A_Summary_Analys"/>
      <sheetName val="4.3a OMA Programs"/>
      <sheetName val="4.3b OMA Programs USoA"/>
      <sheetName val="4.4 Cost Driver Worksheet"/>
      <sheetName val="4.6 Yearly Staff Turnover"/>
      <sheetName val="4.5 Monthly Staff Lvl"/>
      <sheetName val="4.7 Employee Costs"/>
      <sheetName val="4.9 OM&amp;A_per_Cust_FTEE"/>
      <sheetName val="4.10 Regulatory_Costs"/>
      <sheetName val="4.12 PowerSupplExp"/>
      <sheetName val="4.12 PowerSupplExp2"/>
      <sheetName val="4.13 LV Input Data Sheet"/>
      <sheetName val="4.13 Calcs from RTSR CoS"/>
      <sheetName val="4.13 Corp_Cost_Allocation"/>
      <sheetName val="Exhibit 5 -&gt;"/>
      <sheetName val="5.1 Capital Structure"/>
      <sheetName val="5.2 Debt Instruments"/>
      <sheetName val="Exhibit 6 -&gt;"/>
      <sheetName val="OPERATING REVENUES -&gt;"/>
      <sheetName val="Sheet2"/>
      <sheetName val="6.0 Other_Oper_Rev Sum"/>
      <sheetName val="6.1 Revenue Requirement"/>
      <sheetName val="6.2 Chg in RevReq"/>
      <sheetName val="Exhibit 8 -&gt;"/>
      <sheetName val="8.1 Loss Factors"/>
      <sheetName val="8.3 Integrity Check"/>
      <sheetName val="Rate Design-&gt;"/>
      <sheetName val="A. Cost Allocation &amp; RevAllocn"/>
      <sheetName val="B. RateDesign"/>
      <sheetName val="C. Res Rate Design"/>
      <sheetName val="D. Rev_Reconciliation"/>
      <sheetName val="E. Revenues at Curr Rates"/>
      <sheetName val="F.Cost Allocation"/>
      <sheetName val="G.Historical Rates"/>
      <sheetName val="4.4 Cost Driver Worksheet (2)"/>
      <sheetName val="Sheet6"/>
      <sheetName val="Other Rev Worksheet"/>
      <sheetName val="Sheet3"/>
      <sheetName val="FS Rec"/>
      <sheetName val="2.6 rec-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5">
          <cell r="E65">
            <v>5913457.4299999997</v>
          </cell>
        </row>
        <row r="129">
          <cell r="E129">
            <v>4491599.3199999994</v>
          </cell>
        </row>
      </sheetData>
      <sheetData sheetId="15" refreshError="1"/>
      <sheetData sheetId="16" refreshError="1"/>
      <sheetData sheetId="17" refreshError="1"/>
      <sheetData sheetId="18" refreshError="1">
        <row r="55">
          <cell r="H55">
            <v>0</v>
          </cell>
        </row>
      </sheetData>
      <sheetData sheetId="19" refreshError="1">
        <row r="56">
          <cell r="H56">
            <v>0</v>
          </cell>
        </row>
      </sheetData>
      <sheetData sheetId="20" refreshError="1">
        <row r="56">
          <cell r="H56">
            <v>0</v>
          </cell>
        </row>
      </sheetData>
      <sheetData sheetId="21" refreshError="1">
        <row r="56">
          <cell r="H56">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077D-AD17-464C-BA93-18A1E56D0343}">
  <dimension ref="A5:H85"/>
  <sheetViews>
    <sheetView zoomScaleNormal="100" workbookViewId="0">
      <pane ySplit="6" topLeftCell="A7" activePane="bottomLeft" state="frozen"/>
      <selection pane="bottomLeft" sqref="A1:XFD1"/>
    </sheetView>
  </sheetViews>
  <sheetFormatPr defaultRowHeight="15" x14ac:dyDescent="0.25"/>
  <cols>
    <col min="1" max="1" width="48.28515625" bestFit="1" customWidth="1"/>
    <col min="2" max="2" width="11" bestFit="1" customWidth="1"/>
    <col min="3" max="4" width="13.28515625" bestFit="1" customWidth="1"/>
    <col min="5" max="6" width="10.5703125" bestFit="1" customWidth="1"/>
    <col min="7" max="7" width="10.42578125" bestFit="1" customWidth="1"/>
    <col min="8" max="8" width="10.5703125" bestFit="1" customWidth="1"/>
  </cols>
  <sheetData>
    <row r="5" spans="1:8" ht="15.75" thickBot="1" x14ac:dyDescent="0.3"/>
    <row r="6" spans="1:8" ht="38.25" x14ac:dyDescent="0.25">
      <c r="A6" s="1" t="s">
        <v>0</v>
      </c>
      <c r="B6" s="2">
        <f t="shared" ref="B6:E6" si="0">C6-1</f>
        <v>2018</v>
      </c>
      <c r="C6" s="2">
        <f t="shared" si="0"/>
        <v>2019</v>
      </c>
      <c r="D6" s="2">
        <f t="shared" si="0"/>
        <v>2020</v>
      </c>
      <c r="E6" s="2">
        <f t="shared" si="0"/>
        <v>2021</v>
      </c>
      <c r="F6" s="35">
        <v>2022</v>
      </c>
      <c r="G6" s="2" t="s">
        <v>49</v>
      </c>
      <c r="H6" s="2" t="s">
        <v>50</v>
      </c>
    </row>
    <row r="7" spans="1:8" x14ac:dyDescent="0.25">
      <c r="A7" s="3" t="s">
        <v>1</v>
      </c>
      <c r="B7" s="5"/>
      <c r="C7" s="4"/>
      <c r="D7" s="4"/>
      <c r="E7" s="4"/>
      <c r="F7" s="4"/>
      <c r="G7" s="4"/>
      <c r="H7" s="4"/>
    </row>
    <row r="8" spans="1:8" x14ac:dyDescent="0.25">
      <c r="A8" s="6"/>
      <c r="B8" s="8"/>
      <c r="C8" s="7"/>
      <c r="D8" s="7"/>
      <c r="E8" s="7"/>
      <c r="F8" s="7"/>
      <c r="G8" s="7"/>
      <c r="H8" s="7"/>
    </row>
    <row r="9" spans="1:8" x14ac:dyDescent="0.25">
      <c r="A9" s="6" t="s">
        <v>2</v>
      </c>
      <c r="B9" s="9">
        <v>620437</v>
      </c>
      <c r="C9" s="10">
        <v>460555</v>
      </c>
      <c r="D9" s="10">
        <v>863086.7</v>
      </c>
      <c r="E9" s="10">
        <v>726784.46</v>
      </c>
      <c r="F9" s="10">
        <v>1582976.63</v>
      </c>
      <c r="G9" s="10">
        <v>516001</v>
      </c>
      <c r="H9" s="10">
        <v>810423.4</v>
      </c>
    </row>
    <row r="10" spans="1:8" x14ac:dyDescent="0.25">
      <c r="A10" s="6" t="s">
        <v>3</v>
      </c>
      <c r="B10" s="11">
        <v>507509.3</v>
      </c>
      <c r="C10" s="12">
        <v>454982.38</v>
      </c>
      <c r="D10" s="12">
        <v>235303</v>
      </c>
      <c r="E10" s="12">
        <v>338635.46</v>
      </c>
      <c r="F10" s="12">
        <v>264729.61</v>
      </c>
      <c r="G10" s="12">
        <v>481455.61</v>
      </c>
      <c r="H10" s="12">
        <v>436986.04</v>
      </c>
    </row>
    <row r="11" spans="1:8" x14ac:dyDescent="0.25">
      <c r="A11" s="6" t="s">
        <v>4</v>
      </c>
      <c r="B11" s="13">
        <v>280141.44</v>
      </c>
      <c r="C11" s="14">
        <v>197412.67</v>
      </c>
      <c r="D11" s="14">
        <v>170596</v>
      </c>
      <c r="E11" s="14">
        <v>196111.72</v>
      </c>
      <c r="F11" s="14">
        <v>333013</v>
      </c>
      <c r="G11" s="14">
        <v>255238</v>
      </c>
      <c r="H11" s="14">
        <v>268524.18</v>
      </c>
    </row>
    <row r="12" spans="1:8" x14ac:dyDescent="0.25">
      <c r="A12" s="6" t="s">
        <v>5</v>
      </c>
      <c r="B12" s="13">
        <v>62893.120000000003</v>
      </c>
      <c r="C12" s="14">
        <v>71694.559999999998</v>
      </c>
      <c r="D12" s="14">
        <v>109226</v>
      </c>
      <c r="E12" s="14">
        <f>135415</f>
        <v>135415</v>
      </c>
      <c r="F12" s="14">
        <v>193965.87</v>
      </c>
      <c r="G12" s="14">
        <v>524683</v>
      </c>
      <c r="H12" s="14">
        <v>79985.2</v>
      </c>
    </row>
    <row r="13" spans="1:8" x14ac:dyDescent="0.25">
      <c r="A13" s="6" t="s">
        <v>6</v>
      </c>
      <c r="B13" s="13">
        <v>112956.33</v>
      </c>
      <c r="C13" s="14">
        <v>116174</v>
      </c>
      <c r="D13" s="14">
        <v>122418</v>
      </c>
      <c r="E13" s="14">
        <v>115188</v>
      </c>
      <c r="F13" s="14">
        <v>319963</v>
      </c>
      <c r="G13" s="14">
        <v>214834</v>
      </c>
      <c r="H13" s="14">
        <v>148218.23000000001</v>
      </c>
    </row>
    <row r="14" spans="1:8" x14ac:dyDescent="0.25">
      <c r="A14" s="26" t="s">
        <v>34</v>
      </c>
      <c r="B14" s="13">
        <v>10992.24</v>
      </c>
      <c r="C14" s="14">
        <v>6529.55</v>
      </c>
      <c r="D14" s="14">
        <v>2051.6999999999998</v>
      </c>
      <c r="E14" s="14">
        <v>6844.83</v>
      </c>
      <c r="F14" s="14">
        <v>51496.58</v>
      </c>
      <c r="G14" s="34">
        <v>51584</v>
      </c>
      <c r="H14" s="14">
        <v>16877.53</v>
      </c>
    </row>
    <row r="15" spans="1:8" x14ac:dyDescent="0.25">
      <c r="A15" s="26" t="s">
        <v>35</v>
      </c>
      <c r="B15" s="13">
        <v>9597.7000000000007</v>
      </c>
      <c r="C15" s="14">
        <v>7629</v>
      </c>
      <c r="D15" s="14">
        <v>623.33000000000004</v>
      </c>
      <c r="E15" s="14">
        <v>1470.9</v>
      </c>
      <c r="F15" s="14">
        <v>1820.64</v>
      </c>
      <c r="G15" s="34">
        <v>8783.33</v>
      </c>
      <c r="H15" s="14">
        <v>0</v>
      </c>
    </row>
    <row r="16" spans="1:8" x14ac:dyDescent="0.25">
      <c r="A16" s="26" t="s">
        <v>36</v>
      </c>
      <c r="B16" s="13">
        <v>38047.050000000003</v>
      </c>
      <c r="C16" s="14">
        <v>41012.800000000003</v>
      </c>
      <c r="D16" s="14">
        <v>24564.41</v>
      </c>
      <c r="E16" s="14">
        <v>28927.31</v>
      </c>
      <c r="F16" s="14">
        <v>1106.3800000000001</v>
      </c>
      <c r="G16" s="14">
        <v>0</v>
      </c>
      <c r="H16" s="14">
        <v>32647.49</v>
      </c>
    </row>
    <row r="17" spans="1:8" x14ac:dyDescent="0.25">
      <c r="A17" s="15" t="s">
        <v>7</v>
      </c>
      <c r="B17" s="17">
        <f>SUM(B9:B16)</f>
        <v>1642574.1800000002</v>
      </c>
      <c r="C17" s="16">
        <f>SUM(C9:C16)</f>
        <v>1355989.9600000002</v>
      </c>
      <c r="D17" s="16">
        <f>SUM(D9:D16)</f>
        <v>1527869.14</v>
      </c>
      <c r="E17" s="16">
        <f>SUM(E9:E16)</f>
        <v>1549377.68</v>
      </c>
      <c r="F17" s="16">
        <f t="shared" ref="F17:H17" si="1">SUM(F9:F16)</f>
        <v>2749071.71</v>
      </c>
      <c r="G17" s="16">
        <f t="shared" si="1"/>
        <v>2052578.94</v>
      </c>
      <c r="H17" s="16">
        <f t="shared" si="1"/>
        <v>1793662.0699999998</v>
      </c>
    </row>
    <row r="18" spans="1:8" x14ac:dyDescent="0.25">
      <c r="A18" s="26" t="s">
        <v>8</v>
      </c>
      <c r="B18" s="31">
        <f>-335010+1226</f>
        <v>-333784</v>
      </c>
      <c r="C18" s="32">
        <f>-484981+50095-C33-C43</f>
        <v>-380696</v>
      </c>
      <c r="D18" s="38">
        <f>-417672.66-D33-D43</f>
        <v>-314737.65999999997</v>
      </c>
      <c r="E18" s="38">
        <v>-479486.67</v>
      </c>
      <c r="F18" s="38">
        <v>-538856.88</v>
      </c>
      <c r="G18" s="38">
        <v>-1231946</v>
      </c>
      <c r="H18" s="38">
        <v>-850267</v>
      </c>
    </row>
    <row r="19" spans="1:8" x14ac:dyDescent="0.25">
      <c r="A19" s="15" t="s">
        <v>9</v>
      </c>
      <c r="B19" s="17">
        <f>B17+B18</f>
        <v>1308790.1800000002</v>
      </c>
      <c r="C19" s="17">
        <f t="shared" ref="C19:H19" si="2">C17+C18</f>
        <v>975293.9600000002</v>
      </c>
      <c r="D19" s="17">
        <f t="shared" si="2"/>
        <v>1213131.48</v>
      </c>
      <c r="E19" s="17">
        <f t="shared" si="2"/>
        <v>1069891.01</v>
      </c>
      <c r="F19" s="17">
        <f t="shared" si="2"/>
        <v>2210214.83</v>
      </c>
      <c r="G19" s="17">
        <f t="shared" si="2"/>
        <v>820632.94</v>
      </c>
      <c r="H19" s="17">
        <f t="shared" si="2"/>
        <v>943395.06999999983</v>
      </c>
    </row>
    <row r="20" spans="1:8" x14ac:dyDescent="0.25">
      <c r="A20" s="18" t="s">
        <v>10</v>
      </c>
      <c r="B20" s="8"/>
      <c r="C20" s="7"/>
      <c r="D20" s="7"/>
      <c r="E20" s="7"/>
      <c r="F20" s="7"/>
      <c r="G20" s="7"/>
      <c r="H20" s="7"/>
    </row>
    <row r="21" spans="1:8" x14ac:dyDescent="0.25">
      <c r="A21" s="6" t="s">
        <v>11</v>
      </c>
      <c r="B21" s="9">
        <v>674069</v>
      </c>
      <c r="C21" s="10">
        <v>920915</v>
      </c>
      <c r="D21" s="10">
        <f>834989.58+251303.61</f>
        <v>1086293.19</v>
      </c>
      <c r="E21" s="10">
        <f>1682515.27+363350</f>
        <v>2045865.27</v>
      </c>
      <c r="F21" s="10">
        <f>858799.83+140184.22</f>
        <v>998984.04999999993</v>
      </c>
      <c r="G21" s="10">
        <v>1164482</v>
      </c>
      <c r="H21" s="12">
        <v>1652855.2</v>
      </c>
    </row>
    <row r="22" spans="1:8" x14ac:dyDescent="0.25">
      <c r="A22" s="6" t="s">
        <v>12</v>
      </c>
      <c r="B22" s="11">
        <v>1350783.09</v>
      </c>
      <c r="C22" s="12">
        <v>1025882.24</v>
      </c>
      <c r="D22" s="12">
        <v>1063358</v>
      </c>
      <c r="E22" s="12">
        <v>856613</v>
      </c>
      <c r="F22" s="12">
        <v>1052559.3500000001</v>
      </c>
      <c r="G22" s="12">
        <v>1928976.26</v>
      </c>
      <c r="H22" s="10">
        <v>1294515.27</v>
      </c>
    </row>
    <row r="23" spans="1:8" x14ac:dyDescent="0.25">
      <c r="A23" s="6" t="s">
        <v>13</v>
      </c>
      <c r="B23" s="13">
        <v>0</v>
      </c>
      <c r="C23" s="14">
        <v>0</v>
      </c>
      <c r="D23" s="14">
        <v>0</v>
      </c>
      <c r="E23" s="14">
        <v>0</v>
      </c>
      <c r="F23" s="14">
        <v>0</v>
      </c>
      <c r="G23" s="14">
        <v>80538.34</v>
      </c>
      <c r="H23" s="12">
        <v>1090213.6599999999</v>
      </c>
    </row>
    <row r="24" spans="1:8" x14ac:dyDescent="0.25">
      <c r="A24" s="6" t="s">
        <v>14</v>
      </c>
      <c r="B24" s="13">
        <v>0</v>
      </c>
      <c r="C24" s="14">
        <v>0</v>
      </c>
      <c r="D24" s="14">
        <v>0</v>
      </c>
      <c r="E24" s="14">
        <v>0</v>
      </c>
      <c r="F24" s="14">
        <v>0</v>
      </c>
      <c r="G24" s="14">
        <v>277308</v>
      </c>
      <c r="H24" s="14">
        <v>230321.12</v>
      </c>
    </row>
    <row r="25" spans="1:8" x14ac:dyDescent="0.25">
      <c r="A25" s="6" t="s">
        <v>15</v>
      </c>
      <c r="B25" s="13">
        <v>174253</v>
      </c>
      <c r="C25" s="14">
        <v>279728</v>
      </c>
      <c r="D25" s="14">
        <v>160608</v>
      </c>
      <c r="E25" s="14">
        <f>118615.82</f>
        <v>118615.82</v>
      </c>
      <c r="F25" s="14">
        <f>11350.06+51828.95</f>
        <v>63179.009999999995</v>
      </c>
      <c r="G25" s="14">
        <v>78769.600000000006</v>
      </c>
      <c r="H25" s="14">
        <v>242718.75</v>
      </c>
    </row>
    <row r="26" spans="1:8" x14ac:dyDescent="0.25">
      <c r="A26" s="6" t="s">
        <v>16</v>
      </c>
      <c r="B26" s="13">
        <v>87440.98</v>
      </c>
      <c r="C26" s="14">
        <v>54886</v>
      </c>
      <c r="D26" s="14">
        <f>274284+46166</f>
        <v>320450</v>
      </c>
      <c r="E26" s="14">
        <f>13736+28573-3259</f>
        <v>39050</v>
      </c>
      <c r="F26" s="14">
        <f>253908.64+164229.95</f>
        <v>418138.59</v>
      </c>
      <c r="G26" s="14">
        <v>1039682.67</v>
      </c>
      <c r="H26" s="14">
        <v>136659.17000000001</v>
      </c>
    </row>
    <row r="27" spans="1:8" x14ac:dyDescent="0.25">
      <c r="A27" s="6" t="s">
        <v>17</v>
      </c>
      <c r="B27" s="13">
        <v>0</v>
      </c>
      <c r="C27" s="14">
        <v>0</v>
      </c>
      <c r="D27" s="14">
        <v>0</v>
      </c>
      <c r="E27" s="14">
        <v>0</v>
      </c>
      <c r="F27" s="14">
        <v>0</v>
      </c>
      <c r="G27" s="14">
        <v>0</v>
      </c>
      <c r="H27" s="14">
        <v>335000</v>
      </c>
    </row>
    <row r="28" spans="1:8" x14ac:dyDescent="0.25">
      <c r="A28" s="26" t="s">
        <v>32</v>
      </c>
      <c r="B28" s="13">
        <v>587918.78</v>
      </c>
      <c r="C28" s="14">
        <v>582180.79</v>
      </c>
      <c r="D28" s="14">
        <v>0</v>
      </c>
      <c r="E28" s="14">
        <v>0</v>
      </c>
      <c r="F28" s="14">
        <v>0</v>
      </c>
      <c r="G28" s="14">
        <v>0</v>
      </c>
      <c r="H28" s="14">
        <v>0</v>
      </c>
    </row>
    <row r="29" spans="1:8" x14ac:dyDescent="0.25">
      <c r="A29" s="26" t="s">
        <v>33</v>
      </c>
      <c r="B29" s="13">
        <v>345035.87</v>
      </c>
      <c r="C29" s="14">
        <v>187664.64000000001</v>
      </c>
      <c r="D29" s="14">
        <v>134540.37</v>
      </c>
      <c r="E29" s="14">
        <v>0</v>
      </c>
      <c r="F29" s="14">
        <v>0</v>
      </c>
      <c r="G29" s="14">
        <v>0</v>
      </c>
      <c r="H29" s="14">
        <v>0</v>
      </c>
    </row>
    <row r="30" spans="1:8" x14ac:dyDescent="0.25">
      <c r="A30" s="26" t="s">
        <v>45</v>
      </c>
      <c r="B30" s="13">
        <v>0</v>
      </c>
      <c r="C30" s="14">
        <v>0</v>
      </c>
      <c r="D30" s="14">
        <v>210532</v>
      </c>
      <c r="E30" s="14">
        <v>0</v>
      </c>
      <c r="F30" s="14">
        <v>2447</v>
      </c>
      <c r="G30" s="14">
        <v>0</v>
      </c>
      <c r="H30" s="14">
        <v>0</v>
      </c>
    </row>
    <row r="31" spans="1:8" x14ac:dyDescent="0.25">
      <c r="A31" s="6" t="s">
        <v>46</v>
      </c>
      <c r="B31" s="13">
        <v>0</v>
      </c>
      <c r="C31" s="14">
        <v>0</v>
      </c>
      <c r="D31" s="14">
        <v>0</v>
      </c>
      <c r="E31" s="14">
        <v>0</v>
      </c>
      <c r="F31" s="14">
        <v>0</v>
      </c>
      <c r="G31" s="14">
        <v>0</v>
      </c>
      <c r="H31" s="14">
        <v>0</v>
      </c>
    </row>
    <row r="32" spans="1:8" x14ac:dyDescent="0.25">
      <c r="A32" s="15" t="s">
        <v>18</v>
      </c>
      <c r="B32" s="17">
        <f>SUM(B21:B31)</f>
        <v>3219500.7199999997</v>
      </c>
      <c r="C32" s="16">
        <f>SUM(C21:C31)</f>
        <v>3051256.6700000004</v>
      </c>
      <c r="D32" s="16">
        <f>SUM(D21:D31)</f>
        <v>2975781.56</v>
      </c>
      <c r="E32" s="16">
        <f t="shared" ref="E32:H32" si="3">SUM(E21:E31)</f>
        <v>3060144.09</v>
      </c>
      <c r="F32" s="16">
        <f t="shared" si="3"/>
        <v>2535307.9999999995</v>
      </c>
      <c r="G32" s="16">
        <f t="shared" si="3"/>
        <v>4569756.87</v>
      </c>
      <c r="H32" s="16">
        <f t="shared" si="3"/>
        <v>4982283.17</v>
      </c>
    </row>
    <row r="33" spans="1:8" x14ac:dyDescent="0.25">
      <c r="A33" s="26" t="s">
        <v>44</v>
      </c>
      <c r="B33" s="36"/>
      <c r="C33" s="37">
        <v>-32558</v>
      </c>
      <c r="D33" s="37">
        <v>-98609</v>
      </c>
      <c r="E33" s="37"/>
      <c r="F33" s="37"/>
      <c r="G33" s="37"/>
      <c r="H33" s="37"/>
    </row>
    <row r="34" spans="1:8" x14ac:dyDescent="0.25">
      <c r="A34" s="26" t="s">
        <v>9</v>
      </c>
      <c r="B34" s="27">
        <f>B33+B32</f>
        <v>3219500.7199999997</v>
      </c>
      <c r="C34" s="27">
        <f t="shared" ref="C34:H34" si="4">C33+C32</f>
        <v>3018698.6700000004</v>
      </c>
      <c r="D34" s="27">
        <f t="shared" si="4"/>
        <v>2877172.56</v>
      </c>
      <c r="E34" s="27">
        <f t="shared" si="4"/>
        <v>3060144.09</v>
      </c>
      <c r="F34" s="27">
        <f t="shared" si="4"/>
        <v>2535307.9999999995</v>
      </c>
      <c r="G34" s="27">
        <f t="shared" si="4"/>
        <v>4569756.87</v>
      </c>
      <c r="H34" s="27">
        <f t="shared" si="4"/>
        <v>4982283.17</v>
      </c>
    </row>
    <row r="35" spans="1:8" x14ac:dyDescent="0.25">
      <c r="A35" s="15"/>
      <c r="B35" s="13"/>
      <c r="C35" s="14"/>
      <c r="D35" s="14"/>
      <c r="E35" s="14"/>
      <c r="F35" s="14"/>
      <c r="G35" s="14"/>
      <c r="H35" s="14"/>
    </row>
    <row r="36" spans="1:8" x14ac:dyDescent="0.25">
      <c r="A36" s="18" t="s">
        <v>19</v>
      </c>
      <c r="B36" s="8"/>
      <c r="C36" s="7"/>
      <c r="D36" s="7"/>
      <c r="E36" s="7"/>
      <c r="F36" s="7"/>
      <c r="G36" s="7"/>
      <c r="H36" s="7"/>
    </row>
    <row r="37" spans="1:8" x14ac:dyDescent="0.25">
      <c r="A37" s="6" t="s">
        <v>20</v>
      </c>
      <c r="B37" s="9">
        <v>224096.17</v>
      </c>
      <c r="C37" s="10">
        <v>112537</v>
      </c>
      <c r="D37" s="10">
        <f>187539+36601</f>
        <v>224140</v>
      </c>
      <c r="E37" s="10">
        <v>65923</v>
      </c>
      <c r="F37" s="10">
        <v>109156</v>
      </c>
      <c r="G37" s="10">
        <v>99996</v>
      </c>
      <c r="H37" s="10">
        <v>310493.68</v>
      </c>
    </row>
    <row r="38" spans="1:8" x14ac:dyDescent="0.25">
      <c r="A38" s="26" t="s">
        <v>37</v>
      </c>
      <c r="B38" s="11">
        <v>212571.53</v>
      </c>
      <c r="C38" s="12">
        <v>363.8</v>
      </c>
      <c r="D38" s="12">
        <v>0</v>
      </c>
      <c r="E38" s="12">
        <v>0</v>
      </c>
      <c r="F38" s="12">
        <v>0</v>
      </c>
      <c r="G38" s="14">
        <v>0</v>
      </c>
      <c r="H38" s="12">
        <v>0</v>
      </c>
    </row>
    <row r="39" spans="1:8" x14ac:dyDescent="0.25">
      <c r="A39" s="26" t="s">
        <v>43</v>
      </c>
      <c r="B39" s="13">
        <v>0</v>
      </c>
      <c r="C39" s="14">
        <v>46996.62</v>
      </c>
      <c r="D39" s="14">
        <f>15377.57-7055</f>
        <v>8322.57</v>
      </c>
      <c r="E39" s="14">
        <v>0</v>
      </c>
      <c r="F39" s="14">
        <v>160761.16</v>
      </c>
      <c r="G39" s="14">
        <v>138303</v>
      </c>
      <c r="H39" s="14">
        <v>42800.91</v>
      </c>
    </row>
    <row r="40" spans="1:8" x14ac:dyDescent="0.25">
      <c r="A40" s="26" t="s">
        <v>47</v>
      </c>
      <c r="B40" s="13">
        <v>0</v>
      </c>
      <c r="C40" s="14">
        <v>0</v>
      </c>
      <c r="D40" s="14">
        <v>2696.71</v>
      </c>
      <c r="E40" s="14">
        <v>0</v>
      </c>
      <c r="F40" s="14">
        <v>0</v>
      </c>
      <c r="G40" s="14">
        <v>0</v>
      </c>
      <c r="H40" s="14">
        <v>0</v>
      </c>
    </row>
    <row r="41" spans="1:8" x14ac:dyDescent="0.25">
      <c r="A41" s="26" t="s">
        <v>48</v>
      </c>
      <c r="B41" s="13">
        <v>0</v>
      </c>
      <c r="C41" s="14">
        <v>0</v>
      </c>
      <c r="D41" s="14">
        <v>0</v>
      </c>
      <c r="E41" s="14">
        <v>0</v>
      </c>
      <c r="F41" s="14">
        <v>71777.570000000007</v>
      </c>
      <c r="G41" s="12">
        <v>0</v>
      </c>
      <c r="H41" s="14">
        <v>0</v>
      </c>
    </row>
    <row r="42" spans="1:8" x14ac:dyDescent="0.25">
      <c r="A42" s="15" t="s">
        <v>21</v>
      </c>
      <c r="B42" s="17">
        <f>SUM(B37:B41)</f>
        <v>436667.7</v>
      </c>
      <c r="C42" s="16">
        <f>SUM(C37:C41)</f>
        <v>159897.42000000001</v>
      </c>
      <c r="D42" s="16">
        <f t="shared" ref="D42:H42" si="5">SUM(D37:D41)</f>
        <v>235159.28</v>
      </c>
      <c r="E42" s="16">
        <f t="shared" si="5"/>
        <v>65923</v>
      </c>
      <c r="F42" s="16">
        <f t="shared" si="5"/>
        <v>341694.73000000004</v>
      </c>
      <c r="G42" s="16">
        <f>SUM(G37:G41)</f>
        <v>238299</v>
      </c>
      <c r="H42" s="16">
        <f t="shared" si="5"/>
        <v>353294.58999999997</v>
      </c>
    </row>
    <row r="43" spans="1:8" x14ac:dyDescent="0.25">
      <c r="A43" s="15" t="s">
        <v>22</v>
      </c>
      <c r="B43" s="13">
        <v>0</v>
      </c>
      <c r="C43" s="14">
        <v>-21632</v>
      </c>
      <c r="D43" s="34">
        <v>-4326</v>
      </c>
      <c r="E43" s="34">
        <v>0</v>
      </c>
      <c r="F43" s="34">
        <v>0</v>
      </c>
      <c r="G43" s="34">
        <v>0</v>
      </c>
      <c r="H43" s="34">
        <v>-30873</v>
      </c>
    </row>
    <row r="44" spans="1:8" x14ac:dyDescent="0.25">
      <c r="A44" s="15" t="s">
        <v>9</v>
      </c>
      <c r="B44" s="17">
        <f>B42+B43</f>
        <v>436667.7</v>
      </c>
      <c r="C44" s="17">
        <f t="shared" ref="C44:H44" si="6">C42+C43</f>
        <v>138265.42000000001</v>
      </c>
      <c r="D44" s="17">
        <f t="shared" si="6"/>
        <v>230833.28</v>
      </c>
      <c r="E44" s="17">
        <f t="shared" si="6"/>
        <v>65923</v>
      </c>
      <c r="F44" s="17">
        <f t="shared" si="6"/>
        <v>341694.73000000004</v>
      </c>
      <c r="G44" s="17">
        <f t="shared" si="6"/>
        <v>238299</v>
      </c>
      <c r="H44" s="17">
        <f t="shared" si="6"/>
        <v>322421.58999999997</v>
      </c>
    </row>
    <row r="45" spans="1:8" x14ac:dyDescent="0.25">
      <c r="A45" s="18" t="s">
        <v>23</v>
      </c>
      <c r="B45" s="20"/>
      <c r="C45" s="19"/>
      <c r="D45" s="19"/>
      <c r="E45" s="19"/>
      <c r="F45" s="19"/>
      <c r="G45" s="19"/>
      <c r="H45" s="19"/>
    </row>
    <row r="46" spans="1:8" x14ac:dyDescent="0.25">
      <c r="A46" s="6" t="s">
        <v>24</v>
      </c>
      <c r="B46" s="9">
        <v>117083.7</v>
      </c>
      <c r="C46" s="10">
        <v>16145</v>
      </c>
      <c r="D46" s="10">
        <v>0</v>
      </c>
      <c r="E46" s="10">
        <v>30311</v>
      </c>
      <c r="F46" s="10">
        <v>2875</v>
      </c>
      <c r="G46" s="10">
        <v>125654</v>
      </c>
      <c r="H46" s="10">
        <v>144196</v>
      </c>
    </row>
    <row r="47" spans="1:8" x14ac:dyDescent="0.25">
      <c r="A47" s="6" t="s">
        <v>25</v>
      </c>
      <c r="B47" s="11">
        <v>541413.5</v>
      </c>
      <c r="C47" s="12">
        <f>1970+9699+19</f>
        <v>11688</v>
      </c>
      <c r="D47" s="12">
        <v>112200</v>
      </c>
      <c r="E47" s="12">
        <v>371220</v>
      </c>
      <c r="F47" s="12">
        <v>490809</v>
      </c>
      <c r="G47" s="12">
        <f>578444.94-71690</f>
        <v>506754.93999999994</v>
      </c>
      <c r="H47" s="12">
        <v>250000</v>
      </c>
    </row>
    <row r="48" spans="1:8" x14ac:dyDescent="0.25">
      <c r="A48" s="6" t="s">
        <v>26</v>
      </c>
      <c r="B48" s="11">
        <v>15694.37</v>
      </c>
      <c r="C48" s="12">
        <v>172600</v>
      </c>
      <c r="D48" s="12">
        <v>0</v>
      </c>
      <c r="E48" s="12">
        <f>22044+53527</f>
        <v>75571</v>
      </c>
      <c r="F48" s="12">
        <v>31588</v>
      </c>
      <c r="G48" s="12">
        <f>52610.07</f>
        <v>52610.07</v>
      </c>
      <c r="H48" s="12">
        <v>61000</v>
      </c>
    </row>
    <row r="49" spans="1:8" x14ac:dyDescent="0.25">
      <c r="A49" s="26" t="s">
        <v>38</v>
      </c>
      <c r="B49" s="13">
        <v>57681.9</v>
      </c>
      <c r="C49" s="14">
        <v>17319.75</v>
      </c>
      <c r="D49" s="14">
        <v>161260.53</v>
      </c>
      <c r="E49" s="14">
        <v>21135.89</v>
      </c>
      <c r="F49" s="14">
        <v>0</v>
      </c>
      <c r="G49" s="14">
        <f>162024+10410.52</f>
        <v>172434.52</v>
      </c>
      <c r="H49" s="14">
        <v>20000</v>
      </c>
    </row>
    <row r="50" spans="1:8" x14ac:dyDescent="0.25">
      <c r="A50" s="26" t="s">
        <v>39</v>
      </c>
      <c r="B50" s="13">
        <v>19648.990000000002</v>
      </c>
      <c r="C50" s="14">
        <v>10123.34</v>
      </c>
      <c r="D50" s="14">
        <v>0</v>
      </c>
      <c r="E50" s="14">
        <v>31769</v>
      </c>
      <c r="F50" s="14">
        <v>0</v>
      </c>
      <c r="G50" s="14">
        <f>9253.16</f>
        <v>9253.16</v>
      </c>
      <c r="H50" s="14">
        <v>15000</v>
      </c>
    </row>
    <row r="51" spans="1:8" x14ac:dyDescent="0.25">
      <c r="A51" s="26" t="s">
        <v>40</v>
      </c>
      <c r="B51" s="13">
        <v>18972.990000000002</v>
      </c>
      <c r="C51" s="14">
        <v>0</v>
      </c>
      <c r="D51" s="14">
        <v>0</v>
      </c>
      <c r="E51" s="14">
        <v>0</v>
      </c>
      <c r="F51" s="14">
        <v>0</v>
      </c>
      <c r="G51" s="14">
        <v>0</v>
      </c>
      <c r="H51" s="14">
        <v>0</v>
      </c>
    </row>
    <row r="52" spans="1:8" x14ac:dyDescent="0.25">
      <c r="A52" s="15" t="s">
        <v>27</v>
      </c>
      <c r="B52" s="17">
        <f t="shared" ref="B52:H52" si="7">SUM(B46:B51)</f>
        <v>770495.45</v>
      </c>
      <c r="C52" s="16">
        <f t="shared" si="7"/>
        <v>227876.09</v>
      </c>
      <c r="D52" s="16">
        <f t="shared" si="7"/>
        <v>273460.53000000003</v>
      </c>
      <c r="E52" s="16">
        <f t="shared" si="7"/>
        <v>530006.89</v>
      </c>
      <c r="F52" s="16">
        <f t="shared" si="7"/>
        <v>525272</v>
      </c>
      <c r="G52" s="16">
        <f t="shared" si="7"/>
        <v>866706.69</v>
      </c>
      <c r="H52" s="16">
        <f t="shared" si="7"/>
        <v>490196</v>
      </c>
    </row>
    <row r="53" spans="1:8" x14ac:dyDescent="0.25">
      <c r="A53" s="15" t="s">
        <v>28</v>
      </c>
      <c r="B53" s="13"/>
      <c r="C53" s="14"/>
      <c r="D53" s="14"/>
      <c r="E53" s="14"/>
      <c r="F53" s="14"/>
      <c r="G53" s="14"/>
      <c r="H53" s="14"/>
    </row>
    <row r="54" spans="1:8" x14ac:dyDescent="0.25">
      <c r="A54" s="15" t="s">
        <v>9</v>
      </c>
      <c r="B54" s="16">
        <f t="shared" ref="B54:G54" si="8">B52+B53</f>
        <v>770495.45</v>
      </c>
      <c r="C54" s="16">
        <f t="shared" si="8"/>
        <v>227876.09</v>
      </c>
      <c r="D54" s="16">
        <f t="shared" si="8"/>
        <v>273460.53000000003</v>
      </c>
      <c r="E54" s="16">
        <f t="shared" si="8"/>
        <v>530006.89</v>
      </c>
      <c r="F54" s="16">
        <f t="shared" si="8"/>
        <v>525272</v>
      </c>
      <c r="G54" s="16">
        <f t="shared" si="8"/>
        <v>866706.69</v>
      </c>
      <c r="H54" s="16">
        <f>H52+H53</f>
        <v>490196</v>
      </c>
    </row>
    <row r="55" spans="1:8" x14ac:dyDescent="0.25">
      <c r="A55" s="26" t="s">
        <v>42</v>
      </c>
      <c r="B55" s="16">
        <v>49742</v>
      </c>
      <c r="C55" s="16">
        <v>0</v>
      </c>
      <c r="D55" s="16">
        <v>0</v>
      </c>
      <c r="E55" s="16">
        <v>0</v>
      </c>
      <c r="F55" s="16">
        <v>0</v>
      </c>
      <c r="G55" s="16"/>
      <c r="H55" s="16"/>
    </row>
    <row r="56" spans="1:8" x14ac:dyDescent="0.25">
      <c r="A56" s="26" t="s">
        <v>41</v>
      </c>
      <c r="B56" s="16">
        <v>128261.57</v>
      </c>
      <c r="C56" s="16">
        <v>131465.29999999999</v>
      </c>
      <c r="D56" s="16">
        <v>45604.65</v>
      </c>
      <c r="E56" s="16">
        <v>40686</v>
      </c>
      <c r="F56" s="16">
        <v>224498.91</v>
      </c>
      <c r="G56" s="16">
        <v>128919.89</v>
      </c>
      <c r="H56" s="16"/>
    </row>
    <row r="57" spans="1:8" ht="15.75" thickBot="1" x14ac:dyDescent="0.3">
      <c r="A57" s="18" t="s">
        <v>29</v>
      </c>
      <c r="B57" s="21"/>
      <c r="C57" s="12"/>
      <c r="D57" s="12"/>
      <c r="E57" s="12"/>
      <c r="F57" s="12"/>
      <c r="G57" s="12"/>
      <c r="H57" s="12"/>
    </row>
    <row r="58" spans="1:8" ht="16.5" thickTop="1" thickBot="1" x14ac:dyDescent="0.3">
      <c r="A58" s="22" t="s">
        <v>30</v>
      </c>
      <c r="B58" s="23">
        <f t="shared" ref="B58:H58" si="9">B19+B34+B44+B54+B55+B56</f>
        <v>5913457.620000001</v>
      </c>
      <c r="C58" s="23">
        <f t="shared" si="9"/>
        <v>4491599.4400000004</v>
      </c>
      <c r="D58" s="23">
        <f t="shared" si="9"/>
        <v>4640202.5000000009</v>
      </c>
      <c r="E58" s="23">
        <f t="shared" si="9"/>
        <v>4766650.9899999993</v>
      </c>
      <c r="F58" s="23">
        <f t="shared" si="9"/>
        <v>5836988.4700000007</v>
      </c>
      <c r="G58" s="23">
        <f>G19+G34+G44+G54+G55+G56</f>
        <v>6624315.3899999997</v>
      </c>
      <c r="H58" s="23">
        <f t="shared" si="9"/>
        <v>6738295.8300000001</v>
      </c>
    </row>
    <row r="59" spans="1:8" ht="39" thickBot="1" x14ac:dyDescent="0.3">
      <c r="A59" s="24" t="s">
        <v>31</v>
      </c>
      <c r="B59" s="21"/>
      <c r="C59" s="12"/>
      <c r="D59" s="12"/>
      <c r="E59" s="12"/>
      <c r="F59" s="12"/>
      <c r="G59" s="12"/>
      <c r="H59" s="12"/>
    </row>
    <row r="60" spans="1:8" ht="16.5" thickTop="1" thickBot="1" x14ac:dyDescent="0.3">
      <c r="A60" s="25" t="s">
        <v>30</v>
      </c>
      <c r="B60" s="28">
        <f t="shared" ref="B60:G60" si="10">SUM(B58:B59)</f>
        <v>5913457.620000001</v>
      </c>
      <c r="C60" s="28">
        <f t="shared" si="10"/>
        <v>4491599.4400000004</v>
      </c>
      <c r="D60" s="28">
        <f t="shared" si="10"/>
        <v>4640202.5000000009</v>
      </c>
      <c r="E60" s="28">
        <f t="shared" si="10"/>
        <v>4766650.9899999993</v>
      </c>
      <c r="F60" s="28">
        <f t="shared" si="10"/>
        <v>5836988.4700000007</v>
      </c>
      <c r="G60" s="28">
        <f t="shared" si="10"/>
        <v>6624315.3899999997</v>
      </c>
      <c r="H60" s="28">
        <f>SUM(H58:H59)</f>
        <v>6738295.8300000001</v>
      </c>
    </row>
    <row r="61" spans="1:8" ht="15.75" thickBot="1" x14ac:dyDescent="0.3"/>
    <row r="62" spans="1:8" ht="16.5" thickTop="1" thickBot="1" x14ac:dyDescent="0.3">
      <c r="B62" s="28">
        <f>'[1]2.6 Fixed Asset Cont Stmt'!$E$65</f>
        <v>5913457.4299999997</v>
      </c>
      <c r="C62" s="30">
        <f>'[1]2.6 Fixed Asset Cont Stmt'!$E$129</f>
        <v>4491599.3199999994</v>
      </c>
      <c r="D62" s="30">
        <v>4640203</v>
      </c>
      <c r="E62" s="30">
        <v>4766651</v>
      </c>
      <c r="F62" s="30">
        <v>5836988</v>
      </c>
      <c r="G62" s="30">
        <v>6624315</v>
      </c>
      <c r="H62" s="30">
        <v>6738296</v>
      </c>
    </row>
    <row r="63" spans="1:8" ht="15.75" thickBot="1" x14ac:dyDescent="0.3"/>
    <row r="64" spans="1:8" ht="16.5" thickTop="1" thickBot="1" x14ac:dyDescent="0.3">
      <c r="B64" s="28">
        <f t="shared" ref="B64:H64" si="11">B62-B60</f>
        <v>-0.19000000134110451</v>
      </c>
      <c r="C64" s="29">
        <f t="shared" si="11"/>
        <v>-0.12000000104308128</v>
      </c>
      <c r="D64" s="29">
        <f t="shared" si="11"/>
        <v>0.49999999906867743</v>
      </c>
      <c r="E64" s="29">
        <f t="shared" si="11"/>
        <v>1.0000000707805157E-2</v>
      </c>
      <c r="F64" s="29">
        <f t="shared" si="11"/>
        <v>-0.47000000067055225</v>
      </c>
      <c r="G64" s="29">
        <f t="shared" si="11"/>
        <v>-0.38999999966472387</v>
      </c>
      <c r="H64" s="29">
        <f t="shared" si="11"/>
        <v>0.16999999992549419</v>
      </c>
    </row>
    <row r="65" spans="1:5" x14ac:dyDescent="0.25">
      <c r="E65" s="33"/>
    </row>
    <row r="66" spans="1:5" x14ac:dyDescent="0.25">
      <c r="A66" t="s">
        <v>58</v>
      </c>
    </row>
    <row r="68" spans="1:5" x14ac:dyDescent="0.25">
      <c r="A68" t="s">
        <v>52</v>
      </c>
      <c r="B68" s="30">
        <v>24428</v>
      </c>
    </row>
    <row r="69" spans="1:5" x14ac:dyDescent="0.25">
      <c r="A69" t="s">
        <v>53</v>
      </c>
      <c r="B69" s="30">
        <v>48103</v>
      </c>
    </row>
    <row r="70" spans="1:5" x14ac:dyDescent="0.25">
      <c r="A70" t="s">
        <v>54</v>
      </c>
      <c r="B70" s="30">
        <v>6041</v>
      </c>
    </row>
    <row r="71" spans="1:5" x14ac:dyDescent="0.25">
      <c r="A71" t="s">
        <v>55</v>
      </c>
      <c r="B71" s="30">
        <v>7373</v>
      </c>
    </row>
    <row r="72" spans="1:5" x14ac:dyDescent="0.25">
      <c r="A72" t="s">
        <v>56</v>
      </c>
      <c r="B72" s="30">
        <v>7283</v>
      </c>
    </row>
    <row r="73" spans="1:5" x14ac:dyDescent="0.25">
      <c r="A73" t="s">
        <v>57</v>
      </c>
      <c r="B73" s="39">
        <v>1269981</v>
      </c>
    </row>
    <row r="74" spans="1:5" x14ac:dyDescent="0.25">
      <c r="A74" s="40" t="s">
        <v>30</v>
      </c>
      <c r="B74" s="41">
        <f>SUM(B68:B73)</f>
        <v>1363209</v>
      </c>
    </row>
    <row r="75" spans="1:5" x14ac:dyDescent="0.25">
      <c r="B75" s="30"/>
    </row>
    <row r="76" spans="1:5" x14ac:dyDescent="0.25">
      <c r="A76" t="s">
        <v>51</v>
      </c>
      <c r="B76" s="30"/>
    </row>
    <row r="77" spans="1:5" x14ac:dyDescent="0.25">
      <c r="A77" s="43">
        <v>1820</v>
      </c>
      <c r="B77" s="30">
        <v>1265236</v>
      </c>
    </row>
    <row r="78" spans="1:5" x14ac:dyDescent="0.25">
      <c r="A78" s="43">
        <v>1830</v>
      </c>
      <c r="B78" s="30">
        <v>40181</v>
      </c>
    </row>
    <row r="79" spans="1:5" x14ac:dyDescent="0.25">
      <c r="A79" s="43">
        <v>1835</v>
      </c>
      <c r="B79">
        <v>33283</v>
      </c>
    </row>
    <row r="80" spans="1:5" x14ac:dyDescent="0.25">
      <c r="A80" s="43">
        <v>1840</v>
      </c>
      <c r="B80" s="30">
        <v>300</v>
      </c>
    </row>
    <row r="81" spans="1:2" x14ac:dyDescent="0.25">
      <c r="A81" s="43">
        <v>1845</v>
      </c>
      <c r="B81" s="30">
        <v>4123</v>
      </c>
    </row>
    <row r="82" spans="1:2" x14ac:dyDescent="0.25">
      <c r="A82" s="43">
        <v>1850</v>
      </c>
      <c r="B82" s="30">
        <v>6064</v>
      </c>
    </row>
    <row r="83" spans="1:2" x14ac:dyDescent="0.25">
      <c r="A83" s="43">
        <v>1855</v>
      </c>
      <c r="B83" s="30">
        <v>2141</v>
      </c>
    </row>
    <row r="84" spans="1:2" x14ac:dyDescent="0.25">
      <c r="A84" s="43">
        <v>1860</v>
      </c>
      <c r="B84" s="39">
        <v>11881</v>
      </c>
    </row>
    <row r="85" spans="1:2" x14ac:dyDescent="0.25">
      <c r="A85" s="40" t="s">
        <v>30</v>
      </c>
      <c r="B85" s="42">
        <f>SUM(B77:B84)</f>
        <v>1363209</v>
      </c>
    </row>
  </sheetData>
  <dataValidations count="1">
    <dataValidation type="list" allowBlank="1" showInputMessage="1" showErrorMessage="1" sqref="B7:H7" xr:uid="{5AF88D07-D556-4260-AB90-D4910C1C156A}">
      <formula1>"CGAAP, MIFRS, 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BEB04-DEF8-47C4-B8F8-59B5D3677E10}">
  <dimension ref="A1:U40"/>
  <sheetViews>
    <sheetView showGridLines="0" tabSelected="1" workbookViewId="0">
      <selection activeCell="A9" sqref="A9:U9"/>
    </sheetView>
  </sheetViews>
  <sheetFormatPr defaultColWidth="9.140625" defaultRowHeight="12.75" x14ac:dyDescent="0.2"/>
  <cols>
    <col min="1" max="1" width="36" style="45" bestFit="1" customWidth="1"/>
    <col min="2" max="21" width="13.7109375" style="45" customWidth="1"/>
    <col min="22" max="16384" width="9.140625" style="45"/>
  </cols>
  <sheetData>
    <row r="1" spans="1:21" x14ac:dyDescent="0.2">
      <c r="A1" s="44"/>
      <c r="B1" s="44"/>
      <c r="S1" s="46"/>
      <c r="T1" s="46"/>
      <c r="U1" s="46"/>
    </row>
    <row r="2" spans="1:21" x14ac:dyDescent="0.2">
      <c r="S2" s="46"/>
      <c r="T2" s="46"/>
      <c r="U2" s="46"/>
    </row>
    <row r="3" spans="1:21" x14ac:dyDescent="0.2">
      <c r="S3" s="46"/>
      <c r="T3" s="46"/>
      <c r="U3" s="46"/>
    </row>
    <row r="4" spans="1:21" x14ac:dyDescent="0.2">
      <c r="S4" s="46"/>
      <c r="T4" s="46"/>
      <c r="U4" s="46"/>
    </row>
    <row r="5" spans="1:21" x14ac:dyDescent="0.2">
      <c r="S5" s="46"/>
      <c r="T5" s="46"/>
      <c r="U5" s="46"/>
    </row>
    <row r="6" spans="1:21" x14ac:dyDescent="0.2">
      <c r="S6" s="46"/>
      <c r="T6" s="46"/>
      <c r="U6" s="46"/>
    </row>
    <row r="7" spans="1:21" x14ac:dyDescent="0.2">
      <c r="S7" s="46"/>
      <c r="T7" s="46"/>
      <c r="U7" s="46"/>
    </row>
    <row r="8" spans="1:21" x14ac:dyDescent="0.2">
      <c r="S8" s="46"/>
      <c r="T8" s="46"/>
      <c r="U8" s="46"/>
    </row>
    <row r="9" spans="1:21" ht="18" x14ac:dyDescent="0.2">
      <c r="A9" s="47" t="s">
        <v>59</v>
      </c>
      <c r="B9" s="47"/>
      <c r="C9" s="47"/>
      <c r="D9" s="47"/>
      <c r="E9" s="47"/>
      <c r="F9" s="47"/>
      <c r="G9" s="47"/>
      <c r="H9" s="47"/>
      <c r="I9" s="47"/>
      <c r="J9" s="47"/>
      <c r="K9" s="47"/>
      <c r="L9" s="47"/>
      <c r="M9" s="47"/>
      <c r="N9" s="47"/>
      <c r="O9" s="47"/>
      <c r="P9" s="47"/>
      <c r="Q9" s="47"/>
      <c r="R9" s="47"/>
      <c r="S9" s="47"/>
      <c r="T9" s="47"/>
      <c r="U9" s="47"/>
    </row>
    <row r="10" spans="1:21" ht="18" x14ac:dyDescent="0.2">
      <c r="A10" s="48" t="s">
        <v>60</v>
      </c>
      <c r="B10" s="48"/>
      <c r="C10" s="48"/>
      <c r="D10" s="48"/>
      <c r="E10" s="48"/>
      <c r="F10" s="48"/>
      <c r="G10" s="48"/>
      <c r="H10" s="48"/>
      <c r="I10" s="48"/>
      <c r="J10" s="48"/>
      <c r="K10" s="48"/>
      <c r="L10" s="48"/>
      <c r="M10" s="48"/>
      <c r="N10" s="48"/>
      <c r="O10" s="48"/>
      <c r="P10" s="48"/>
      <c r="Q10" s="48"/>
      <c r="R10" s="48"/>
      <c r="S10" s="48"/>
      <c r="T10" s="48"/>
      <c r="U10" s="48"/>
    </row>
    <row r="12" spans="1:21" ht="15.75" x14ac:dyDescent="0.2">
      <c r="A12" s="49" t="s">
        <v>61</v>
      </c>
      <c r="B12" s="50">
        <v>2023</v>
      </c>
    </row>
    <row r="13" spans="1:21" x14ac:dyDescent="0.2">
      <c r="A13" s="51" t="s">
        <v>62</v>
      </c>
      <c r="B13" s="52" t="s">
        <v>63</v>
      </c>
      <c r="C13" s="52"/>
      <c r="D13" s="52"/>
      <c r="E13" s="52"/>
      <c r="F13" s="52"/>
      <c r="G13" s="52"/>
      <c r="H13" s="52"/>
      <c r="I13" s="52"/>
      <c r="J13" s="52"/>
      <c r="K13" s="52"/>
      <c r="L13" s="52"/>
      <c r="M13" s="52"/>
      <c r="N13" s="52"/>
      <c r="O13" s="52"/>
      <c r="P13" s="52"/>
      <c r="Q13" s="52" t="s">
        <v>64</v>
      </c>
      <c r="R13" s="52"/>
      <c r="S13" s="52"/>
      <c r="T13" s="52"/>
      <c r="U13" s="52"/>
    </row>
    <row r="14" spans="1:21" x14ac:dyDescent="0.2">
      <c r="A14" s="51"/>
      <c r="B14" s="52">
        <f t="shared" ref="B14" si="0">E14-1</f>
        <v>2018</v>
      </c>
      <c r="C14" s="52"/>
      <c r="D14" s="52"/>
      <c r="E14" s="52">
        <f t="shared" ref="E14" si="1">H14-1</f>
        <v>2019</v>
      </c>
      <c r="F14" s="52"/>
      <c r="G14" s="52"/>
      <c r="H14" s="52">
        <f t="shared" ref="H14" si="2">K14-1</f>
        <v>2020</v>
      </c>
      <c r="I14" s="52"/>
      <c r="J14" s="52"/>
      <c r="K14" s="52">
        <f>N14-1</f>
        <v>2021</v>
      </c>
      <c r="L14" s="52"/>
      <c r="M14" s="52"/>
      <c r="N14" s="52">
        <f>Q14-1</f>
        <v>2022</v>
      </c>
      <c r="O14" s="52"/>
      <c r="P14" s="52"/>
      <c r="Q14" s="53">
        <f>B12</f>
        <v>2023</v>
      </c>
      <c r="R14" s="53">
        <f>Q14+1</f>
        <v>2024</v>
      </c>
      <c r="S14" s="53">
        <f t="shared" ref="S14:U14" si="3">R14+1</f>
        <v>2025</v>
      </c>
      <c r="T14" s="53">
        <f t="shared" si="3"/>
        <v>2026</v>
      </c>
      <c r="U14" s="53">
        <f t="shared" si="3"/>
        <v>2027</v>
      </c>
    </row>
    <row r="15" spans="1:21" ht="14.25" x14ac:dyDescent="0.2">
      <c r="A15" s="51"/>
      <c r="B15" s="54" t="s">
        <v>65</v>
      </c>
      <c r="C15" s="54" t="s">
        <v>66</v>
      </c>
      <c r="D15" s="54" t="s">
        <v>67</v>
      </c>
      <c r="E15" s="54" t="s">
        <v>65</v>
      </c>
      <c r="F15" s="54" t="s">
        <v>66</v>
      </c>
      <c r="G15" s="54" t="s">
        <v>67</v>
      </c>
      <c r="H15" s="54" t="s">
        <v>65</v>
      </c>
      <c r="I15" s="54" t="s">
        <v>66</v>
      </c>
      <c r="J15" s="54" t="s">
        <v>67</v>
      </c>
      <c r="K15" s="54" t="s">
        <v>65</v>
      </c>
      <c r="L15" s="54" t="s">
        <v>66</v>
      </c>
      <c r="M15" s="54" t="s">
        <v>67</v>
      </c>
      <c r="N15" s="54" t="s">
        <v>65</v>
      </c>
      <c r="O15" s="54" t="s">
        <v>68</v>
      </c>
      <c r="P15" s="54" t="s">
        <v>67</v>
      </c>
      <c r="Q15" s="53"/>
      <c r="R15" s="53"/>
      <c r="S15" s="53"/>
      <c r="T15" s="53"/>
      <c r="U15" s="53"/>
    </row>
    <row r="16" spans="1:21" x14ac:dyDescent="0.2">
      <c r="A16" s="51"/>
      <c r="B16" s="55" t="s">
        <v>69</v>
      </c>
      <c r="C16" s="55"/>
      <c r="D16" s="56" t="s">
        <v>70</v>
      </c>
      <c r="E16" s="55" t="s">
        <v>69</v>
      </c>
      <c r="F16" s="55"/>
      <c r="G16" s="56" t="s">
        <v>70</v>
      </c>
      <c r="H16" s="55" t="s">
        <v>69</v>
      </c>
      <c r="I16" s="55"/>
      <c r="J16" s="56" t="s">
        <v>70</v>
      </c>
      <c r="K16" s="55" t="s">
        <v>69</v>
      </c>
      <c r="L16" s="55"/>
      <c r="M16" s="56" t="s">
        <v>70</v>
      </c>
      <c r="N16" s="55" t="s">
        <v>69</v>
      </c>
      <c r="O16" s="55"/>
      <c r="P16" s="56" t="s">
        <v>70</v>
      </c>
      <c r="Q16" s="55" t="s">
        <v>69</v>
      </c>
      <c r="R16" s="55"/>
      <c r="S16" s="55"/>
      <c r="T16" s="55"/>
      <c r="U16" s="55"/>
    </row>
    <row r="17" spans="1:21" ht="15.75" x14ac:dyDescent="0.25">
      <c r="A17" s="57" t="s">
        <v>71</v>
      </c>
      <c r="B17" s="58">
        <v>3231509</v>
      </c>
      <c r="C17" s="59">
        <v>1643000</v>
      </c>
      <c r="D17" s="60">
        <f>IF(ISERROR((C17-B17)/B17),"--",(C17-B17)/B17)</f>
        <v>-0.49156879959176969</v>
      </c>
      <c r="E17" s="58">
        <v>2963562</v>
      </c>
      <c r="F17" s="59">
        <v>1356000</v>
      </c>
      <c r="G17" s="60">
        <f>IF(ISERROR((F17-E17)/E17),"--",(F17-E17)/E17)</f>
        <v>-0.54244250668621075</v>
      </c>
      <c r="H17" s="58">
        <v>3158679</v>
      </c>
      <c r="I17" s="59">
        <v>1528000</v>
      </c>
      <c r="J17" s="60">
        <f>IF(ISERROR((I17-H17)/H17),"--",(I17-H17)/H17)</f>
        <v>-0.51625347178361591</v>
      </c>
      <c r="K17" s="58">
        <v>3449520</v>
      </c>
      <c r="L17" s="59">
        <v>1588000</v>
      </c>
      <c r="M17" s="60">
        <f>IF(ISERROR((L17-K17)/K17),"--",(L17-K17)/K17)</f>
        <v>-0.5396460956886755</v>
      </c>
      <c r="N17" s="58">
        <v>3466927</v>
      </c>
      <c r="O17" s="59">
        <f>'[1]2.3 System Access'!H56</f>
        <v>0</v>
      </c>
      <c r="P17" s="60">
        <f>IF(ISERROR((O17-N17)/N17),"--",(O17-N17)/N17)</f>
        <v>-1</v>
      </c>
      <c r="Q17" s="61">
        <v>2052579</v>
      </c>
      <c r="R17" s="61">
        <v>1793662</v>
      </c>
      <c r="S17" s="61"/>
      <c r="T17" s="61"/>
      <c r="U17" s="61"/>
    </row>
    <row r="18" spans="1:21" ht="15.75" x14ac:dyDescent="0.25">
      <c r="A18" s="57" t="s">
        <v>10</v>
      </c>
      <c r="B18" s="58">
        <v>382000</v>
      </c>
      <c r="C18" s="59">
        <v>3158000</v>
      </c>
      <c r="D18" s="60">
        <f t="shared" ref="D18:D23" si="4">IF(ISERROR((C18-B18)/B18),"--",(C18-B18)/B18)</f>
        <v>7.2670157068062826</v>
      </c>
      <c r="E18" s="58">
        <v>66750</v>
      </c>
      <c r="F18" s="59">
        <v>3051000</v>
      </c>
      <c r="G18" s="60">
        <f t="shared" ref="G18:G23" si="5">IF(ISERROR((F18-E18)/E18),"--",(F18-E18)/E18)</f>
        <v>44.707865168539328</v>
      </c>
      <c r="H18" s="58">
        <v>69690</v>
      </c>
      <c r="I18" s="59">
        <v>2897000</v>
      </c>
      <c r="J18" s="60">
        <f t="shared" ref="J18:J23" si="6">IF(ISERROR((I18-H18)/H18),"--",(I18-H18)/H18)</f>
        <v>40.569809154828526</v>
      </c>
      <c r="K18" s="58">
        <v>69690</v>
      </c>
      <c r="L18" s="59">
        <v>3125000</v>
      </c>
      <c r="M18" s="60">
        <f t="shared" ref="M18:M23" si="7">IF(ISERROR((L18-K18)/K18),"--",(L18-K18)/K18)</f>
        <v>43.841440665805713</v>
      </c>
      <c r="N18" s="58">
        <v>69690</v>
      </c>
      <c r="O18" s="59">
        <f>'[1]2.3 System Renewal'!H55</f>
        <v>0</v>
      </c>
      <c r="P18" s="60">
        <f t="shared" ref="P18:P23" si="8">IF(ISERROR((O18-N18)/N18),"--",(O18-N18)/N18)</f>
        <v>-1</v>
      </c>
      <c r="Q18" s="61">
        <v>4569757</v>
      </c>
      <c r="R18" s="61">
        <v>4982283</v>
      </c>
      <c r="S18" s="61"/>
      <c r="T18" s="61"/>
      <c r="U18" s="61"/>
    </row>
    <row r="19" spans="1:21" ht="15.75" x14ac:dyDescent="0.25">
      <c r="A19" s="57" t="s">
        <v>19</v>
      </c>
      <c r="B19" s="58">
        <v>642734</v>
      </c>
      <c r="C19" s="59">
        <v>437000</v>
      </c>
      <c r="D19" s="60">
        <f t="shared" si="4"/>
        <v>-0.32009198206411982</v>
      </c>
      <c r="E19" s="58">
        <v>664635</v>
      </c>
      <c r="F19" s="59">
        <v>203000</v>
      </c>
      <c r="G19" s="60">
        <f t="shared" si="5"/>
        <v>-0.69456919963589037</v>
      </c>
      <c r="H19" s="58">
        <v>671006</v>
      </c>
      <c r="I19" s="59">
        <v>206000</v>
      </c>
      <c r="J19" s="60">
        <f t="shared" si="6"/>
        <v>-0.6929982742330173</v>
      </c>
      <c r="K19" s="58">
        <v>677481</v>
      </c>
      <c r="L19" s="59">
        <v>14000</v>
      </c>
      <c r="M19" s="60">
        <f t="shared" si="7"/>
        <v>-0.9793352138288749</v>
      </c>
      <c r="N19" s="58">
        <v>686893</v>
      </c>
      <c r="O19" s="59">
        <f>'[1]2.3 System Service'!H56</f>
        <v>0</v>
      </c>
      <c r="P19" s="60">
        <f t="shared" si="8"/>
        <v>-1</v>
      </c>
      <c r="Q19" s="61">
        <f>238299+128920</f>
        <v>367219</v>
      </c>
      <c r="R19" s="61">
        <v>322422</v>
      </c>
      <c r="S19" s="61"/>
      <c r="T19" s="61"/>
      <c r="U19" s="61"/>
    </row>
    <row r="20" spans="1:21" ht="15.75" x14ac:dyDescent="0.25">
      <c r="A20" s="57" t="s">
        <v>23</v>
      </c>
      <c r="B20" s="58">
        <v>635000</v>
      </c>
      <c r="C20" s="59">
        <v>948</v>
      </c>
      <c r="D20" s="60">
        <f t="shared" si="4"/>
        <v>-0.9985070866141732</v>
      </c>
      <c r="E20" s="58">
        <v>350000</v>
      </c>
      <c r="F20" s="59">
        <v>350000</v>
      </c>
      <c r="G20" s="60">
        <f t="shared" si="5"/>
        <v>0</v>
      </c>
      <c r="H20" s="58">
        <v>590000</v>
      </c>
      <c r="I20" s="59">
        <v>425000</v>
      </c>
      <c r="J20" s="60">
        <f t="shared" si="6"/>
        <v>-0.27966101694915252</v>
      </c>
      <c r="K20" s="58">
        <v>95000</v>
      </c>
      <c r="L20" s="59">
        <v>476000</v>
      </c>
      <c r="M20" s="60">
        <f t="shared" si="7"/>
        <v>4.0105263157894733</v>
      </c>
      <c r="N20" s="58">
        <v>570000</v>
      </c>
      <c r="O20" s="59">
        <f>'[1]2.3 General Plan '!H56</f>
        <v>0</v>
      </c>
      <c r="P20" s="60">
        <f t="shared" si="8"/>
        <v>-1</v>
      </c>
      <c r="Q20" s="61">
        <v>866707</v>
      </c>
      <c r="R20" s="61">
        <v>490196</v>
      </c>
      <c r="S20" s="61"/>
      <c r="T20" s="61"/>
      <c r="U20" s="61"/>
    </row>
    <row r="21" spans="1:21" ht="16.5" thickBot="1" x14ac:dyDescent="0.3">
      <c r="A21" s="57" t="s">
        <v>72</v>
      </c>
      <c r="B21" s="62">
        <v>0</v>
      </c>
      <c r="C21" s="59"/>
      <c r="D21" s="60"/>
      <c r="E21" s="62">
        <v>0</v>
      </c>
      <c r="F21" s="59"/>
      <c r="G21" s="60"/>
      <c r="H21" s="62">
        <v>0</v>
      </c>
      <c r="I21" s="59"/>
      <c r="J21" s="60"/>
      <c r="K21" s="62">
        <v>0</v>
      </c>
      <c r="L21" s="59"/>
      <c r="M21" s="60"/>
      <c r="N21" s="62">
        <v>0</v>
      </c>
      <c r="O21" s="59"/>
      <c r="P21" s="60"/>
      <c r="Q21" s="61">
        <v>-1231946</v>
      </c>
      <c r="R21" s="61">
        <v>-850267</v>
      </c>
      <c r="S21" s="61"/>
      <c r="T21" s="61"/>
      <c r="U21" s="61"/>
    </row>
    <row r="22" spans="1:21" ht="16.5" thickTop="1" x14ac:dyDescent="0.2">
      <c r="A22" s="57" t="s">
        <v>73</v>
      </c>
      <c r="B22" s="59">
        <f>SUM(B17:B20)</f>
        <v>4891243</v>
      </c>
      <c r="C22" s="59">
        <f t="shared" ref="C22:T22" si="9">SUM(C17:C20)</f>
        <v>5238948</v>
      </c>
      <c r="D22" s="60">
        <f t="shared" si="4"/>
        <v>7.1087247147606447E-2</v>
      </c>
      <c r="E22" s="59">
        <f t="shared" si="9"/>
        <v>4044947</v>
      </c>
      <c r="F22" s="59">
        <f t="shared" si="9"/>
        <v>4960000</v>
      </c>
      <c r="G22" s="60">
        <f t="shared" si="5"/>
        <v>0.2262212582760664</v>
      </c>
      <c r="H22" s="59">
        <f t="shared" si="9"/>
        <v>4489375</v>
      </c>
      <c r="I22" s="59">
        <f t="shared" si="9"/>
        <v>5056000</v>
      </c>
      <c r="J22" s="60">
        <f t="shared" si="6"/>
        <v>0.12621467353473478</v>
      </c>
      <c r="K22" s="59">
        <f t="shared" si="9"/>
        <v>4291691</v>
      </c>
      <c r="L22" s="59">
        <f t="shared" si="9"/>
        <v>5203000</v>
      </c>
      <c r="M22" s="60">
        <f t="shared" si="7"/>
        <v>0.21234264069803721</v>
      </c>
      <c r="N22" s="59">
        <f t="shared" si="9"/>
        <v>4793510</v>
      </c>
      <c r="O22" s="59">
        <f t="shared" si="9"/>
        <v>0</v>
      </c>
      <c r="P22" s="60">
        <f t="shared" si="8"/>
        <v>-1</v>
      </c>
      <c r="Q22" s="59">
        <f>SUM(Q17:Q21)</f>
        <v>6624316</v>
      </c>
      <c r="R22" s="59">
        <f>SUM(R17:R21)</f>
        <v>6738296</v>
      </c>
      <c r="S22" s="59">
        <f t="shared" si="9"/>
        <v>0</v>
      </c>
      <c r="T22" s="59">
        <f t="shared" si="9"/>
        <v>0</v>
      </c>
      <c r="U22" s="59">
        <f>SUM(U17:U20)</f>
        <v>0</v>
      </c>
    </row>
    <row r="23" spans="1:21" ht="15.75" x14ac:dyDescent="0.2">
      <c r="A23" s="57" t="s">
        <v>74</v>
      </c>
      <c r="B23" s="63"/>
      <c r="C23" s="63"/>
      <c r="D23" s="60" t="str">
        <f t="shared" si="4"/>
        <v>--</v>
      </c>
      <c r="E23" s="63"/>
      <c r="F23" s="63"/>
      <c r="G23" s="60" t="str">
        <f t="shared" si="5"/>
        <v>--</v>
      </c>
      <c r="H23" s="63"/>
      <c r="I23" s="63"/>
      <c r="J23" s="60" t="str">
        <f t="shared" si="6"/>
        <v>--</v>
      </c>
      <c r="K23" s="63"/>
      <c r="L23" s="63"/>
      <c r="M23" s="60" t="str">
        <f t="shared" si="7"/>
        <v>--</v>
      </c>
      <c r="N23" s="63"/>
      <c r="O23" s="63"/>
      <c r="P23" s="60" t="str">
        <f t="shared" si="8"/>
        <v>--</v>
      </c>
      <c r="Q23" s="63"/>
      <c r="R23" s="63"/>
      <c r="S23" s="63"/>
      <c r="T23" s="63"/>
      <c r="U23" s="63"/>
    </row>
    <row r="24" spans="1:21" ht="13.5" thickBot="1" x14ac:dyDescent="0.25"/>
    <row r="25" spans="1:21" ht="13.5" thickBot="1" x14ac:dyDescent="0.25">
      <c r="A25" s="64" t="s">
        <v>75</v>
      </c>
      <c r="B25" s="65"/>
      <c r="C25" s="66">
        <v>5641528.290000001</v>
      </c>
      <c r="D25" s="65"/>
      <c r="E25" s="65"/>
      <c r="F25" s="66">
        <v>4481881.7199999988</v>
      </c>
      <c r="G25" s="65"/>
      <c r="H25" s="65"/>
      <c r="I25" s="66">
        <v>4630628.2299999995</v>
      </c>
      <c r="J25" s="65"/>
      <c r="K25" s="65"/>
      <c r="L25" s="66">
        <v>4777951.79</v>
      </c>
      <c r="M25" s="65"/>
      <c r="N25" s="65"/>
      <c r="O25" s="66">
        <v>5879973.0000000009</v>
      </c>
      <c r="P25" s="65"/>
      <c r="Q25" s="66">
        <v>6624316</v>
      </c>
      <c r="R25" s="66">
        <v>6738296</v>
      </c>
      <c r="S25" s="65"/>
      <c r="T25" s="65"/>
      <c r="U25" s="67"/>
    </row>
    <row r="27" spans="1:21" ht="15" x14ac:dyDescent="0.25">
      <c r="A27" s="68" t="s">
        <v>76</v>
      </c>
    </row>
    <row r="28" spans="1:21" ht="13.5" thickBot="1" x14ac:dyDescent="0.25">
      <c r="A28" s="69" t="s">
        <v>77</v>
      </c>
      <c r="B28" s="69"/>
      <c r="C28" s="69"/>
      <c r="D28" s="69"/>
      <c r="E28" s="69"/>
      <c r="F28" s="69"/>
      <c r="G28" s="69"/>
      <c r="H28" s="69"/>
      <c r="I28" s="69"/>
      <c r="J28" s="69"/>
      <c r="K28" s="69"/>
      <c r="L28" s="69"/>
      <c r="M28" s="69"/>
      <c r="N28" s="69"/>
      <c r="O28" s="69"/>
      <c r="P28" s="69"/>
      <c r="Q28" s="69"/>
      <c r="R28" s="69"/>
      <c r="S28" s="69"/>
      <c r="T28" s="69"/>
      <c r="U28" s="69"/>
    </row>
    <row r="29" spans="1:21" ht="13.5" thickBot="1" x14ac:dyDescent="0.25">
      <c r="A29" s="70" t="s">
        <v>78</v>
      </c>
      <c r="B29" s="70"/>
      <c r="C29" s="70"/>
      <c r="D29" s="70"/>
      <c r="E29" s="70"/>
      <c r="F29" s="70"/>
      <c r="G29" s="70"/>
      <c r="H29" s="70"/>
      <c r="J29" s="71"/>
    </row>
    <row r="31" spans="1:21" ht="18.75" x14ac:dyDescent="0.3">
      <c r="A31" s="72" t="s">
        <v>79</v>
      </c>
      <c r="B31" s="73"/>
      <c r="C31" s="73"/>
      <c r="D31" s="73"/>
      <c r="E31" s="73"/>
      <c r="F31" s="73"/>
      <c r="G31" s="73"/>
      <c r="H31" s="73"/>
      <c r="I31" s="73"/>
      <c r="J31" s="73"/>
      <c r="K31" s="73"/>
      <c r="L31" s="73"/>
      <c r="M31" s="73"/>
      <c r="N31" s="73"/>
      <c r="O31" s="73"/>
      <c r="P31" s="73"/>
      <c r="Q31" s="73"/>
      <c r="R31" s="73"/>
      <c r="S31" s="73"/>
      <c r="T31" s="73"/>
      <c r="U31" s="74"/>
    </row>
    <row r="32" spans="1:21" ht="15" x14ac:dyDescent="0.25">
      <c r="A32" s="75" t="s">
        <v>80</v>
      </c>
      <c r="B32" s="76"/>
      <c r="C32" s="76"/>
      <c r="D32" s="76"/>
      <c r="E32" s="76"/>
      <c r="F32" s="76"/>
      <c r="G32" s="76"/>
      <c r="H32" s="76"/>
      <c r="I32" s="76"/>
      <c r="J32" s="76"/>
      <c r="K32" s="76"/>
      <c r="L32" s="76"/>
      <c r="M32" s="76"/>
      <c r="N32" s="76"/>
      <c r="O32" s="76"/>
      <c r="P32" s="76"/>
      <c r="Q32" s="76"/>
      <c r="R32" s="76"/>
      <c r="S32" s="76"/>
      <c r="T32" s="76"/>
      <c r="U32" s="77"/>
    </row>
    <row r="33" spans="1:21" x14ac:dyDescent="0.2">
      <c r="A33" s="78"/>
      <c r="B33" s="79"/>
      <c r="C33" s="79"/>
      <c r="D33" s="79"/>
      <c r="E33" s="79"/>
      <c r="F33" s="79"/>
      <c r="G33" s="79"/>
      <c r="H33" s="79"/>
      <c r="I33" s="79"/>
      <c r="J33" s="79"/>
      <c r="K33" s="79"/>
      <c r="L33" s="79"/>
      <c r="M33" s="79"/>
      <c r="N33" s="79"/>
      <c r="O33" s="79"/>
      <c r="P33" s="79"/>
      <c r="Q33" s="79"/>
      <c r="R33" s="79"/>
      <c r="S33" s="79"/>
      <c r="T33" s="79"/>
      <c r="U33" s="80"/>
    </row>
    <row r="34" spans="1:21" x14ac:dyDescent="0.2">
      <c r="A34" s="81"/>
      <c r="B34" s="82"/>
      <c r="C34" s="82"/>
      <c r="D34" s="82"/>
      <c r="E34" s="82"/>
      <c r="F34" s="82"/>
      <c r="G34" s="82"/>
      <c r="H34" s="82"/>
      <c r="I34" s="82"/>
      <c r="J34" s="82"/>
      <c r="K34" s="82"/>
      <c r="L34" s="82"/>
      <c r="M34" s="82"/>
      <c r="N34" s="82"/>
      <c r="O34" s="82"/>
      <c r="P34" s="82"/>
      <c r="Q34" s="82"/>
      <c r="R34" s="82"/>
      <c r="S34" s="82"/>
      <c r="T34" s="82"/>
      <c r="U34" s="83"/>
    </row>
    <row r="35" spans="1:21" ht="15" x14ac:dyDescent="0.25">
      <c r="A35" s="75" t="s">
        <v>81</v>
      </c>
      <c r="B35" s="76"/>
      <c r="C35" s="76"/>
      <c r="D35" s="76"/>
      <c r="E35" s="76"/>
      <c r="F35" s="76"/>
      <c r="G35" s="76"/>
      <c r="H35" s="76"/>
      <c r="I35" s="76"/>
      <c r="J35" s="76"/>
      <c r="K35" s="76"/>
      <c r="L35" s="76"/>
      <c r="M35" s="76"/>
      <c r="N35" s="76"/>
      <c r="O35" s="76"/>
      <c r="P35" s="76"/>
      <c r="Q35" s="76"/>
      <c r="R35" s="76"/>
      <c r="S35" s="76"/>
      <c r="T35" s="76"/>
      <c r="U35" s="77"/>
    </row>
    <row r="36" spans="1:21" x14ac:dyDescent="0.2">
      <c r="A36" s="78"/>
      <c r="B36" s="79"/>
      <c r="C36" s="79"/>
      <c r="D36" s="79"/>
      <c r="E36" s="79"/>
      <c r="F36" s="79"/>
      <c r="G36" s="79"/>
      <c r="H36" s="79"/>
      <c r="I36" s="79"/>
      <c r="J36" s="79"/>
      <c r="K36" s="79"/>
      <c r="L36" s="79"/>
      <c r="M36" s="79"/>
      <c r="N36" s="79"/>
      <c r="O36" s="79"/>
      <c r="P36" s="79"/>
      <c r="Q36" s="79"/>
      <c r="R36" s="79"/>
      <c r="S36" s="79"/>
      <c r="T36" s="79"/>
      <c r="U36" s="80"/>
    </row>
    <row r="37" spans="1:21" x14ac:dyDescent="0.2">
      <c r="A37" s="81"/>
      <c r="B37" s="82"/>
      <c r="C37" s="82"/>
      <c r="D37" s="82"/>
      <c r="E37" s="82"/>
      <c r="F37" s="82"/>
      <c r="G37" s="82"/>
      <c r="H37" s="82"/>
      <c r="I37" s="82"/>
      <c r="J37" s="82"/>
      <c r="K37" s="82"/>
      <c r="L37" s="82"/>
      <c r="M37" s="82"/>
      <c r="N37" s="82"/>
      <c r="O37" s="82"/>
      <c r="P37" s="82"/>
      <c r="Q37" s="82"/>
      <c r="R37" s="82"/>
      <c r="S37" s="82"/>
      <c r="T37" s="82"/>
      <c r="U37" s="83"/>
    </row>
    <row r="38" spans="1:21" ht="15" x14ac:dyDescent="0.25">
      <c r="A38" s="75" t="s">
        <v>82</v>
      </c>
      <c r="B38" s="76"/>
      <c r="C38" s="76"/>
      <c r="D38" s="76"/>
      <c r="E38" s="76"/>
      <c r="F38" s="76"/>
      <c r="G38" s="76"/>
      <c r="H38" s="76"/>
      <c r="I38" s="76"/>
      <c r="J38" s="76"/>
      <c r="K38" s="76"/>
      <c r="L38" s="76"/>
      <c r="M38" s="76"/>
      <c r="N38" s="76"/>
      <c r="O38" s="76"/>
      <c r="P38" s="76"/>
      <c r="Q38" s="76"/>
      <c r="R38" s="76"/>
      <c r="S38" s="76"/>
      <c r="T38" s="76"/>
      <c r="U38" s="77"/>
    </row>
    <row r="39" spans="1:21" x14ac:dyDescent="0.2">
      <c r="A39" s="78"/>
      <c r="B39" s="79"/>
      <c r="C39" s="79"/>
      <c r="D39" s="79"/>
      <c r="E39" s="79"/>
      <c r="F39" s="79"/>
      <c r="G39" s="79"/>
      <c r="H39" s="79"/>
      <c r="I39" s="79"/>
      <c r="J39" s="79"/>
      <c r="K39" s="79"/>
      <c r="L39" s="79"/>
      <c r="M39" s="79"/>
      <c r="N39" s="79"/>
      <c r="O39" s="79"/>
      <c r="P39" s="79"/>
      <c r="Q39" s="79"/>
      <c r="R39" s="79"/>
      <c r="S39" s="79"/>
      <c r="T39" s="79"/>
      <c r="U39" s="80"/>
    </row>
    <row r="40" spans="1:21" x14ac:dyDescent="0.2">
      <c r="A40" s="81"/>
      <c r="B40" s="82"/>
      <c r="C40" s="82"/>
      <c r="D40" s="82"/>
      <c r="E40" s="82"/>
      <c r="F40" s="82"/>
      <c r="G40" s="82"/>
      <c r="H40" s="82"/>
      <c r="I40" s="82"/>
      <c r="J40" s="82"/>
      <c r="K40" s="82"/>
      <c r="L40" s="82"/>
      <c r="M40" s="82"/>
      <c r="N40" s="82"/>
      <c r="O40" s="82"/>
      <c r="P40" s="82"/>
      <c r="Q40" s="82"/>
      <c r="R40" s="82"/>
      <c r="S40" s="82"/>
      <c r="T40" s="82"/>
      <c r="U40" s="83"/>
    </row>
  </sheetData>
  <mergeCells count="31">
    <mergeCell ref="A36:U37"/>
    <mergeCell ref="A38:U38"/>
    <mergeCell ref="A39:U40"/>
    <mergeCell ref="A28:U28"/>
    <mergeCell ref="A29:H29"/>
    <mergeCell ref="A31:U31"/>
    <mergeCell ref="A32:U32"/>
    <mergeCell ref="A33:U34"/>
    <mergeCell ref="A35:U35"/>
    <mergeCell ref="B16:C16"/>
    <mergeCell ref="E16:F16"/>
    <mergeCell ref="H16:I16"/>
    <mergeCell ref="K16:L16"/>
    <mergeCell ref="N16:O16"/>
    <mergeCell ref="Q16:U16"/>
    <mergeCell ref="N14:P14"/>
    <mergeCell ref="Q14:Q15"/>
    <mergeCell ref="R14:R15"/>
    <mergeCell ref="S14:S15"/>
    <mergeCell ref="T14:T15"/>
    <mergeCell ref="U14:U15"/>
    <mergeCell ref="A1:B1"/>
    <mergeCell ref="A9:U9"/>
    <mergeCell ref="A10:U10"/>
    <mergeCell ref="A13:A16"/>
    <mergeCell ref="B13:P13"/>
    <mergeCell ref="Q13:U13"/>
    <mergeCell ref="B14:D14"/>
    <mergeCell ref="E14:G14"/>
    <mergeCell ref="H14:J14"/>
    <mergeCell ref="K14:M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20" ma:contentTypeDescription="Create a new document." ma:contentTypeScope="" ma:versionID="2a7c24645c4a606d1d88cb8a39a6a843">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bb6601411784a2ccb01946842a216b7d"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9670ca3-ebdc-4499-82fc-0d98c49cf555}"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D49FA-3BCF-4F74-B518-9DA501434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4DA432-32C6-4415-ABD3-837FF12485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2-AA</vt:lpstr>
      <vt:lpstr>2-AB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Ferguson</dc:creator>
  <cp:lastModifiedBy>Tandem Energy Services</cp:lastModifiedBy>
  <dcterms:created xsi:type="dcterms:W3CDTF">2023-11-07T19:36:03Z</dcterms:created>
  <dcterms:modified xsi:type="dcterms:W3CDTF">2024-02-22T16:01:40Z</dcterms:modified>
</cp:coreProperties>
</file>