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lair\Documents\ORPC\IRRs\"/>
    </mc:Choice>
  </mc:AlternateContent>
  <xr:revisionPtr revIDLastSave="0" documentId="13_ncr:1_{FA51F164-33F2-45C1-AA18-93B62B0EE226}" xr6:coauthVersionLast="47" xr6:coauthVersionMax="47" xr10:uidLastSave="{00000000-0000-0000-0000-000000000000}"/>
  <bookViews>
    <workbookView xWindow="-120" yWindow="-120" windowWidth="29040" windowHeight="15840" tabRatio="830" activeTab="4" xr2:uid="{0FD6F116-BFD0-43D4-B859-8718EA42C03C}"/>
  </bookViews>
  <sheets>
    <sheet name="Input Data" sheetId="26" r:id="rId1"/>
    <sheet name="Power Purchased True-Up" sheetId="27" r:id="rId2"/>
    <sheet name="2023-24 Overcollection" sheetId="28" r:id="rId3"/>
    <sheet name="Summary" sheetId="29" r:id="rId4"/>
    <sheet name="Input Data (Review)" sheetId="22" r:id="rId5"/>
    <sheet name="Power Purchased True-Up (Rev.)" sheetId="23" r:id="rId6"/>
    <sheet name="2023-24 Overcollection (Rev.)" sheetId="24" r:id="rId7"/>
    <sheet name="Summary (Rev.)" sheetId="2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2" l="1"/>
  <c r="K38" i="22"/>
  <c r="L38" i="22"/>
  <c r="M38" i="22"/>
  <c r="N38" i="22"/>
  <c r="I38" i="22"/>
  <c r="H10" i="23"/>
  <c r="H14" i="23"/>
  <c r="H20" i="23"/>
  <c r="H21" i="23"/>
  <c r="H22" i="23"/>
  <c r="H24" i="23"/>
  <c r="H25" i="23"/>
  <c r="H26" i="23"/>
  <c r="H28" i="23"/>
  <c r="H29" i="23"/>
  <c r="H30" i="23"/>
  <c r="H11" i="23"/>
  <c r="H12" i="23"/>
  <c r="H13" i="23"/>
  <c r="H15" i="23"/>
  <c r="H16" i="23"/>
  <c r="H17" i="23"/>
  <c r="H69" i="27"/>
  <c r="H59" i="27"/>
  <c r="H60" i="27"/>
  <c r="H61" i="27"/>
  <c r="H62" i="27"/>
  <c r="H63" i="27"/>
  <c r="H64" i="27"/>
  <c r="H65" i="27"/>
  <c r="H66" i="27"/>
  <c r="H67" i="27"/>
  <c r="H68" i="27"/>
  <c r="H58" i="27"/>
  <c r="H46" i="27"/>
  <c r="H47" i="27"/>
  <c r="H48" i="27"/>
  <c r="H49" i="27"/>
  <c r="H50" i="27"/>
  <c r="H51" i="27"/>
  <c r="H52" i="27"/>
  <c r="H53" i="27"/>
  <c r="H54" i="27"/>
  <c r="H55" i="27"/>
  <c r="H56" i="27"/>
  <c r="H45" i="27"/>
  <c r="H33" i="27"/>
  <c r="H34" i="27"/>
  <c r="H35" i="27"/>
  <c r="H36" i="27"/>
  <c r="H37" i="27"/>
  <c r="H38" i="27"/>
  <c r="H39" i="27"/>
  <c r="H40" i="27"/>
  <c r="H41" i="27"/>
  <c r="H42" i="27"/>
  <c r="H43" i="27"/>
  <c r="H32" i="27"/>
  <c r="H20" i="27"/>
  <c r="H21" i="27"/>
  <c r="H22" i="27"/>
  <c r="H23" i="27"/>
  <c r="H24" i="27"/>
  <c r="H25" i="27"/>
  <c r="H26" i="27"/>
  <c r="H27" i="27"/>
  <c r="H28" i="27"/>
  <c r="H29" i="27"/>
  <c r="H30" i="27"/>
  <c r="H19" i="27"/>
  <c r="H11" i="27"/>
  <c r="H12" i="27"/>
  <c r="H13" i="27"/>
  <c r="H14" i="27"/>
  <c r="H15" i="27"/>
  <c r="H16" i="27"/>
  <c r="H17" i="27"/>
  <c r="H10" i="27"/>
  <c r="H61" i="23" l="1"/>
  <c r="H66" i="23"/>
  <c r="H45" i="23"/>
  <c r="H27" i="23"/>
  <c r="H23" i="23"/>
  <c r="H19" i="23"/>
  <c r="H39" i="23"/>
  <c r="H55" i="23"/>
  <c r="H42" i="23"/>
  <c r="H38" i="23"/>
  <c r="H51" i="23"/>
  <c r="H41" i="23"/>
  <c r="H54" i="23"/>
  <c r="H67" i="23"/>
  <c r="H37" i="23"/>
  <c r="H50" i="23"/>
  <c r="H33" i="23"/>
  <c r="H46" i="23"/>
  <c r="H43" i="23"/>
  <c r="H35" i="23"/>
  <c r="H48" i="23"/>
  <c r="H47" i="23"/>
  <c r="H34" i="23"/>
  <c r="H60" i="23"/>
  <c r="H40" i="23"/>
  <c r="H53" i="23"/>
  <c r="H36" i="23"/>
  <c r="H49" i="23"/>
  <c r="H32" i="23"/>
  <c r="H52" i="23" l="1"/>
  <c r="H56" i="23"/>
  <c r="H59" i="23"/>
  <c r="H58" i="23"/>
  <c r="H62" i="23"/>
  <c r="H69" i="23"/>
  <c r="H63" i="23"/>
  <c r="H64" i="23"/>
  <c r="H68" i="23"/>
  <c r="H65" i="23" l="1"/>
  <c r="I43" i="22" l="1"/>
  <c r="C33" i="29" l="1"/>
  <c r="C31" i="29"/>
  <c r="H29" i="29"/>
  <c r="G29" i="29"/>
  <c r="F29" i="29"/>
  <c r="E29" i="29"/>
  <c r="D29" i="29"/>
  <c r="G43" i="28"/>
  <c r="F43" i="28"/>
  <c r="E43" i="28"/>
  <c r="D43" i="28"/>
  <c r="I42" i="28"/>
  <c r="J42" i="28" s="1"/>
  <c r="I41" i="28"/>
  <c r="J41" i="28" s="1"/>
  <c r="I40" i="28"/>
  <c r="J40" i="28" s="1"/>
  <c r="I39" i="28"/>
  <c r="J39" i="28" s="1"/>
  <c r="I38" i="28"/>
  <c r="J38" i="28" s="1"/>
  <c r="I37" i="28"/>
  <c r="J37" i="28" s="1"/>
  <c r="I36" i="28"/>
  <c r="J36" i="28" s="1"/>
  <c r="I35" i="28"/>
  <c r="J35" i="28" s="1"/>
  <c r="I34" i="28"/>
  <c r="J34" i="28" s="1"/>
  <c r="I33" i="28"/>
  <c r="J33" i="28" s="1"/>
  <c r="I32" i="28"/>
  <c r="J32" i="28" s="1"/>
  <c r="I31" i="28"/>
  <c r="I29" i="28"/>
  <c r="F29" i="28"/>
  <c r="G29" i="28" s="1"/>
  <c r="E29" i="28"/>
  <c r="I28" i="28"/>
  <c r="F28" i="28"/>
  <c r="G28" i="28" s="1"/>
  <c r="E28" i="28"/>
  <c r="I27" i="28"/>
  <c r="G27" i="28"/>
  <c r="F27" i="28"/>
  <c r="E27" i="28"/>
  <c r="I26" i="28"/>
  <c r="F26" i="28"/>
  <c r="G26" i="28" s="1"/>
  <c r="E26" i="28"/>
  <c r="I25" i="28"/>
  <c r="F25" i="28"/>
  <c r="G25" i="28" s="1"/>
  <c r="E25" i="28"/>
  <c r="I24" i="28"/>
  <c r="F24" i="28"/>
  <c r="G24" i="28" s="1"/>
  <c r="E24" i="28"/>
  <c r="I23" i="28"/>
  <c r="F23" i="28"/>
  <c r="G23" i="28" s="1"/>
  <c r="E23" i="28"/>
  <c r="I22" i="28"/>
  <c r="F22" i="28"/>
  <c r="G22" i="28" s="1"/>
  <c r="E22" i="28"/>
  <c r="I21" i="28"/>
  <c r="I20" i="28"/>
  <c r="I19" i="28"/>
  <c r="I18" i="28"/>
  <c r="K17" i="28"/>
  <c r="I16" i="28"/>
  <c r="I15" i="28"/>
  <c r="I14" i="28"/>
  <c r="I13" i="28"/>
  <c r="D13" i="28"/>
  <c r="E13" i="28" s="1"/>
  <c r="I12" i="28"/>
  <c r="I11" i="28"/>
  <c r="I10" i="28"/>
  <c r="F10" i="28"/>
  <c r="G10" i="28" s="1"/>
  <c r="E10" i="28"/>
  <c r="I9" i="28"/>
  <c r="F9" i="28"/>
  <c r="G9" i="28" s="1"/>
  <c r="E9" i="28"/>
  <c r="I8" i="28"/>
  <c r="F8" i="28"/>
  <c r="G8" i="28" s="1"/>
  <c r="E8" i="28"/>
  <c r="I7" i="28"/>
  <c r="F7" i="28"/>
  <c r="G7" i="28" s="1"/>
  <c r="E7" i="28"/>
  <c r="I6" i="28"/>
  <c r="F6" i="28"/>
  <c r="G6" i="28" s="1"/>
  <c r="E6" i="28"/>
  <c r="I5" i="28"/>
  <c r="F5" i="28"/>
  <c r="E5" i="28"/>
  <c r="R69" i="27"/>
  <c r="R68" i="27"/>
  <c r="R67" i="27"/>
  <c r="R66" i="27"/>
  <c r="R65" i="27"/>
  <c r="R64" i="27"/>
  <c r="R63" i="27"/>
  <c r="R62" i="27"/>
  <c r="R61" i="27"/>
  <c r="R60" i="27"/>
  <c r="D60" i="27"/>
  <c r="H4" i="29" s="1"/>
  <c r="R59" i="27"/>
  <c r="R58" i="27"/>
  <c r="R56" i="27"/>
  <c r="R55" i="27"/>
  <c r="R54" i="27"/>
  <c r="R53" i="27"/>
  <c r="R52" i="27"/>
  <c r="R51" i="27"/>
  <c r="R50" i="27"/>
  <c r="R49" i="27"/>
  <c r="R48" i="27"/>
  <c r="R47" i="27"/>
  <c r="D47" i="27"/>
  <c r="G4" i="29" s="1"/>
  <c r="R46" i="27"/>
  <c r="R45" i="27"/>
  <c r="R43" i="27"/>
  <c r="R42" i="27"/>
  <c r="R41" i="27"/>
  <c r="R40" i="27"/>
  <c r="R39" i="27"/>
  <c r="R38" i="27"/>
  <c r="R37" i="27"/>
  <c r="R36" i="27"/>
  <c r="R35" i="27"/>
  <c r="R34" i="27"/>
  <c r="D34" i="27"/>
  <c r="F4" i="29" s="1"/>
  <c r="R33" i="27"/>
  <c r="R32" i="27"/>
  <c r="R30" i="27"/>
  <c r="R29" i="27"/>
  <c r="R28" i="27"/>
  <c r="R27" i="27"/>
  <c r="R26" i="27"/>
  <c r="R25" i="27"/>
  <c r="F25" i="27"/>
  <c r="R24" i="27"/>
  <c r="R23" i="27"/>
  <c r="R22" i="27"/>
  <c r="R21" i="27"/>
  <c r="D21" i="27"/>
  <c r="E4" i="29" s="1"/>
  <c r="R20" i="27"/>
  <c r="R19" i="27"/>
  <c r="N18" i="27"/>
  <c r="R17" i="27"/>
  <c r="R16" i="27"/>
  <c r="R15" i="27"/>
  <c r="D15" i="27"/>
  <c r="D12" i="29" s="1"/>
  <c r="R14" i="27"/>
  <c r="R13" i="27"/>
  <c r="R12" i="27"/>
  <c r="F12" i="27"/>
  <c r="R11" i="27"/>
  <c r="R10" i="27"/>
  <c r="D8" i="27"/>
  <c r="D4" i="29" s="1"/>
  <c r="L55" i="26"/>
  <c r="Y54" i="26"/>
  <c r="X54" i="26"/>
  <c r="H54" i="26"/>
  <c r="G54" i="26"/>
  <c r="F54" i="26"/>
  <c r="E54" i="26"/>
  <c r="D54" i="26"/>
  <c r="C54" i="26"/>
  <c r="O54" i="26" s="1"/>
  <c r="Z53" i="26"/>
  <c r="Y53" i="26"/>
  <c r="H53" i="26"/>
  <c r="G53" i="26"/>
  <c r="F53" i="26"/>
  <c r="E53" i="26"/>
  <c r="D53" i="26"/>
  <c r="C53" i="26"/>
  <c r="O53" i="26" s="1"/>
  <c r="H52" i="26"/>
  <c r="G52" i="26"/>
  <c r="F52" i="26"/>
  <c r="E52" i="26"/>
  <c r="D52" i="26"/>
  <c r="C52" i="26"/>
  <c r="I51" i="26"/>
  <c r="X51" i="26" s="1"/>
  <c r="H51" i="26"/>
  <c r="G51" i="26"/>
  <c r="F51" i="26"/>
  <c r="E51" i="26"/>
  <c r="D51" i="26"/>
  <c r="C51" i="26"/>
  <c r="O51" i="26" s="1"/>
  <c r="Z50" i="26"/>
  <c r="I50" i="26"/>
  <c r="X50" i="26" s="1"/>
  <c r="H50" i="26"/>
  <c r="G50" i="26"/>
  <c r="F50" i="26"/>
  <c r="E50" i="26"/>
  <c r="D50" i="26"/>
  <c r="C50" i="26"/>
  <c r="O50" i="26" s="1"/>
  <c r="I49" i="26"/>
  <c r="H49" i="26"/>
  <c r="G49" i="26"/>
  <c r="F49" i="26"/>
  <c r="E49" i="26"/>
  <c r="D49" i="26"/>
  <c r="C49" i="26"/>
  <c r="O49" i="26" s="1"/>
  <c r="I48" i="26"/>
  <c r="H48" i="26"/>
  <c r="G48" i="26"/>
  <c r="F48" i="26"/>
  <c r="E48" i="26"/>
  <c r="D48" i="26"/>
  <c r="C48" i="26"/>
  <c r="Z47" i="26"/>
  <c r="I47" i="26"/>
  <c r="X47" i="26" s="1"/>
  <c r="H47" i="26"/>
  <c r="G47" i="26"/>
  <c r="F47" i="26"/>
  <c r="E47" i="26"/>
  <c r="D47" i="26"/>
  <c r="C47" i="26"/>
  <c r="O47" i="26" s="1"/>
  <c r="Z46" i="26"/>
  <c r="I46" i="26"/>
  <c r="X46" i="26" s="1"/>
  <c r="H46" i="26"/>
  <c r="G46" i="26"/>
  <c r="V46" i="26" s="1"/>
  <c r="F46" i="26"/>
  <c r="E46" i="26"/>
  <c r="D46" i="26"/>
  <c r="C46" i="26"/>
  <c r="O46" i="26" s="1"/>
  <c r="O45" i="26"/>
  <c r="Z45" i="26"/>
  <c r="Y45" i="26"/>
  <c r="I45" i="26"/>
  <c r="H45" i="26"/>
  <c r="G45" i="26"/>
  <c r="F45" i="26"/>
  <c r="E45" i="26"/>
  <c r="D45" i="26"/>
  <c r="C45" i="26"/>
  <c r="K55" i="26"/>
  <c r="I44" i="26"/>
  <c r="H44" i="26"/>
  <c r="G44" i="26"/>
  <c r="F44" i="26"/>
  <c r="E44" i="26"/>
  <c r="D44" i="26"/>
  <c r="C44" i="26"/>
  <c r="Z43" i="26"/>
  <c r="I43" i="26"/>
  <c r="H43" i="26"/>
  <c r="G43" i="26"/>
  <c r="F43" i="26"/>
  <c r="E43" i="26"/>
  <c r="D43" i="26"/>
  <c r="C43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D54" i="27"/>
  <c r="G12" i="29" s="1"/>
  <c r="N34" i="26"/>
  <c r="M34" i="26"/>
  <c r="L34" i="26"/>
  <c r="D67" i="27" s="1"/>
  <c r="H12" i="29" s="1"/>
  <c r="K34" i="26"/>
  <c r="J34" i="26"/>
  <c r="D42" i="27" s="1"/>
  <c r="F12" i="29" s="1"/>
  <c r="I34" i="26"/>
  <c r="D29" i="27" s="1"/>
  <c r="E12" i="29" s="1"/>
  <c r="H34" i="26"/>
  <c r="G34" i="26"/>
  <c r="F34" i="26"/>
  <c r="AD17" i="26"/>
  <c r="AA17" i="26"/>
  <c r="X17" i="26"/>
  <c r="U17" i="26"/>
  <c r="T17" i="26"/>
  <c r="R17" i="26"/>
  <c r="Q17" i="26"/>
  <c r="O17" i="26"/>
  <c r="N17" i="26"/>
  <c r="L17" i="26"/>
  <c r="K17" i="26"/>
  <c r="I17" i="26"/>
  <c r="J17" i="26" s="1"/>
  <c r="H17" i="26"/>
  <c r="G17" i="26" s="1"/>
  <c r="F17" i="26"/>
  <c r="E17" i="26"/>
  <c r="C17" i="26"/>
  <c r="AL16" i="26"/>
  <c r="K69" i="27" s="1"/>
  <c r="AF16" i="26"/>
  <c r="K43" i="27" s="1"/>
  <c r="AC16" i="26"/>
  <c r="K30" i="27" s="1"/>
  <c r="Z16" i="26"/>
  <c r="K17" i="27" s="1"/>
  <c r="L17" i="27" s="1"/>
  <c r="W16" i="26"/>
  <c r="D16" i="28" s="1"/>
  <c r="AI15" i="26"/>
  <c r="K55" i="27" s="1"/>
  <c r="M55" i="27" s="1"/>
  <c r="AF15" i="26"/>
  <c r="K42" i="27" s="1"/>
  <c r="AC15" i="26"/>
  <c r="K29" i="27" s="1"/>
  <c r="L29" i="27" s="1"/>
  <c r="Z15" i="26"/>
  <c r="K16" i="27" s="1"/>
  <c r="L16" i="27" s="1"/>
  <c r="W15" i="26"/>
  <c r="D15" i="28" s="1"/>
  <c r="AL14" i="26"/>
  <c r="K67" i="27" s="1"/>
  <c r="AI14" i="26"/>
  <c r="K54" i="27" s="1"/>
  <c r="M54" i="27" s="1"/>
  <c r="AF14" i="26"/>
  <c r="K41" i="27" s="1"/>
  <c r="L41" i="27" s="1"/>
  <c r="AC14" i="26"/>
  <c r="K28" i="27" s="1"/>
  <c r="M28" i="27" s="1"/>
  <c r="Z14" i="26"/>
  <c r="K15" i="27" s="1"/>
  <c r="L15" i="27" s="1"/>
  <c r="W14" i="26"/>
  <c r="D14" i="28" s="1"/>
  <c r="AI13" i="26"/>
  <c r="K53" i="27" s="1"/>
  <c r="AF13" i="26"/>
  <c r="K40" i="27" s="1"/>
  <c r="AC13" i="26"/>
  <c r="K27" i="27" s="1"/>
  <c r="L27" i="27" s="1"/>
  <c r="Z13" i="26"/>
  <c r="K14" i="27" s="1"/>
  <c r="AL12" i="26"/>
  <c r="K65" i="27" s="1"/>
  <c r="AI12" i="26"/>
  <c r="K52" i="27" s="1"/>
  <c r="L52" i="27" s="1"/>
  <c r="AF12" i="26"/>
  <c r="K39" i="27" s="1"/>
  <c r="L39" i="27" s="1"/>
  <c r="AC12" i="26"/>
  <c r="K26" i="27" s="1"/>
  <c r="L26" i="27" s="1"/>
  <c r="Z12" i="26"/>
  <c r="K13" i="27" s="1"/>
  <c r="W12" i="26"/>
  <c r="D12" i="28" s="1"/>
  <c r="F12" i="28" s="1"/>
  <c r="G12" i="28" s="1"/>
  <c r="AI11" i="26"/>
  <c r="K51" i="27" s="1"/>
  <c r="AF11" i="26"/>
  <c r="K38" i="27" s="1"/>
  <c r="L38" i="27" s="1"/>
  <c r="AC11" i="26"/>
  <c r="K25" i="27" s="1"/>
  <c r="Z11" i="26"/>
  <c r="K12" i="27" s="1"/>
  <c r="M12" i="27" s="1"/>
  <c r="O12" i="27" s="1"/>
  <c r="W11" i="26"/>
  <c r="D11" i="28" s="1"/>
  <c r="V11" i="26"/>
  <c r="AL10" i="26"/>
  <c r="K63" i="27" s="1"/>
  <c r="AF10" i="26"/>
  <c r="K37" i="27" s="1"/>
  <c r="AC10" i="26"/>
  <c r="K24" i="27" s="1"/>
  <c r="Z10" i="26"/>
  <c r="K11" i="27" s="1"/>
  <c r="AL9" i="26"/>
  <c r="K62" i="27" s="1"/>
  <c r="AF9" i="26"/>
  <c r="K36" i="27" s="1"/>
  <c r="AC9" i="26"/>
  <c r="K23" i="27" s="1"/>
  <c r="Z9" i="26"/>
  <c r="K10" i="27" s="1"/>
  <c r="AL8" i="26"/>
  <c r="K61" i="27" s="1"/>
  <c r="AI8" i="26"/>
  <c r="K48" i="27" s="1"/>
  <c r="AF8" i="26"/>
  <c r="K35" i="27" s="1"/>
  <c r="L35" i="27" s="1"/>
  <c r="AC8" i="26"/>
  <c r="K22" i="27" s="1"/>
  <c r="Z8" i="26"/>
  <c r="D21" i="28" s="1"/>
  <c r="AL7" i="26"/>
  <c r="K60" i="27" s="1"/>
  <c r="AF7" i="26"/>
  <c r="K34" i="27" s="1"/>
  <c r="M34" i="27" s="1"/>
  <c r="AC7" i="26"/>
  <c r="K21" i="27" s="1"/>
  <c r="M21" i="27" s="1"/>
  <c r="O21" i="27" s="1"/>
  <c r="Z7" i="26"/>
  <c r="D20" i="28" s="1"/>
  <c r="AL6" i="26"/>
  <c r="K59" i="27" s="1"/>
  <c r="M59" i="27" s="1"/>
  <c r="AF6" i="26"/>
  <c r="K33" i="27" s="1"/>
  <c r="AC6" i="26"/>
  <c r="K20" i="27" s="1"/>
  <c r="L20" i="27" s="1"/>
  <c r="Z6" i="26"/>
  <c r="D19" i="28" s="1"/>
  <c r="F19" i="28" s="1"/>
  <c r="G19" i="28" s="1"/>
  <c r="AL5" i="26"/>
  <c r="K58" i="27" s="1"/>
  <c r="AF5" i="26"/>
  <c r="AC5" i="26"/>
  <c r="K19" i="27" s="1"/>
  <c r="Z5" i="26"/>
  <c r="D18" i="28" s="1"/>
  <c r="F3" i="26"/>
  <c r="I3" i="26" s="1"/>
  <c r="L3" i="26" s="1"/>
  <c r="O3" i="26" s="1"/>
  <c r="R3" i="26" s="1"/>
  <c r="U3" i="26" s="1"/>
  <c r="C33" i="25"/>
  <c r="C31" i="25"/>
  <c r="H29" i="25"/>
  <c r="G29" i="25"/>
  <c r="F29" i="25"/>
  <c r="E29" i="25"/>
  <c r="D29" i="25"/>
  <c r="N34" i="22"/>
  <c r="AJ6" i="22"/>
  <c r="AL6" i="22" s="1"/>
  <c r="K59" i="23" s="1"/>
  <c r="AJ7" i="22"/>
  <c r="AJ8" i="22"/>
  <c r="AL8" i="22" s="1"/>
  <c r="K61" i="23" s="1"/>
  <c r="AJ9" i="22"/>
  <c r="N47" i="22" s="1"/>
  <c r="AJ10" i="22"/>
  <c r="N48" i="22" s="1"/>
  <c r="AJ11" i="22"/>
  <c r="N49" i="22" s="1"/>
  <c r="AJ12" i="22"/>
  <c r="AL12" i="22" s="1"/>
  <c r="K65" i="23" s="1"/>
  <c r="AJ13" i="22"/>
  <c r="N51" i="22" s="1"/>
  <c r="AJ14" i="22"/>
  <c r="N52" i="22" s="1"/>
  <c r="AJ15" i="22"/>
  <c r="AL15" i="22" s="1"/>
  <c r="K68" i="23" s="1"/>
  <c r="AJ16" i="22"/>
  <c r="N54" i="22" s="1"/>
  <c r="AJ5" i="22"/>
  <c r="AL5" i="22" s="1"/>
  <c r="K58" i="23" s="1"/>
  <c r="AG6" i="22"/>
  <c r="M44" i="22" s="1"/>
  <c r="AG7" i="22"/>
  <c r="AI7" i="22" s="1"/>
  <c r="K47" i="23" s="1"/>
  <c r="AG8" i="22"/>
  <c r="M46" i="22" s="1"/>
  <c r="AG9" i="22"/>
  <c r="M47" i="22" s="1"/>
  <c r="AG10" i="22"/>
  <c r="AI10" i="22" s="1"/>
  <c r="K50" i="23" s="1"/>
  <c r="M50" i="23" s="1"/>
  <c r="AG11" i="22"/>
  <c r="AI11" i="22" s="1"/>
  <c r="K51" i="23" s="1"/>
  <c r="M51" i="23" s="1"/>
  <c r="AG12" i="22"/>
  <c r="M50" i="22" s="1"/>
  <c r="AG13" i="22"/>
  <c r="M51" i="22" s="1"/>
  <c r="AG14" i="22"/>
  <c r="AI14" i="22" s="1"/>
  <c r="K54" i="23" s="1"/>
  <c r="AG15" i="22"/>
  <c r="M53" i="22" s="1"/>
  <c r="AG16" i="22"/>
  <c r="M54" i="22" s="1"/>
  <c r="AG5" i="22"/>
  <c r="I52" i="22"/>
  <c r="I53" i="22"/>
  <c r="I54" i="22"/>
  <c r="J34" i="22"/>
  <c r="D42" i="23" s="1"/>
  <c r="F12" i="25" s="1"/>
  <c r="I34" i="22"/>
  <c r="D29" i="23" s="1"/>
  <c r="E12" i="25" s="1"/>
  <c r="L54" i="22"/>
  <c r="Z16" i="22"/>
  <c r="K17" i="23" s="1"/>
  <c r="L52" i="22"/>
  <c r="Z14" i="22"/>
  <c r="K15" i="23" s="1"/>
  <c r="L50" i="22"/>
  <c r="Z12" i="22"/>
  <c r="K13" i="23" s="1"/>
  <c r="M13" i="23" s="1"/>
  <c r="O13" i="23" s="1"/>
  <c r="L48" i="22"/>
  <c r="Z10" i="22"/>
  <c r="K11" i="23" s="1"/>
  <c r="L11" i="23" s="1"/>
  <c r="L46" i="22"/>
  <c r="Z8" i="22"/>
  <c r="D21" i="24" s="1"/>
  <c r="L44" i="22"/>
  <c r="Z6" i="22"/>
  <c r="D19" i="24" s="1"/>
  <c r="E19" i="24" s="1"/>
  <c r="G43" i="24"/>
  <c r="F43" i="24"/>
  <c r="E43" i="24"/>
  <c r="D43" i="24"/>
  <c r="I42" i="24"/>
  <c r="J42" i="24" s="1"/>
  <c r="I41" i="24"/>
  <c r="J41" i="24" s="1"/>
  <c r="I40" i="24"/>
  <c r="J40" i="24" s="1"/>
  <c r="J39" i="24"/>
  <c r="I39" i="24"/>
  <c r="I38" i="24"/>
  <c r="J38" i="24" s="1"/>
  <c r="I37" i="24"/>
  <c r="J37" i="24" s="1"/>
  <c r="I36" i="24"/>
  <c r="J36" i="24" s="1"/>
  <c r="I35" i="24"/>
  <c r="J35" i="24" s="1"/>
  <c r="I34" i="24"/>
  <c r="J34" i="24" s="1"/>
  <c r="I33" i="24"/>
  <c r="J33" i="24" s="1"/>
  <c r="I32" i="24"/>
  <c r="J32" i="24" s="1"/>
  <c r="I31" i="24"/>
  <c r="I29" i="24"/>
  <c r="G29" i="24"/>
  <c r="F29" i="24"/>
  <c r="E29" i="24"/>
  <c r="I28" i="24"/>
  <c r="F28" i="24"/>
  <c r="G28" i="24" s="1"/>
  <c r="E28" i="24"/>
  <c r="I27" i="24"/>
  <c r="F27" i="24"/>
  <c r="G27" i="24" s="1"/>
  <c r="E27" i="24"/>
  <c r="I26" i="24"/>
  <c r="G26" i="24"/>
  <c r="F26" i="24"/>
  <c r="E26" i="24"/>
  <c r="I25" i="24"/>
  <c r="G25" i="24"/>
  <c r="F25" i="24"/>
  <c r="E25" i="24"/>
  <c r="I24" i="24"/>
  <c r="F24" i="24"/>
  <c r="G24" i="24" s="1"/>
  <c r="E24" i="24"/>
  <c r="I23" i="24"/>
  <c r="F23" i="24"/>
  <c r="G23" i="24" s="1"/>
  <c r="E23" i="24"/>
  <c r="I22" i="24"/>
  <c r="F22" i="24"/>
  <c r="G22" i="24" s="1"/>
  <c r="E22" i="24"/>
  <c r="I21" i="24"/>
  <c r="I20" i="24"/>
  <c r="I19" i="24"/>
  <c r="I18" i="24"/>
  <c r="K17" i="24"/>
  <c r="I16" i="24"/>
  <c r="I15" i="24"/>
  <c r="I14" i="24"/>
  <c r="I13" i="24"/>
  <c r="D13" i="24"/>
  <c r="I12" i="24"/>
  <c r="I11" i="24"/>
  <c r="I10" i="24"/>
  <c r="F10" i="24"/>
  <c r="G10" i="24" s="1"/>
  <c r="E10" i="24"/>
  <c r="I9" i="24"/>
  <c r="F9" i="24"/>
  <c r="G9" i="24" s="1"/>
  <c r="E9" i="24"/>
  <c r="I8" i="24"/>
  <c r="G8" i="24"/>
  <c r="F8" i="24"/>
  <c r="E8" i="24"/>
  <c r="I7" i="24"/>
  <c r="G7" i="24"/>
  <c r="F7" i="24"/>
  <c r="E7" i="24"/>
  <c r="I6" i="24"/>
  <c r="F6" i="24"/>
  <c r="G6" i="24" s="1"/>
  <c r="E6" i="24"/>
  <c r="I5" i="24"/>
  <c r="F5" i="24"/>
  <c r="G5" i="24" s="1"/>
  <c r="E5" i="24"/>
  <c r="R69" i="23"/>
  <c r="R68" i="23"/>
  <c r="R67" i="23"/>
  <c r="R66" i="23"/>
  <c r="R65" i="23"/>
  <c r="R64" i="23"/>
  <c r="R63" i="23"/>
  <c r="R62" i="23"/>
  <c r="R61" i="23"/>
  <c r="R60" i="23"/>
  <c r="D60" i="23"/>
  <c r="H4" i="25" s="1"/>
  <c r="R59" i="23"/>
  <c r="R58" i="23"/>
  <c r="R56" i="23"/>
  <c r="R55" i="23"/>
  <c r="R54" i="23"/>
  <c r="R53" i="23"/>
  <c r="R52" i="23"/>
  <c r="R51" i="23"/>
  <c r="R50" i="23"/>
  <c r="R49" i="23"/>
  <c r="R48" i="23"/>
  <c r="R47" i="23"/>
  <c r="D47" i="23"/>
  <c r="G4" i="25" s="1"/>
  <c r="R46" i="23"/>
  <c r="R45" i="23"/>
  <c r="R43" i="23"/>
  <c r="R42" i="23"/>
  <c r="R41" i="23"/>
  <c r="R40" i="23"/>
  <c r="R39" i="23"/>
  <c r="R38" i="23"/>
  <c r="R37" i="23"/>
  <c r="R36" i="23"/>
  <c r="R35" i="23"/>
  <c r="R34" i="23"/>
  <c r="D34" i="23"/>
  <c r="F4" i="25" s="1"/>
  <c r="R33" i="23"/>
  <c r="R32" i="23"/>
  <c r="R30" i="23"/>
  <c r="R29" i="23"/>
  <c r="R28" i="23"/>
  <c r="R27" i="23"/>
  <c r="R26" i="23"/>
  <c r="R25" i="23"/>
  <c r="F25" i="23"/>
  <c r="R24" i="23"/>
  <c r="R23" i="23"/>
  <c r="R22" i="23"/>
  <c r="R21" i="23"/>
  <c r="D21" i="23"/>
  <c r="E4" i="25" s="1"/>
  <c r="R20" i="23"/>
  <c r="R19" i="23"/>
  <c r="N18" i="23"/>
  <c r="R17" i="23"/>
  <c r="R16" i="23"/>
  <c r="R15" i="23"/>
  <c r="D15" i="23"/>
  <c r="D12" i="25" s="1"/>
  <c r="R14" i="23"/>
  <c r="R13" i="23"/>
  <c r="R12" i="23"/>
  <c r="F12" i="23"/>
  <c r="R11" i="23"/>
  <c r="R10" i="23"/>
  <c r="D8" i="23"/>
  <c r="D4" i="25" s="1"/>
  <c r="K54" i="22"/>
  <c r="J54" i="22"/>
  <c r="H54" i="22"/>
  <c r="G54" i="22"/>
  <c r="F54" i="22"/>
  <c r="E54" i="22"/>
  <c r="D54" i="22"/>
  <c r="C54" i="22"/>
  <c r="N53" i="22"/>
  <c r="K53" i="22"/>
  <c r="H53" i="22"/>
  <c r="G53" i="22"/>
  <c r="F53" i="22"/>
  <c r="E53" i="22"/>
  <c r="D53" i="22"/>
  <c r="C53" i="22"/>
  <c r="J52" i="22"/>
  <c r="H52" i="22"/>
  <c r="G52" i="22"/>
  <c r="F52" i="22"/>
  <c r="E52" i="22"/>
  <c r="D52" i="22"/>
  <c r="C52" i="22"/>
  <c r="K51" i="22"/>
  <c r="I51" i="22"/>
  <c r="H51" i="22"/>
  <c r="G51" i="22"/>
  <c r="F51" i="22"/>
  <c r="E51" i="22"/>
  <c r="D51" i="22"/>
  <c r="C51" i="22"/>
  <c r="N50" i="22"/>
  <c r="K50" i="22"/>
  <c r="J50" i="22"/>
  <c r="I50" i="22"/>
  <c r="H50" i="22"/>
  <c r="G50" i="22"/>
  <c r="F50" i="22"/>
  <c r="E50" i="22"/>
  <c r="D50" i="22"/>
  <c r="C50" i="22"/>
  <c r="I49" i="22"/>
  <c r="H49" i="22"/>
  <c r="G49" i="22"/>
  <c r="F49" i="22"/>
  <c r="E49" i="22"/>
  <c r="D49" i="22"/>
  <c r="C49" i="22"/>
  <c r="K48" i="22"/>
  <c r="J48" i="22"/>
  <c r="I48" i="22"/>
  <c r="H48" i="22"/>
  <c r="G48" i="22"/>
  <c r="F48" i="22"/>
  <c r="E48" i="22"/>
  <c r="D48" i="22"/>
  <c r="C48" i="22"/>
  <c r="P48" i="22" s="1"/>
  <c r="I47" i="22"/>
  <c r="H47" i="22"/>
  <c r="G47" i="22"/>
  <c r="F47" i="22"/>
  <c r="E47" i="22"/>
  <c r="D47" i="22"/>
  <c r="C47" i="22"/>
  <c r="K46" i="22"/>
  <c r="J46" i="22"/>
  <c r="I46" i="22"/>
  <c r="H46" i="22"/>
  <c r="G46" i="22"/>
  <c r="F46" i="22"/>
  <c r="E46" i="22"/>
  <c r="D46" i="22"/>
  <c r="C46" i="22"/>
  <c r="P46" i="22" s="1"/>
  <c r="M45" i="22"/>
  <c r="I45" i="22"/>
  <c r="H45" i="22"/>
  <c r="G45" i="22"/>
  <c r="F45" i="22"/>
  <c r="E45" i="22"/>
  <c r="D45" i="22"/>
  <c r="C45" i="22"/>
  <c r="P45" i="22" s="1"/>
  <c r="N44" i="22"/>
  <c r="J44" i="22"/>
  <c r="I44" i="22"/>
  <c r="H44" i="22"/>
  <c r="G44" i="22"/>
  <c r="F44" i="22"/>
  <c r="E44" i="22"/>
  <c r="D44" i="22"/>
  <c r="C44" i="22"/>
  <c r="K43" i="22"/>
  <c r="H43" i="22"/>
  <c r="G43" i="22"/>
  <c r="F43" i="22"/>
  <c r="E43" i="22"/>
  <c r="D43" i="22"/>
  <c r="C43" i="22"/>
  <c r="Z42" i="22"/>
  <c r="Y42" i="22"/>
  <c r="X42" i="22"/>
  <c r="W42" i="22"/>
  <c r="V42" i="22"/>
  <c r="U42" i="22"/>
  <c r="T42" i="22"/>
  <c r="S42" i="22"/>
  <c r="R42" i="22"/>
  <c r="Q42" i="22"/>
  <c r="P42" i="22"/>
  <c r="O42" i="22"/>
  <c r="K34" i="22"/>
  <c r="D54" i="23" s="1"/>
  <c r="G12" i="25" s="1"/>
  <c r="H34" i="22"/>
  <c r="G34" i="22"/>
  <c r="F34" i="22"/>
  <c r="U17" i="22"/>
  <c r="T17" i="22"/>
  <c r="R17" i="22"/>
  <c r="Q17" i="22"/>
  <c r="O17" i="22"/>
  <c r="N17" i="22"/>
  <c r="L17" i="22"/>
  <c r="K17" i="22"/>
  <c r="I17" i="22"/>
  <c r="H17" i="22"/>
  <c r="F17" i="22"/>
  <c r="G17" i="22" s="1"/>
  <c r="E17" i="22"/>
  <c r="C17" i="22"/>
  <c r="D17" i="22" s="1"/>
  <c r="W16" i="22"/>
  <c r="D16" i="24" s="1"/>
  <c r="W15" i="22"/>
  <c r="D15" i="24" s="1"/>
  <c r="W14" i="22"/>
  <c r="D14" i="24" s="1"/>
  <c r="W12" i="22"/>
  <c r="W11" i="22"/>
  <c r="D11" i="24" s="1"/>
  <c r="F3" i="22"/>
  <c r="I3" i="22" s="1"/>
  <c r="L3" i="22" s="1"/>
  <c r="O3" i="22" s="1"/>
  <c r="R3" i="22" s="1"/>
  <c r="U3" i="22" s="1"/>
  <c r="D29" i="26" l="1"/>
  <c r="S43" i="26"/>
  <c r="D55" i="26"/>
  <c r="U46" i="26"/>
  <c r="V49" i="26"/>
  <c r="S51" i="26"/>
  <c r="V53" i="26"/>
  <c r="D22" i="22"/>
  <c r="M52" i="22"/>
  <c r="P51" i="22"/>
  <c r="P53" i="22"/>
  <c r="D30" i="22"/>
  <c r="N43" i="22"/>
  <c r="M48" i="22"/>
  <c r="Z48" i="22" s="1"/>
  <c r="AL14" i="22"/>
  <c r="K67" i="23" s="1"/>
  <c r="M67" i="23" s="1"/>
  <c r="J17" i="22"/>
  <c r="D26" i="22"/>
  <c r="S49" i="22"/>
  <c r="T50" i="22"/>
  <c r="AI6" i="22"/>
  <c r="K46" i="23" s="1"/>
  <c r="L46" i="23" s="1"/>
  <c r="AL10" i="22"/>
  <c r="K63" i="23" s="1"/>
  <c r="S17" i="22"/>
  <c r="E33" i="22"/>
  <c r="P43" i="22"/>
  <c r="P44" i="22"/>
  <c r="T45" i="22"/>
  <c r="S47" i="22"/>
  <c r="P50" i="22"/>
  <c r="AJ17" i="22"/>
  <c r="E25" i="22"/>
  <c r="D32" i="22"/>
  <c r="E29" i="22"/>
  <c r="D33" i="26"/>
  <c r="E21" i="24"/>
  <c r="F21" i="24"/>
  <c r="G21" i="24" s="1"/>
  <c r="G55" i="22"/>
  <c r="T47" i="22"/>
  <c r="T49" i="22"/>
  <c r="T52" i="22"/>
  <c r="AI15" i="22"/>
  <c r="K55" i="23" s="1"/>
  <c r="AL11" i="22"/>
  <c r="K64" i="23" s="1"/>
  <c r="L64" i="23" s="1"/>
  <c r="M17" i="22"/>
  <c r="E23" i="22"/>
  <c r="E27" i="22"/>
  <c r="E31" i="22"/>
  <c r="D55" i="22"/>
  <c r="H55" i="22"/>
  <c r="Q43" i="22"/>
  <c r="T44" i="22"/>
  <c r="N45" i="22"/>
  <c r="N46" i="22"/>
  <c r="Z46" i="22" s="1"/>
  <c r="Q47" i="22"/>
  <c r="T48" i="22"/>
  <c r="M49" i="22"/>
  <c r="S51" i="22"/>
  <c r="R51" i="22"/>
  <c r="T53" i="22"/>
  <c r="R53" i="22"/>
  <c r="U54" i="22"/>
  <c r="AI8" i="22"/>
  <c r="K48" i="23" s="1"/>
  <c r="AI12" i="22"/>
  <c r="K52" i="23" s="1"/>
  <c r="L52" i="23" s="1"/>
  <c r="AI16" i="22"/>
  <c r="K56" i="23" s="1"/>
  <c r="M56" i="23" s="1"/>
  <c r="AL16" i="22"/>
  <c r="K69" i="23" s="1"/>
  <c r="R45" i="22"/>
  <c r="Q49" i="22"/>
  <c r="R49" i="22"/>
  <c r="Q51" i="22"/>
  <c r="S53" i="22"/>
  <c r="Q53" i="22"/>
  <c r="AL7" i="22"/>
  <c r="K60" i="23" s="1"/>
  <c r="L60" i="23" s="1"/>
  <c r="P17" i="22"/>
  <c r="D24" i="22"/>
  <c r="D28" i="22"/>
  <c r="T43" i="22"/>
  <c r="R43" i="22"/>
  <c r="S45" i="22"/>
  <c r="Q45" i="22"/>
  <c r="T46" i="22"/>
  <c r="P47" i="22"/>
  <c r="R47" i="22"/>
  <c r="P49" i="22"/>
  <c r="T51" i="22"/>
  <c r="P52" i="22"/>
  <c r="U53" i="22"/>
  <c r="P54" i="22"/>
  <c r="AG17" i="22"/>
  <c r="AI5" i="22"/>
  <c r="K45" i="23" s="1"/>
  <c r="AI9" i="22"/>
  <c r="K49" i="23" s="1"/>
  <c r="L49" i="23" s="1"/>
  <c r="AI13" i="22"/>
  <c r="K53" i="23" s="1"/>
  <c r="L53" i="23" s="1"/>
  <c r="AL9" i="22"/>
  <c r="K62" i="23" s="1"/>
  <c r="M62" i="23" s="1"/>
  <c r="AL13" i="22"/>
  <c r="K66" i="23" s="1"/>
  <c r="M66" i="23" s="1"/>
  <c r="P17" i="26"/>
  <c r="T51" i="26"/>
  <c r="V54" i="26"/>
  <c r="F13" i="28"/>
  <c r="G13" i="28" s="1"/>
  <c r="E27" i="26"/>
  <c r="S47" i="26"/>
  <c r="V47" i="26"/>
  <c r="T54" i="26"/>
  <c r="M17" i="26"/>
  <c r="V43" i="26"/>
  <c r="V50" i="26"/>
  <c r="V51" i="26"/>
  <c r="U53" i="26"/>
  <c r="D17" i="26"/>
  <c r="E23" i="26"/>
  <c r="E31" i="26"/>
  <c r="E33" i="26"/>
  <c r="C55" i="26"/>
  <c r="T47" i="26"/>
  <c r="S48" i="26"/>
  <c r="U51" i="26"/>
  <c r="U54" i="26"/>
  <c r="L12" i="27"/>
  <c r="M39" i="27"/>
  <c r="D25" i="26"/>
  <c r="H55" i="26"/>
  <c r="U45" i="26"/>
  <c r="U47" i="26"/>
  <c r="T50" i="26"/>
  <c r="S17" i="26"/>
  <c r="E55" i="26"/>
  <c r="I55" i="26"/>
  <c r="S44" i="26"/>
  <c r="V45" i="26"/>
  <c r="T46" i="26"/>
  <c r="U49" i="26"/>
  <c r="U50" i="26"/>
  <c r="S52" i="26"/>
  <c r="H18" i="27"/>
  <c r="E12" i="28"/>
  <c r="M11" i="27"/>
  <c r="O11" i="27" s="1"/>
  <c r="L11" i="27"/>
  <c r="M17" i="27"/>
  <c r="O17" i="27" s="1"/>
  <c r="M16" i="27"/>
  <c r="O16" i="27" s="1"/>
  <c r="E19" i="28"/>
  <c r="AF17" i="26"/>
  <c r="AE17" i="26" s="1"/>
  <c r="L34" i="27"/>
  <c r="M41" i="27"/>
  <c r="H31" i="27"/>
  <c r="M67" i="27"/>
  <c r="L67" i="27"/>
  <c r="M13" i="27"/>
  <c r="O13" i="27" s="1"/>
  <c r="L13" i="27"/>
  <c r="K18" i="27"/>
  <c r="Y8" i="27" s="1"/>
  <c r="M40" i="27"/>
  <c r="L40" i="27"/>
  <c r="M30" i="27"/>
  <c r="L30" i="27"/>
  <c r="M43" i="27"/>
  <c r="L43" i="27"/>
  <c r="Z49" i="26"/>
  <c r="Z51" i="26"/>
  <c r="Z52" i="26"/>
  <c r="Q45" i="26"/>
  <c r="P45" i="26"/>
  <c r="R45" i="26"/>
  <c r="M22" i="27"/>
  <c r="O22" i="27" s="1"/>
  <c r="L22" i="27"/>
  <c r="M61" i="27"/>
  <c r="L61" i="27"/>
  <c r="M24" i="27"/>
  <c r="L24" i="27"/>
  <c r="L63" i="27"/>
  <c r="M63" i="27"/>
  <c r="M25" i="27"/>
  <c r="L25" i="27"/>
  <c r="M65" i="27"/>
  <c r="L65" i="27"/>
  <c r="E25" i="26"/>
  <c r="E29" i="26"/>
  <c r="F55" i="26"/>
  <c r="U43" i="26"/>
  <c r="J55" i="26"/>
  <c r="Y43" i="26"/>
  <c r="O43" i="26"/>
  <c r="W43" i="26"/>
  <c r="T44" i="26"/>
  <c r="X44" i="26"/>
  <c r="V44" i="26"/>
  <c r="S45" i="26"/>
  <c r="Q46" i="26"/>
  <c r="P46" i="26"/>
  <c r="R46" i="26"/>
  <c r="Y47" i="26"/>
  <c r="W47" i="26"/>
  <c r="T48" i="26"/>
  <c r="X48" i="26"/>
  <c r="V48" i="26"/>
  <c r="S49" i="26"/>
  <c r="Q50" i="26"/>
  <c r="P50" i="26"/>
  <c r="R50" i="26"/>
  <c r="Y51" i="26"/>
  <c r="W51" i="26"/>
  <c r="T52" i="26"/>
  <c r="X52" i="26"/>
  <c r="V52" i="26"/>
  <c r="S53" i="26"/>
  <c r="Q54" i="26"/>
  <c r="P54" i="26"/>
  <c r="Z54" i="26"/>
  <c r="R54" i="26"/>
  <c r="M26" i="27"/>
  <c r="M51" i="27"/>
  <c r="L51" i="27"/>
  <c r="M52" i="27"/>
  <c r="L19" i="27"/>
  <c r="K31" i="27"/>
  <c r="Y21" i="27" s="1"/>
  <c r="M58" i="27"/>
  <c r="L58" i="27"/>
  <c r="Y44" i="26"/>
  <c r="AI6" i="26"/>
  <c r="K46" i="27" s="1"/>
  <c r="L60" i="27"/>
  <c r="M60" i="27"/>
  <c r="M23" i="27"/>
  <c r="L23" i="27"/>
  <c r="M62" i="27"/>
  <c r="L62" i="27"/>
  <c r="Y48" i="26"/>
  <c r="AI10" i="26"/>
  <c r="K50" i="27" s="1"/>
  <c r="M69" i="27"/>
  <c r="L69" i="27"/>
  <c r="Q44" i="26"/>
  <c r="P44" i="26"/>
  <c r="R44" i="26"/>
  <c r="Z44" i="26"/>
  <c r="W45" i="26"/>
  <c r="Q48" i="26"/>
  <c r="P48" i="26"/>
  <c r="R48" i="26"/>
  <c r="Y49" i="26"/>
  <c r="W49" i="26"/>
  <c r="Q52" i="26"/>
  <c r="P52" i="26"/>
  <c r="R52" i="26"/>
  <c r="W53" i="26"/>
  <c r="M14" i="27"/>
  <c r="O14" i="27" s="1"/>
  <c r="L14" i="27"/>
  <c r="M29" i="27"/>
  <c r="F21" i="28"/>
  <c r="G21" i="28" s="1"/>
  <c r="E21" i="28"/>
  <c r="M48" i="27"/>
  <c r="L48" i="27"/>
  <c r="M36" i="27"/>
  <c r="L36" i="27"/>
  <c r="AL13" i="26"/>
  <c r="K66" i="27" s="1"/>
  <c r="L42" i="27"/>
  <c r="M42" i="27"/>
  <c r="AL15" i="26"/>
  <c r="K68" i="27" s="1"/>
  <c r="AC17" i="26"/>
  <c r="AB17" i="26" s="1"/>
  <c r="E32" i="26"/>
  <c r="E30" i="26"/>
  <c r="E28" i="26"/>
  <c r="E26" i="26"/>
  <c r="E24" i="26"/>
  <c r="E22" i="26"/>
  <c r="D32" i="26"/>
  <c r="D30" i="26"/>
  <c r="D28" i="26"/>
  <c r="D26" i="26"/>
  <c r="D24" i="26"/>
  <c r="D22" i="26"/>
  <c r="N55" i="26"/>
  <c r="Y46" i="26"/>
  <c r="W46" i="26"/>
  <c r="Q49" i="26"/>
  <c r="P49" i="26"/>
  <c r="R49" i="26"/>
  <c r="Y50" i="26"/>
  <c r="W50" i="26"/>
  <c r="Q53" i="26"/>
  <c r="P53" i="26"/>
  <c r="R53" i="26"/>
  <c r="W54" i="26"/>
  <c r="M19" i="27"/>
  <c r="M27" i="27"/>
  <c r="L28" i="27"/>
  <c r="M33" i="27"/>
  <c r="L33" i="27"/>
  <c r="AJ17" i="26"/>
  <c r="F20" i="28"/>
  <c r="G20" i="28" s="1"/>
  <c r="E20" i="28"/>
  <c r="AI7" i="26"/>
  <c r="K47" i="27" s="1"/>
  <c r="M10" i="27"/>
  <c r="L10" i="27"/>
  <c r="M37" i="27"/>
  <c r="L37" i="27"/>
  <c r="AL11" i="26"/>
  <c r="K64" i="27" s="1"/>
  <c r="Z17" i="26"/>
  <c r="Y17" i="26" s="1"/>
  <c r="AG17" i="26"/>
  <c r="D23" i="26"/>
  <c r="D27" i="26"/>
  <c r="D31" i="26"/>
  <c r="Q43" i="26"/>
  <c r="P43" i="26"/>
  <c r="G55" i="26"/>
  <c r="R43" i="26"/>
  <c r="U44" i="26"/>
  <c r="O44" i="26"/>
  <c r="W44" i="26"/>
  <c r="T45" i="26"/>
  <c r="X45" i="26"/>
  <c r="S46" i="26"/>
  <c r="Q47" i="26"/>
  <c r="P47" i="26"/>
  <c r="R47" i="26"/>
  <c r="U48" i="26"/>
  <c r="O48" i="26"/>
  <c r="W48" i="26"/>
  <c r="T49" i="26"/>
  <c r="X49" i="26"/>
  <c r="S50" i="26"/>
  <c r="Q51" i="26"/>
  <c r="P51" i="26"/>
  <c r="R51" i="26"/>
  <c r="U52" i="26"/>
  <c r="Y52" i="26"/>
  <c r="O52" i="26"/>
  <c r="W52" i="26"/>
  <c r="T53" i="26"/>
  <c r="X53" i="26"/>
  <c r="S54" i="26"/>
  <c r="K32" i="27"/>
  <c r="M38" i="27"/>
  <c r="L59" i="27"/>
  <c r="D17" i="28"/>
  <c r="P7" i="28" s="1"/>
  <c r="F11" i="28"/>
  <c r="G11" i="28" s="1"/>
  <c r="E11" i="28"/>
  <c r="V12" i="26"/>
  <c r="F14" i="28"/>
  <c r="G14" i="28" s="1"/>
  <c r="E14" i="28"/>
  <c r="F15" i="28"/>
  <c r="G15" i="28" s="1"/>
  <c r="E15" i="28"/>
  <c r="F16" i="28"/>
  <c r="G16" i="28" s="1"/>
  <c r="E16" i="28"/>
  <c r="W17" i="26"/>
  <c r="V17" i="26" s="1"/>
  <c r="T43" i="26"/>
  <c r="X43" i="26"/>
  <c r="M15" i="27"/>
  <c r="O15" i="27" s="1"/>
  <c r="L21" i="27"/>
  <c r="L54" i="27"/>
  <c r="G5" i="28"/>
  <c r="M53" i="27"/>
  <c r="L53" i="27"/>
  <c r="D30" i="28"/>
  <c r="P20" i="28" s="1"/>
  <c r="F18" i="28"/>
  <c r="E18" i="28"/>
  <c r="AI5" i="26"/>
  <c r="AI9" i="26"/>
  <c r="K49" i="27" s="1"/>
  <c r="AI16" i="26"/>
  <c r="K56" i="27" s="1"/>
  <c r="M20" i="27"/>
  <c r="O20" i="27" s="1"/>
  <c r="H44" i="27"/>
  <c r="M35" i="27"/>
  <c r="H57" i="27"/>
  <c r="L55" i="27"/>
  <c r="H70" i="27"/>
  <c r="J43" i="28"/>
  <c r="M34" i="22"/>
  <c r="M43" i="22"/>
  <c r="F19" i="24"/>
  <c r="G19" i="24" s="1"/>
  <c r="L34" i="22"/>
  <c r="D67" i="23" s="1"/>
  <c r="H12" i="25" s="1"/>
  <c r="K44" i="22"/>
  <c r="Y44" i="22" s="1"/>
  <c r="K45" i="22"/>
  <c r="K52" i="22"/>
  <c r="X52" i="22" s="1"/>
  <c r="AF7" i="22"/>
  <c r="K34" i="23" s="1"/>
  <c r="M34" i="23" s="1"/>
  <c r="L45" i="22"/>
  <c r="AF11" i="22"/>
  <c r="K38" i="23" s="1"/>
  <c r="L38" i="23" s="1"/>
  <c r="L49" i="22"/>
  <c r="AF15" i="22"/>
  <c r="K42" i="23" s="1"/>
  <c r="M42" i="23" s="1"/>
  <c r="L53" i="22"/>
  <c r="Z53" i="22" s="1"/>
  <c r="AC7" i="22"/>
  <c r="K21" i="23" s="1"/>
  <c r="M21" i="23" s="1"/>
  <c r="O21" i="23" s="1"/>
  <c r="AF8" i="22"/>
  <c r="K35" i="23" s="1"/>
  <c r="AC11" i="22"/>
  <c r="K25" i="23" s="1"/>
  <c r="M25" i="23" s="1"/>
  <c r="AF12" i="22"/>
  <c r="K39" i="23" s="1"/>
  <c r="M39" i="23" s="1"/>
  <c r="AC15" i="22"/>
  <c r="K29" i="23" s="1"/>
  <c r="M29" i="23" s="1"/>
  <c r="AF16" i="22"/>
  <c r="K43" i="23" s="1"/>
  <c r="K49" i="22"/>
  <c r="AD17" i="22"/>
  <c r="AF5" i="22"/>
  <c r="L43" i="22"/>
  <c r="AF9" i="22"/>
  <c r="K36" i="23" s="1"/>
  <c r="L36" i="23" s="1"/>
  <c r="L47" i="22"/>
  <c r="AF13" i="22"/>
  <c r="K40" i="23" s="1"/>
  <c r="L40" i="23" s="1"/>
  <c r="L51" i="22"/>
  <c r="Z51" i="22" s="1"/>
  <c r="AA17" i="22"/>
  <c r="K47" i="22"/>
  <c r="Z47" i="22" s="1"/>
  <c r="AC5" i="22"/>
  <c r="AF6" i="22"/>
  <c r="K33" i="23" s="1"/>
  <c r="M33" i="23" s="1"/>
  <c r="AC9" i="22"/>
  <c r="K23" i="23" s="1"/>
  <c r="L23" i="23" s="1"/>
  <c r="AF10" i="22"/>
  <c r="K37" i="23" s="1"/>
  <c r="L37" i="23" s="1"/>
  <c r="AC13" i="22"/>
  <c r="K27" i="23" s="1"/>
  <c r="AF14" i="22"/>
  <c r="K41" i="23" s="1"/>
  <c r="M41" i="23" s="1"/>
  <c r="Z44" i="22"/>
  <c r="X46" i="22"/>
  <c r="X48" i="22"/>
  <c r="X50" i="22"/>
  <c r="Z50" i="22"/>
  <c r="Z54" i="22"/>
  <c r="Z5" i="22"/>
  <c r="D18" i="24" s="1"/>
  <c r="AC6" i="22"/>
  <c r="K20" i="23" s="1"/>
  <c r="L20" i="23" s="1"/>
  <c r="Z7" i="22"/>
  <c r="D20" i="24" s="1"/>
  <c r="AC8" i="22"/>
  <c r="K22" i="23" s="1"/>
  <c r="Z9" i="22"/>
  <c r="K10" i="23" s="1"/>
  <c r="L10" i="23" s="1"/>
  <c r="AC10" i="22"/>
  <c r="K24" i="23" s="1"/>
  <c r="L24" i="23" s="1"/>
  <c r="Z11" i="22"/>
  <c r="K12" i="23" s="1"/>
  <c r="AC12" i="22"/>
  <c r="K26" i="23" s="1"/>
  <c r="L26" i="23" s="1"/>
  <c r="Z13" i="22"/>
  <c r="K14" i="23" s="1"/>
  <c r="M14" i="23" s="1"/>
  <c r="O14" i="23" s="1"/>
  <c r="AC14" i="22"/>
  <c r="K28" i="23" s="1"/>
  <c r="M28" i="23" s="1"/>
  <c r="Z15" i="22"/>
  <c r="K16" i="23" s="1"/>
  <c r="M16" i="23" s="1"/>
  <c r="O16" i="23" s="1"/>
  <c r="AC16" i="22"/>
  <c r="K30" i="23" s="1"/>
  <c r="L30" i="23" s="1"/>
  <c r="X17" i="22"/>
  <c r="J43" i="22"/>
  <c r="V43" i="22" s="1"/>
  <c r="J45" i="22"/>
  <c r="Y46" i="22"/>
  <c r="J47" i="22"/>
  <c r="J49" i="22"/>
  <c r="Y50" i="22"/>
  <c r="J51" i="22"/>
  <c r="J53" i="22"/>
  <c r="M46" i="23"/>
  <c r="M49" i="23"/>
  <c r="E11" i="24"/>
  <c r="F11" i="24"/>
  <c r="G11" i="24" s="1"/>
  <c r="U46" i="22"/>
  <c r="U50" i="22"/>
  <c r="T54" i="22"/>
  <c r="R54" i="22"/>
  <c r="X54" i="22"/>
  <c r="V54" i="22"/>
  <c r="Y54" i="22"/>
  <c r="L51" i="23"/>
  <c r="V46" i="22"/>
  <c r="V52" i="22"/>
  <c r="E55" i="22"/>
  <c r="D12" i="24"/>
  <c r="V12" i="22"/>
  <c r="M15" i="23"/>
  <c r="O15" i="23" s="1"/>
  <c r="L15" i="23"/>
  <c r="L67" i="23"/>
  <c r="M17" i="23"/>
  <c r="O17" i="23" s="1"/>
  <c r="L17" i="23"/>
  <c r="L69" i="23"/>
  <c r="M69" i="23"/>
  <c r="U43" i="22"/>
  <c r="Q44" i="22"/>
  <c r="U45" i="22"/>
  <c r="Q46" i="22"/>
  <c r="U47" i="22"/>
  <c r="Q48" i="22"/>
  <c r="U49" i="22"/>
  <c r="Q50" i="22"/>
  <c r="U51" i="22"/>
  <c r="Q52" i="22"/>
  <c r="Q54" i="22"/>
  <c r="I55" i="22"/>
  <c r="H5" i="24"/>
  <c r="L61" i="23"/>
  <c r="M61" i="23"/>
  <c r="W17" i="22"/>
  <c r="V17" i="22" s="1"/>
  <c r="U44" i="22"/>
  <c r="U48" i="22"/>
  <c r="U52" i="22"/>
  <c r="V44" i="22"/>
  <c r="V48" i="22"/>
  <c r="V50" i="22"/>
  <c r="L48" i="23"/>
  <c r="M48" i="23"/>
  <c r="V11" i="22"/>
  <c r="M38" i="23"/>
  <c r="M65" i="23"/>
  <c r="L65" i="23"/>
  <c r="E15" i="24"/>
  <c r="F15" i="24"/>
  <c r="G15" i="24" s="1"/>
  <c r="L55" i="23"/>
  <c r="M55" i="23"/>
  <c r="D33" i="22"/>
  <c r="D31" i="22"/>
  <c r="D29" i="22"/>
  <c r="D27" i="22"/>
  <c r="D25" i="22"/>
  <c r="D23" i="22"/>
  <c r="E32" i="22"/>
  <c r="E30" i="22"/>
  <c r="E28" i="22"/>
  <c r="E26" i="22"/>
  <c r="E24" i="22"/>
  <c r="E22" i="22"/>
  <c r="F55" i="22"/>
  <c r="S44" i="22"/>
  <c r="R44" i="22"/>
  <c r="S46" i="22"/>
  <c r="W46" i="22"/>
  <c r="R46" i="22"/>
  <c r="V47" i="22"/>
  <c r="S48" i="22"/>
  <c r="W48" i="22"/>
  <c r="R48" i="22"/>
  <c r="S50" i="22"/>
  <c r="W50" i="22"/>
  <c r="R50" i="22"/>
  <c r="S52" i="22"/>
  <c r="R52" i="22"/>
  <c r="S54" i="22"/>
  <c r="W54" i="22"/>
  <c r="M11" i="23"/>
  <c r="O11" i="23" s="1"/>
  <c r="L13" i="23"/>
  <c r="M58" i="23"/>
  <c r="L58" i="23"/>
  <c r="L62" i="23"/>
  <c r="L66" i="23"/>
  <c r="M68" i="23"/>
  <c r="L68" i="23"/>
  <c r="O43" i="22"/>
  <c r="S43" i="22"/>
  <c r="O44" i="22"/>
  <c r="O45" i="22"/>
  <c r="O46" i="22"/>
  <c r="O47" i="22"/>
  <c r="O48" i="22"/>
  <c r="O49" i="22"/>
  <c r="O50" i="22"/>
  <c r="O51" i="22"/>
  <c r="O52" i="22"/>
  <c r="O53" i="22"/>
  <c r="O54" i="22"/>
  <c r="C55" i="22"/>
  <c r="L50" i="23"/>
  <c r="M59" i="23"/>
  <c r="L59" i="23"/>
  <c r="M47" i="23"/>
  <c r="L47" i="23"/>
  <c r="M63" i="23"/>
  <c r="L63" i="23"/>
  <c r="F14" i="24"/>
  <c r="G14" i="24" s="1"/>
  <c r="E14" i="24"/>
  <c r="M54" i="23"/>
  <c r="L54" i="23"/>
  <c r="F16" i="24"/>
  <c r="G16" i="24" s="1"/>
  <c r="E16" i="24"/>
  <c r="J43" i="24"/>
  <c r="F13" i="24"/>
  <c r="G13" i="24" s="1"/>
  <c r="E13" i="24"/>
  <c r="E17" i="28" l="1"/>
  <c r="P8" i="28" s="1"/>
  <c r="X44" i="22"/>
  <c r="N55" i="22"/>
  <c r="M24" i="23"/>
  <c r="L28" i="23"/>
  <c r="Y48" i="22"/>
  <c r="M23" i="23"/>
  <c r="M64" i="23"/>
  <c r="M70" i="23" s="1"/>
  <c r="X62" i="23" s="1"/>
  <c r="H16" i="25" s="1"/>
  <c r="K70" i="23"/>
  <c r="Y60" i="23" s="1"/>
  <c r="M53" i="23"/>
  <c r="M60" i="23"/>
  <c r="L16" i="23"/>
  <c r="M45" i="23"/>
  <c r="K57" i="23"/>
  <c r="Y47" i="23" s="1"/>
  <c r="L45" i="23"/>
  <c r="M36" i="23"/>
  <c r="M26" i="23"/>
  <c r="T55" i="22"/>
  <c r="D7" i="23" s="1"/>
  <c r="D9" i="23" s="1"/>
  <c r="D5" i="25" s="1"/>
  <c r="P55" i="22"/>
  <c r="S55" i="22"/>
  <c r="L25" i="23"/>
  <c r="M20" i="23"/>
  <c r="O20" i="23" s="1"/>
  <c r="W49" i="22"/>
  <c r="E10" i="23"/>
  <c r="E18" i="24"/>
  <c r="F18" i="24"/>
  <c r="L56" i="23"/>
  <c r="L57" i="23" s="1"/>
  <c r="Y48" i="23" s="1"/>
  <c r="R55" i="22"/>
  <c r="M55" i="22"/>
  <c r="W44" i="22"/>
  <c r="M52" i="23"/>
  <c r="F20" i="24"/>
  <c r="G20" i="24" s="1"/>
  <c r="E20" i="24"/>
  <c r="Q55" i="22"/>
  <c r="Z43" i="22"/>
  <c r="X49" i="22"/>
  <c r="D30" i="24"/>
  <c r="P20" i="24" s="1"/>
  <c r="AL17" i="22"/>
  <c r="AK17" i="22" s="1"/>
  <c r="AI17" i="22"/>
  <c r="AH17" i="22" s="1"/>
  <c r="T55" i="26"/>
  <c r="D7" i="27" s="1"/>
  <c r="D9" i="27" s="1"/>
  <c r="E10" i="27" s="1"/>
  <c r="Q55" i="26"/>
  <c r="S55" i="26"/>
  <c r="F17" i="28"/>
  <c r="P9" i="28" s="1"/>
  <c r="L18" i="27"/>
  <c r="Y9" i="27" s="1"/>
  <c r="AL17" i="26"/>
  <c r="AK17" i="26" s="1"/>
  <c r="K70" i="27"/>
  <c r="Y60" i="27" s="1"/>
  <c r="V55" i="26"/>
  <c r="D33" i="27" s="1"/>
  <c r="D35" i="27" s="1"/>
  <c r="F5" i="29" s="1"/>
  <c r="M32" i="27"/>
  <c r="K44" i="27"/>
  <c r="Y34" i="27" s="1"/>
  <c r="L32" i="27"/>
  <c r="L44" i="27" s="1"/>
  <c r="Y35" i="27" s="1"/>
  <c r="U55" i="26"/>
  <c r="D20" i="27" s="1"/>
  <c r="D22" i="27" s="1"/>
  <c r="Z48" i="26"/>
  <c r="Z55" i="26" s="1"/>
  <c r="M49" i="27"/>
  <c r="L49" i="27"/>
  <c r="R55" i="26"/>
  <c r="L31" i="27"/>
  <c r="Y22" i="27" s="1"/>
  <c r="K45" i="27"/>
  <c r="AI17" i="26"/>
  <c r="AH17" i="26" s="1"/>
  <c r="L64" i="27"/>
  <c r="M64" i="27"/>
  <c r="M18" i="27"/>
  <c r="X10" i="27" s="1"/>
  <c r="O10" i="27"/>
  <c r="M68" i="27"/>
  <c r="L68" i="27"/>
  <c r="Y55" i="26"/>
  <c r="M55" i="26"/>
  <c r="G18" i="28"/>
  <c r="F30" i="28"/>
  <c r="P22" i="28" s="1"/>
  <c r="M46" i="27"/>
  <c r="L46" i="27"/>
  <c r="W55" i="26"/>
  <c r="D46" i="27" s="1"/>
  <c r="D48" i="27" s="1"/>
  <c r="L66" i="27"/>
  <c r="M66" i="27"/>
  <c r="O55" i="26"/>
  <c r="H5" i="28"/>
  <c r="G17" i="28"/>
  <c r="M56" i="27"/>
  <c r="L56" i="27"/>
  <c r="E30" i="28"/>
  <c r="P21" i="28" s="1"/>
  <c r="X55" i="26"/>
  <c r="D59" i="27" s="1"/>
  <c r="D61" i="27" s="1"/>
  <c r="P55" i="26"/>
  <c r="L47" i="27"/>
  <c r="M47" i="27"/>
  <c r="M31" i="27"/>
  <c r="X23" i="27" s="1"/>
  <c r="E16" i="29" s="1"/>
  <c r="O19" i="27"/>
  <c r="L50" i="27"/>
  <c r="M50" i="27"/>
  <c r="L41" i="23"/>
  <c r="L33" i="23"/>
  <c r="X43" i="22"/>
  <c r="Y51" i="22"/>
  <c r="Y43" i="22"/>
  <c r="W52" i="22"/>
  <c r="L39" i="23"/>
  <c r="Y52" i="22"/>
  <c r="Z52" i="22"/>
  <c r="W47" i="22"/>
  <c r="AF17" i="22"/>
  <c r="AE17" i="22" s="1"/>
  <c r="W43" i="22"/>
  <c r="L29" i="23"/>
  <c r="V51" i="22"/>
  <c r="J55" i="22"/>
  <c r="L42" i="23"/>
  <c r="X51" i="22"/>
  <c r="Z49" i="22"/>
  <c r="M10" i="23"/>
  <c r="O10" i="23" s="1"/>
  <c r="M40" i="23"/>
  <c r="Y49" i="22"/>
  <c r="Z45" i="22"/>
  <c r="Z17" i="22"/>
  <c r="Y17" i="22" s="1"/>
  <c r="L27" i="23"/>
  <c r="M27" i="23"/>
  <c r="L14" i="23"/>
  <c r="AC17" i="22"/>
  <c r="AB17" i="22" s="1"/>
  <c r="K18" i="23"/>
  <c r="Y8" i="23" s="1"/>
  <c r="Y53" i="22"/>
  <c r="Y45" i="22"/>
  <c r="L22" i="23"/>
  <c r="M22" i="23"/>
  <c r="O22" i="23" s="1"/>
  <c r="V53" i="22"/>
  <c r="V49" i="22"/>
  <c r="V45" i="22"/>
  <c r="M30" i="23"/>
  <c r="M37" i="23"/>
  <c r="L21" i="23"/>
  <c r="L12" i="23"/>
  <c r="M12" i="23"/>
  <c r="O12" i="23" s="1"/>
  <c r="X53" i="22"/>
  <c r="X45" i="22"/>
  <c r="W53" i="22"/>
  <c r="W45" i="22"/>
  <c r="K19" i="23"/>
  <c r="K31" i="23" s="1"/>
  <c r="Y21" i="23" s="1"/>
  <c r="K32" i="23"/>
  <c r="K44" i="23" s="1"/>
  <c r="Y34" i="23" s="1"/>
  <c r="L34" i="23"/>
  <c r="Y47" i="22"/>
  <c r="X47" i="22"/>
  <c r="W51" i="22"/>
  <c r="L55" i="22"/>
  <c r="L43" i="23"/>
  <c r="M43" i="23"/>
  <c r="M35" i="23"/>
  <c r="L35" i="23"/>
  <c r="K55" i="22"/>
  <c r="F12" i="24"/>
  <c r="G12" i="24" s="1"/>
  <c r="G17" i="24" s="1"/>
  <c r="E12" i="24"/>
  <c r="E17" i="24" s="1"/>
  <c r="P8" i="24" s="1"/>
  <c r="H6" i="24"/>
  <c r="J5" i="24"/>
  <c r="O55" i="22"/>
  <c r="U55" i="22"/>
  <c r="D20" i="23" s="1"/>
  <c r="D22" i="23" s="1"/>
  <c r="L70" i="23"/>
  <c r="Y61" i="23" s="1"/>
  <c r="D17" i="24"/>
  <c r="P7" i="24" s="1"/>
  <c r="D5" i="29" l="1"/>
  <c r="M70" i="27"/>
  <c r="X62" i="27" s="1"/>
  <c r="H16" i="29" s="1"/>
  <c r="M57" i="23"/>
  <c r="X49" i="23" s="1"/>
  <c r="G16" i="25" s="1"/>
  <c r="H31" i="23"/>
  <c r="H18" i="23"/>
  <c r="L32" i="23"/>
  <c r="L18" i="23"/>
  <c r="Y9" i="23" s="1"/>
  <c r="G18" i="24"/>
  <c r="F30" i="24"/>
  <c r="P22" i="24" s="1"/>
  <c r="E23" i="23"/>
  <c r="E7" i="25" s="1"/>
  <c r="E5" i="25"/>
  <c r="W55" i="22"/>
  <c r="D46" i="23" s="1"/>
  <c r="D48" i="23" s="1"/>
  <c r="E30" i="24"/>
  <c r="P21" i="24" s="1"/>
  <c r="E13" i="23"/>
  <c r="E17" i="23" s="1"/>
  <c r="I10" i="23" s="1"/>
  <c r="D7" i="25"/>
  <c r="L70" i="27"/>
  <c r="Y61" i="27" s="1"/>
  <c r="E36" i="27"/>
  <c r="O18" i="27"/>
  <c r="E5" i="29"/>
  <c r="E23" i="27"/>
  <c r="F7" i="29"/>
  <c r="H6" i="28"/>
  <c r="J5" i="28"/>
  <c r="M44" i="27"/>
  <c r="X36" i="27" s="1"/>
  <c r="F16" i="29" s="1"/>
  <c r="H5" i="29"/>
  <c r="E62" i="27"/>
  <c r="D16" i="29"/>
  <c r="D18" i="29" s="1"/>
  <c r="Y12" i="27"/>
  <c r="K57" i="27"/>
  <c r="Y47" i="27" s="1"/>
  <c r="M45" i="27"/>
  <c r="L45" i="27"/>
  <c r="L57" i="27" s="1"/>
  <c r="Y48" i="27" s="1"/>
  <c r="G5" i="29"/>
  <c r="E49" i="27"/>
  <c r="G30" i="28"/>
  <c r="H18" i="28"/>
  <c r="D7" i="29"/>
  <c r="E13" i="27"/>
  <c r="E17" i="27" s="1"/>
  <c r="I10" i="27" s="1"/>
  <c r="Z55" i="22"/>
  <c r="L19" i="23"/>
  <c r="L31" i="23" s="1"/>
  <c r="Y22" i="23" s="1"/>
  <c r="M19" i="23"/>
  <c r="M31" i="23" s="1"/>
  <c r="X23" i="23" s="1"/>
  <c r="E16" i="25" s="1"/>
  <c r="M18" i="23"/>
  <c r="X10" i="23" s="1"/>
  <c r="L44" i="23"/>
  <c r="Y35" i="23" s="1"/>
  <c r="X55" i="22"/>
  <c r="D59" i="23" s="1"/>
  <c r="D61" i="23" s="1"/>
  <c r="V55" i="22"/>
  <c r="D33" i="23" s="1"/>
  <c r="D35" i="23" s="1"/>
  <c r="Y55" i="22"/>
  <c r="M32" i="23"/>
  <c r="M44" i="23" s="1"/>
  <c r="X36" i="23" s="1"/>
  <c r="F16" i="25" s="1"/>
  <c r="O18" i="23"/>
  <c r="F17" i="24"/>
  <c r="P9" i="24" s="1"/>
  <c r="H7" i="24"/>
  <c r="J6" i="24"/>
  <c r="H44" i="23" l="1"/>
  <c r="D10" i="25"/>
  <c r="D14" i="25" s="1"/>
  <c r="D31" i="25"/>
  <c r="I11" i="23"/>
  <c r="J10" i="23"/>
  <c r="P10" i="23" s="1"/>
  <c r="Q10" i="23" s="1"/>
  <c r="E31" i="25"/>
  <c r="Y12" i="23"/>
  <c r="D32" i="25" s="1"/>
  <c r="D16" i="25"/>
  <c r="D18" i="25" s="1"/>
  <c r="E62" i="23"/>
  <c r="H7" i="25" s="1"/>
  <c r="H31" i="25" s="1"/>
  <c r="H5" i="25"/>
  <c r="E36" i="23"/>
  <c r="F7" i="25" s="1"/>
  <c r="F31" i="25" s="1"/>
  <c r="F5" i="25"/>
  <c r="E49" i="23"/>
  <c r="G7" i="25" s="1"/>
  <c r="G31" i="25" s="1"/>
  <c r="G5" i="25"/>
  <c r="H18" i="24"/>
  <c r="G30" i="24"/>
  <c r="I11" i="27"/>
  <c r="J10" i="27"/>
  <c r="F31" i="29"/>
  <c r="D31" i="29"/>
  <c r="D10" i="29"/>
  <c r="D14" i="29" s="1"/>
  <c r="M57" i="27"/>
  <c r="X49" i="27" s="1"/>
  <c r="G16" i="29" s="1"/>
  <c r="H7" i="29"/>
  <c r="E7" i="29"/>
  <c r="D32" i="29"/>
  <c r="G7" i="29"/>
  <c r="H7" i="28"/>
  <c r="J6" i="28"/>
  <c r="H19" i="28"/>
  <c r="J19" i="28"/>
  <c r="O19" i="23"/>
  <c r="J7" i="24"/>
  <c r="H8" i="24"/>
  <c r="I12" i="23" l="1"/>
  <c r="J11" i="23"/>
  <c r="P11" i="23" s="1"/>
  <c r="Q11" i="23" s="1"/>
  <c r="J19" i="24"/>
  <c r="H19" i="24"/>
  <c r="H20" i="28"/>
  <c r="J20" i="28"/>
  <c r="H31" i="29"/>
  <c r="P10" i="27"/>
  <c r="H8" i="28"/>
  <c r="J7" i="28"/>
  <c r="E31" i="29"/>
  <c r="G31" i="29"/>
  <c r="I12" i="27"/>
  <c r="J11" i="27"/>
  <c r="P11" i="27" s="1"/>
  <c r="S11" i="23"/>
  <c r="H9" i="24"/>
  <c r="J8" i="24"/>
  <c r="H57" i="23" l="1"/>
  <c r="H20" i="24"/>
  <c r="J20" i="24"/>
  <c r="J12" i="23"/>
  <c r="P12" i="23" s="1"/>
  <c r="Q12" i="23" s="1"/>
  <c r="I13" i="23"/>
  <c r="Q10" i="27"/>
  <c r="S11" i="27" s="1"/>
  <c r="I13" i="27"/>
  <c r="J12" i="27"/>
  <c r="P12" i="27" s="1"/>
  <c r="J21" i="28"/>
  <c r="H21" i="28"/>
  <c r="H9" i="28"/>
  <c r="J8" i="28"/>
  <c r="H10" i="24"/>
  <c r="J9" i="24"/>
  <c r="S12" i="23"/>
  <c r="H70" i="23" l="1"/>
  <c r="I14" i="23"/>
  <c r="J13" i="23"/>
  <c r="P13" i="23" s="1"/>
  <c r="Q13" i="23" s="1"/>
  <c r="S14" i="23" s="1"/>
  <c r="H21" i="24"/>
  <c r="J21" i="24"/>
  <c r="Q11" i="27"/>
  <c r="S12" i="27" s="1"/>
  <c r="J9" i="28"/>
  <c r="H10" i="28"/>
  <c r="I14" i="27"/>
  <c r="J13" i="27"/>
  <c r="P13" i="27" s="1"/>
  <c r="J22" i="28"/>
  <c r="H22" i="28"/>
  <c r="S13" i="23"/>
  <c r="H11" i="24"/>
  <c r="J11" i="24"/>
  <c r="J10" i="24"/>
  <c r="J22" i="24" l="1"/>
  <c r="H22" i="24"/>
  <c r="I15" i="23"/>
  <c r="J14" i="23"/>
  <c r="P14" i="23" s="1"/>
  <c r="Q14" i="23" s="1"/>
  <c r="S15" i="23" s="1"/>
  <c r="J23" i="28"/>
  <c r="H23" i="28"/>
  <c r="J11" i="28"/>
  <c r="J10" i="28"/>
  <c r="H11" i="28"/>
  <c r="J14" i="27"/>
  <c r="P14" i="27" s="1"/>
  <c r="I15" i="27"/>
  <c r="Q12" i="27"/>
  <c r="S13" i="27" s="1"/>
  <c r="J12" i="24"/>
  <c r="H12" i="24"/>
  <c r="I16" i="23" l="1"/>
  <c r="J15" i="23"/>
  <c r="P15" i="23" s="1"/>
  <c r="Q15" i="23" s="1"/>
  <c r="S16" i="23" s="1"/>
  <c r="H23" i="24"/>
  <c r="J23" i="24"/>
  <c r="I16" i="27"/>
  <c r="J15" i="27"/>
  <c r="P15" i="27" s="1"/>
  <c r="Q13" i="27"/>
  <c r="S14" i="27" s="1"/>
  <c r="J24" i="28"/>
  <c r="H24" i="28"/>
  <c r="H12" i="28"/>
  <c r="J12" i="28"/>
  <c r="J13" i="24"/>
  <c r="H13" i="24"/>
  <c r="J24" i="24" l="1"/>
  <c r="H24" i="24"/>
  <c r="J16" i="23"/>
  <c r="I17" i="23"/>
  <c r="Q14" i="27"/>
  <c r="S15" i="27" s="1"/>
  <c r="H25" i="28"/>
  <c r="J25" i="28"/>
  <c r="I17" i="27"/>
  <c r="J16" i="27"/>
  <c r="P16" i="27" s="1"/>
  <c r="H13" i="28"/>
  <c r="J13" i="28"/>
  <c r="Q15" i="27"/>
  <c r="S16" i="27" s="1"/>
  <c r="H14" i="24"/>
  <c r="J14" i="24"/>
  <c r="H25" i="24" l="1"/>
  <c r="J25" i="24"/>
  <c r="J17" i="23"/>
  <c r="P17" i="23" s="1"/>
  <c r="I19" i="23"/>
  <c r="P16" i="23"/>
  <c r="Q16" i="27"/>
  <c r="S17" i="27" s="1"/>
  <c r="S18" i="27" s="1"/>
  <c r="D35" i="29"/>
  <c r="D24" i="29"/>
  <c r="J17" i="27"/>
  <c r="I19" i="27"/>
  <c r="J14" i="28"/>
  <c r="H14" i="28"/>
  <c r="H26" i="28"/>
  <c r="J26" i="28"/>
  <c r="H15" i="24"/>
  <c r="J15" i="24"/>
  <c r="I20" i="23" l="1"/>
  <c r="J19" i="23"/>
  <c r="P19" i="23" s="1"/>
  <c r="Q19" i="23" s="1"/>
  <c r="S20" i="23" s="1"/>
  <c r="Q17" i="23"/>
  <c r="J18" i="23"/>
  <c r="Y13" i="23" s="1"/>
  <c r="Q16" i="23"/>
  <c r="S17" i="23" s="1"/>
  <c r="S18" i="23" s="1"/>
  <c r="P18" i="23"/>
  <c r="H26" i="24"/>
  <c r="J26" i="24"/>
  <c r="J27" i="28"/>
  <c r="H27" i="28"/>
  <c r="P17" i="27"/>
  <c r="J18" i="27"/>
  <c r="Y13" i="27" s="1"/>
  <c r="J15" i="28"/>
  <c r="H15" i="28"/>
  <c r="J19" i="27"/>
  <c r="I20" i="27"/>
  <c r="J16" i="24"/>
  <c r="J17" i="24" s="1"/>
  <c r="H16" i="24"/>
  <c r="T25" i="23" l="1"/>
  <c r="T29" i="23"/>
  <c r="T26" i="23"/>
  <c r="T19" i="23"/>
  <c r="T28" i="23"/>
  <c r="T20" i="23"/>
  <c r="T21" i="23"/>
  <c r="T30" i="23"/>
  <c r="T23" i="23"/>
  <c r="T27" i="23"/>
  <c r="T22" i="23"/>
  <c r="T24" i="23"/>
  <c r="D20" i="25"/>
  <c r="Y14" i="23"/>
  <c r="E37" i="23" s="1"/>
  <c r="H27" i="24"/>
  <c r="J27" i="24"/>
  <c r="D24" i="25"/>
  <c r="D35" i="25"/>
  <c r="I21" i="23"/>
  <c r="J20" i="23"/>
  <c r="P20" i="23" s="1"/>
  <c r="Q20" i="23" s="1"/>
  <c r="S21" i="23" s="1"/>
  <c r="P19" i="27"/>
  <c r="J28" i="28"/>
  <c r="H28" i="28"/>
  <c r="J20" i="27"/>
  <c r="P20" i="27" s="1"/>
  <c r="I21" i="27"/>
  <c r="D20" i="29"/>
  <c r="Y14" i="27"/>
  <c r="E37" i="27" s="1"/>
  <c r="Q17" i="27"/>
  <c r="P18" i="27"/>
  <c r="H16" i="28"/>
  <c r="J16" i="28"/>
  <c r="J17" i="28" s="1"/>
  <c r="K26" i="24"/>
  <c r="K18" i="24"/>
  <c r="K27" i="24"/>
  <c r="K19" i="24"/>
  <c r="K28" i="24"/>
  <c r="K24" i="24"/>
  <c r="K23" i="24"/>
  <c r="K22" i="24"/>
  <c r="K21" i="24"/>
  <c r="K20" i="24"/>
  <c r="K29" i="24"/>
  <c r="K25" i="24"/>
  <c r="T31" i="23" l="1"/>
  <c r="H28" i="24"/>
  <c r="J28" i="24"/>
  <c r="J21" i="23"/>
  <c r="P21" i="23" s="1"/>
  <c r="Q21" i="23" s="1"/>
  <c r="S22" i="23" s="1"/>
  <c r="I22" i="23"/>
  <c r="J22" i="23" s="1"/>
  <c r="P22" i="23" s="1"/>
  <c r="D23" i="25"/>
  <c r="D33" i="25"/>
  <c r="D34" i="25" s="1"/>
  <c r="D38" i="25" s="1"/>
  <c r="H29" i="28"/>
  <c r="J29" i="28"/>
  <c r="J30" i="28" s="1"/>
  <c r="K28" i="28"/>
  <c r="K24" i="28"/>
  <c r="K23" i="28"/>
  <c r="K22" i="28"/>
  <c r="K21" i="28"/>
  <c r="K29" i="28"/>
  <c r="K25" i="28"/>
  <c r="K20" i="28"/>
  <c r="K19" i="28"/>
  <c r="K18" i="28"/>
  <c r="K27" i="28"/>
  <c r="K26" i="28"/>
  <c r="T27" i="27"/>
  <c r="T21" i="27"/>
  <c r="T30" i="27"/>
  <c r="T24" i="27"/>
  <c r="T20" i="27"/>
  <c r="T23" i="27"/>
  <c r="T22" i="27"/>
  <c r="T19" i="27"/>
  <c r="T28" i="27"/>
  <c r="T26" i="27"/>
  <c r="T25" i="27"/>
  <c r="T29" i="27"/>
  <c r="I22" i="27"/>
  <c r="J22" i="27" s="1"/>
  <c r="P22" i="27" s="1"/>
  <c r="J21" i="27"/>
  <c r="P21" i="27" s="1"/>
  <c r="Q19" i="27"/>
  <c r="S20" i="27" s="1"/>
  <c r="D33" i="29"/>
  <c r="D23" i="29"/>
  <c r="K30" i="24"/>
  <c r="P10" i="24" s="1"/>
  <c r="E26" i="23" s="1"/>
  <c r="Q20" i="27" l="1"/>
  <c r="S21" i="27" s="1"/>
  <c r="Q22" i="23"/>
  <c r="S23" i="23" s="1"/>
  <c r="J29" i="24"/>
  <c r="J30" i="24" s="1"/>
  <c r="H29" i="24"/>
  <c r="E9" i="25"/>
  <c r="E10" i="25" s="1"/>
  <c r="E14" i="25" s="1"/>
  <c r="N32" i="23"/>
  <c r="N23" i="23"/>
  <c r="N24" i="23"/>
  <c r="Y15" i="23"/>
  <c r="E38" i="23" s="1"/>
  <c r="E36" i="25"/>
  <c r="F37" i="25" s="1"/>
  <c r="D25" i="25"/>
  <c r="D26" i="25" s="1"/>
  <c r="F8" i="25" s="1"/>
  <c r="T31" i="27"/>
  <c r="K42" i="28"/>
  <c r="K38" i="28"/>
  <c r="K34" i="28"/>
  <c r="K39" i="28"/>
  <c r="K35" i="28"/>
  <c r="K31" i="28"/>
  <c r="K40" i="28"/>
  <c r="K36" i="28"/>
  <c r="K32" i="28"/>
  <c r="K37" i="28"/>
  <c r="K41" i="28"/>
  <c r="K33" i="28"/>
  <c r="D34" i="29"/>
  <c r="K30" i="28"/>
  <c r="P10" i="28" s="1"/>
  <c r="E26" i="27" s="1"/>
  <c r="N35" i="23"/>
  <c r="O35" i="23" s="1"/>
  <c r="N34" i="23"/>
  <c r="O34" i="23" s="1"/>
  <c r="N29" i="23"/>
  <c r="O29" i="23" s="1"/>
  <c r="N26" i="23"/>
  <c r="O26" i="23" s="1"/>
  <c r="N27" i="23"/>
  <c r="O27" i="23" s="1"/>
  <c r="O24" i="23"/>
  <c r="N28" i="23"/>
  <c r="O28" i="23" s="1"/>
  <c r="N33" i="23"/>
  <c r="O33" i="23" s="1"/>
  <c r="N30" i="23"/>
  <c r="O30" i="23" s="1"/>
  <c r="N25" i="23"/>
  <c r="O25" i="23" s="1"/>
  <c r="E27" i="23"/>
  <c r="E30" i="23" s="1"/>
  <c r="I23" i="23" s="1"/>
  <c r="Q21" i="27" l="1"/>
  <c r="S22" i="27" s="1"/>
  <c r="K32" i="24"/>
  <c r="K42" i="24"/>
  <c r="K31" i="24"/>
  <c r="K38" i="24"/>
  <c r="K35" i="24"/>
  <c r="K40" i="24"/>
  <c r="K34" i="24"/>
  <c r="K36" i="24"/>
  <c r="K41" i="24"/>
  <c r="K37" i="24"/>
  <c r="K33" i="24"/>
  <c r="K39" i="24"/>
  <c r="E9" i="29"/>
  <c r="E10" i="29" s="1"/>
  <c r="E14" i="29" s="1"/>
  <c r="N32" i="27"/>
  <c r="N28" i="27"/>
  <c r="O28" i="27" s="1"/>
  <c r="N25" i="27"/>
  <c r="O25" i="27" s="1"/>
  <c r="N34" i="27"/>
  <c r="O34" i="27" s="1"/>
  <c r="N29" i="27"/>
  <c r="O29" i="27" s="1"/>
  <c r="N26" i="27"/>
  <c r="O26" i="27" s="1"/>
  <c r="N23" i="27"/>
  <c r="N33" i="27"/>
  <c r="O33" i="27" s="1"/>
  <c r="N30" i="27"/>
  <c r="O30" i="27" s="1"/>
  <c r="N27" i="27"/>
  <c r="O27" i="27" s="1"/>
  <c r="N35" i="27"/>
  <c r="O35" i="27" s="1"/>
  <c r="N24" i="27"/>
  <c r="O24" i="27" s="1"/>
  <c r="E27" i="27"/>
  <c r="E30" i="27" s="1"/>
  <c r="I23" i="27" s="1"/>
  <c r="K43" i="28"/>
  <c r="P23" i="28" s="1"/>
  <c r="E39" i="27" s="1"/>
  <c r="F9" i="29" s="1"/>
  <c r="D38" i="29"/>
  <c r="Q22" i="27"/>
  <c r="S23" i="27" s="1"/>
  <c r="D25" i="29"/>
  <c r="D26" i="29" s="1"/>
  <c r="F8" i="29" s="1"/>
  <c r="E36" i="29"/>
  <c r="F37" i="29" s="1"/>
  <c r="Y15" i="27"/>
  <c r="E38" i="27" s="1"/>
  <c r="I24" i="23"/>
  <c r="J23" i="23"/>
  <c r="O32" i="23"/>
  <c r="N31" i="23"/>
  <c r="X24" i="23" s="1"/>
  <c r="O23" i="23"/>
  <c r="K43" i="24" l="1"/>
  <c r="P23" i="24" s="1"/>
  <c r="E39" i="23" s="1"/>
  <c r="F9" i="25" s="1"/>
  <c r="F10" i="25" s="1"/>
  <c r="F14" i="25" s="1"/>
  <c r="N48" i="23"/>
  <c r="O48" i="23" s="1"/>
  <c r="N42" i="23"/>
  <c r="O42" i="23" s="1"/>
  <c r="P23" i="23"/>
  <c r="N36" i="23"/>
  <c r="N45" i="23"/>
  <c r="O45" i="23" s="1"/>
  <c r="E17" i="25"/>
  <c r="E18" i="25" s="1"/>
  <c r="Y25" i="23"/>
  <c r="E32" i="25" s="1"/>
  <c r="N40" i="23"/>
  <c r="O40" i="23" s="1"/>
  <c r="N37" i="23"/>
  <c r="O37" i="23" s="1"/>
  <c r="N39" i="23"/>
  <c r="O39" i="23" s="1"/>
  <c r="I24" i="27"/>
  <c r="J23" i="27"/>
  <c r="O32" i="27"/>
  <c r="N31" i="27"/>
  <c r="X24" i="27" s="1"/>
  <c r="O23" i="27"/>
  <c r="F10" i="29"/>
  <c r="F14" i="29" s="1"/>
  <c r="N43" i="27"/>
  <c r="O43" i="27" s="1"/>
  <c r="N38" i="27"/>
  <c r="O38" i="27" s="1"/>
  <c r="N36" i="27"/>
  <c r="O36" i="27" s="1"/>
  <c r="N40" i="27"/>
  <c r="O40" i="27" s="1"/>
  <c r="N37" i="27"/>
  <c r="O37" i="27" s="1"/>
  <c r="N42" i="27"/>
  <c r="O42" i="27" s="1"/>
  <c r="N48" i="27"/>
  <c r="O48" i="27" s="1"/>
  <c r="N45" i="27"/>
  <c r="N47" i="27"/>
  <c r="O47" i="27" s="1"/>
  <c r="N46" i="27"/>
  <c r="O46" i="27" s="1"/>
  <c r="N41" i="27"/>
  <c r="O41" i="27" s="1"/>
  <c r="N39" i="27"/>
  <c r="O39" i="27" s="1"/>
  <c r="E40" i="27"/>
  <c r="E43" i="27" s="1"/>
  <c r="I36" i="27" s="1"/>
  <c r="I25" i="23"/>
  <c r="J24" i="23"/>
  <c r="P24" i="23" s="1"/>
  <c r="O31" i="23"/>
  <c r="E40" i="23" l="1"/>
  <c r="E43" i="23" s="1"/>
  <c r="I36" i="23" s="1"/>
  <c r="I37" i="23" s="1"/>
  <c r="N41" i="23"/>
  <c r="O41" i="23" s="1"/>
  <c r="N47" i="23"/>
  <c r="O47" i="23" s="1"/>
  <c r="N46" i="23"/>
  <c r="O46" i="23" s="1"/>
  <c r="N43" i="23"/>
  <c r="O43" i="23" s="1"/>
  <c r="N38" i="23"/>
  <c r="O38" i="23" s="1"/>
  <c r="O36" i="23"/>
  <c r="I37" i="27"/>
  <c r="J36" i="27"/>
  <c r="P36" i="27" s="1"/>
  <c r="O45" i="27"/>
  <c r="O44" i="27"/>
  <c r="N44" i="27"/>
  <c r="X37" i="27" s="1"/>
  <c r="I25" i="27"/>
  <c r="J24" i="27"/>
  <c r="P24" i="27" s="1"/>
  <c r="E17" i="29"/>
  <c r="E18" i="29" s="1"/>
  <c r="Y25" i="27"/>
  <c r="P23" i="27"/>
  <c r="O31" i="27"/>
  <c r="I26" i="23"/>
  <c r="J25" i="23"/>
  <c r="P25" i="23" s="1"/>
  <c r="Q23" i="23"/>
  <c r="S24" i="23" s="1"/>
  <c r="J36" i="23" l="1"/>
  <c r="P36" i="23" s="1"/>
  <c r="N44" i="23"/>
  <c r="X37" i="23" s="1"/>
  <c r="F17" i="25" s="1"/>
  <c r="F18" i="25" s="1"/>
  <c r="O44" i="23"/>
  <c r="Y38" i="23"/>
  <c r="F32" i="25" s="1"/>
  <c r="I38" i="23"/>
  <c r="J37" i="23"/>
  <c r="P37" i="23" s="1"/>
  <c r="Q23" i="27"/>
  <c r="S24" i="27" s="1"/>
  <c r="F17" i="29"/>
  <c r="F18" i="29" s="1"/>
  <c r="Y38" i="27"/>
  <c r="E32" i="29"/>
  <c r="I26" i="27"/>
  <c r="J25" i="27"/>
  <c r="I38" i="27"/>
  <c r="J37" i="27"/>
  <c r="P37" i="27" s="1"/>
  <c r="Q24" i="23"/>
  <c r="S25" i="23" s="1"/>
  <c r="I27" i="23"/>
  <c r="J26" i="23"/>
  <c r="P26" i="23" s="1"/>
  <c r="Q24" i="27" l="1"/>
  <c r="S25" i="27" s="1"/>
  <c r="I39" i="23"/>
  <c r="J38" i="23"/>
  <c r="P38" i="23" s="1"/>
  <c r="I39" i="27"/>
  <c r="J38" i="27"/>
  <c r="P38" i="27" s="1"/>
  <c r="I27" i="27"/>
  <c r="J26" i="27"/>
  <c r="P26" i="27" s="1"/>
  <c r="F32" i="29"/>
  <c r="P25" i="27"/>
  <c r="Q25" i="23"/>
  <c r="S26" i="23" s="1"/>
  <c r="I28" i="23"/>
  <c r="J27" i="23"/>
  <c r="P27" i="23" s="1"/>
  <c r="I40" i="23" l="1"/>
  <c r="J39" i="23"/>
  <c r="P39" i="23" s="1"/>
  <c r="Q25" i="27"/>
  <c r="S26" i="27" s="1"/>
  <c r="I28" i="27"/>
  <c r="J27" i="27"/>
  <c r="P27" i="27" s="1"/>
  <c r="I40" i="27"/>
  <c r="J39" i="27"/>
  <c r="P39" i="27" s="1"/>
  <c r="Q26" i="23"/>
  <c r="S27" i="23" s="1"/>
  <c r="I29" i="23"/>
  <c r="J28" i="23"/>
  <c r="P28" i="23" s="1"/>
  <c r="J40" i="23" l="1"/>
  <c r="P40" i="23" s="1"/>
  <c r="I41" i="23"/>
  <c r="Q26" i="27"/>
  <c r="S27" i="27" s="1"/>
  <c r="I41" i="27"/>
  <c r="J40" i="27"/>
  <c r="P40" i="27" s="1"/>
  <c r="I29" i="27"/>
  <c r="J28" i="27"/>
  <c r="P28" i="27" s="1"/>
  <c r="Q27" i="23"/>
  <c r="S28" i="23" s="1"/>
  <c r="I30" i="23"/>
  <c r="J29" i="23"/>
  <c r="P29" i="23" s="1"/>
  <c r="I42" i="23" l="1"/>
  <c r="J41" i="23"/>
  <c r="P41" i="23" s="1"/>
  <c r="Q27" i="27"/>
  <c r="S28" i="27" s="1"/>
  <c r="I30" i="27"/>
  <c r="J29" i="27"/>
  <c r="P29" i="27" s="1"/>
  <c r="I42" i="27"/>
  <c r="J41" i="27"/>
  <c r="P41" i="27" s="1"/>
  <c r="Q28" i="23"/>
  <c r="S29" i="23" s="1"/>
  <c r="I32" i="23"/>
  <c r="J30" i="23"/>
  <c r="P30" i="23" s="1"/>
  <c r="P31" i="23" s="1"/>
  <c r="J42" i="23" l="1"/>
  <c r="P42" i="23" s="1"/>
  <c r="I43" i="23"/>
  <c r="Q28" i="27"/>
  <c r="S29" i="27" s="1"/>
  <c r="I43" i="27"/>
  <c r="J42" i="27"/>
  <c r="P42" i="27" s="1"/>
  <c r="I32" i="27"/>
  <c r="J30" i="27"/>
  <c r="Q29" i="23"/>
  <c r="S30" i="23" s="1"/>
  <c r="S31" i="23" s="1"/>
  <c r="J31" i="23"/>
  <c r="Y26" i="23" s="1"/>
  <c r="I33" i="23"/>
  <c r="J32" i="23"/>
  <c r="P32" i="23" s="1"/>
  <c r="I45" i="23" l="1"/>
  <c r="J43" i="23"/>
  <c r="P43" i="23" s="1"/>
  <c r="E20" i="25"/>
  <c r="Y27" i="23"/>
  <c r="E50" i="23" s="1"/>
  <c r="E24" i="25"/>
  <c r="E35" i="25"/>
  <c r="Q29" i="27"/>
  <c r="S30" i="27" s="1"/>
  <c r="S31" i="27" s="1"/>
  <c r="E24" i="29" s="1"/>
  <c r="I33" i="27"/>
  <c r="J32" i="27"/>
  <c r="I45" i="27"/>
  <c r="J43" i="27"/>
  <c r="P43" i="27" s="1"/>
  <c r="P30" i="27"/>
  <c r="J31" i="27"/>
  <c r="Y26" i="27" s="1"/>
  <c r="Q30" i="23"/>
  <c r="I34" i="23"/>
  <c r="J33" i="23"/>
  <c r="P33" i="23" s="1"/>
  <c r="E35" i="29" l="1"/>
  <c r="J45" i="23"/>
  <c r="P45" i="23" s="1"/>
  <c r="Q45" i="23" s="1"/>
  <c r="S46" i="23" s="1"/>
  <c r="I46" i="23"/>
  <c r="E33" i="25"/>
  <c r="E23" i="25"/>
  <c r="P32" i="27"/>
  <c r="I46" i="27"/>
  <c r="J45" i="27"/>
  <c r="E20" i="29"/>
  <c r="Y27" i="27"/>
  <c r="E50" i="27" s="1"/>
  <c r="Q30" i="27"/>
  <c r="P31" i="27"/>
  <c r="J33" i="27"/>
  <c r="P33" i="27" s="1"/>
  <c r="I34" i="27"/>
  <c r="T43" i="23"/>
  <c r="T37" i="23"/>
  <c r="T41" i="23"/>
  <c r="T38" i="23"/>
  <c r="T40" i="23"/>
  <c r="T39" i="23"/>
  <c r="T33" i="23"/>
  <c r="T32" i="23"/>
  <c r="T42" i="23"/>
  <c r="T36" i="23"/>
  <c r="T34" i="23"/>
  <c r="T35" i="23"/>
  <c r="I35" i="23"/>
  <c r="J35" i="23" s="1"/>
  <c r="P35" i="23" s="1"/>
  <c r="J34" i="23"/>
  <c r="P34" i="23" s="1"/>
  <c r="Q32" i="23"/>
  <c r="S33" i="23" s="1"/>
  <c r="J46" i="23" l="1"/>
  <c r="P46" i="23" s="1"/>
  <c r="Q46" i="23" s="1"/>
  <c r="S47" i="23" s="1"/>
  <c r="I47" i="23"/>
  <c r="E34" i="25"/>
  <c r="E38" i="25" s="1"/>
  <c r="I35" i="27"/>
  <c r="J35" i="27" s="1"/>
  <c r="P35" i="27" s="1"/>
  <c r="P44" i="27" s="1"/>
  <c r="J34" i="27"/>
  <c r="P34" i="27" s="1"/>
  <c r="Q32" i="27"/>
  <c r="S33" i="27" s="1"/>
  <c r="I47" i="27"/>
  <c r="J46" i="27"/>
  <c r="P46" i="27" s="1"/>
  <c r="E33" i="29"/>
  <c r="E23" i="29"/>
  <c r="T42" i="27"/>
  <c r="T39" i="27"/>
  <c r="T35" i="27"/>
  <c r="T40" i="27"/>
  <c r="T36" i="27"/>
  <c r="T33" i="27"/>
  <c r="T43" i="27"/>
  <c r="T34" i="27"/>
  <c r="T37" i="27"/>
  <c r="T41" i="27"/>
  <c r="T38" i="27"/>
  <c r="T32" i="27"/>
  <c r="P45" i="27"/>
  <c r="T44" i="23"/>
  <c r="J44" i="23"/>
  <c r="Y39" i="23" s="1"/>
  <c r="Q33" i="23"/>
  <c r="S34" i="23" s="1"/>
  <c r="J47" i="23" l="1"/>
  <c r="P47" i="23" s="1"/>
  <c r="Q47" i="23" s="1"/>
  <c r="S48" i="23" s="1"/>
  <c r="I48" i="23"/>
  <c r="J48" i="23" s="1"/>
  <c r="P48" i="23" s="1"/>
  <c r="Y28" i="23"/>
  <c r="E51" i="23" s="1"/>
  <c r="E25" i="25"/>
  <c r="E26" i="25" s="1"/>
  <c r="G8" i="25" s="1"/>
  <c r="G10" i="25" s="1"/>
  <c r="G14" i="25" s="1"/>
  <c r="F36" i="25"/>
  <c r="G37" i="25" s="1"/>
  <c r="Y40" i="23"/>
  <c r="E63" i="23" s="1"/>
  <c r="F20" i="25"/>
  <c r="J44" i="27"/>
  <c r="Y39" i="27" s="1"/>
  <c r="Y40" i="27" s="1"/>
  <c r="E63" i="27" s="1"/>
  <c r="I48" i="27"/>
  <c r="J48" i="27" s="1"/>
  <c r="P48" i="27" s="1"/>
  <c r="J47" i="27"/>
  <c r="E34" i="29"/>
  <c r="E38" i="29" s="1"/>
  <c r="F20" i="29"/>
  <c r="T53" i="27"/>
  <c r="T47" i="27"/>
  <c r="T45" i="27"/>
  <c r="T56" i="27"/>
  <c r="T55" i="27"/>
  <c r="T54" i="27"/>
  <c r="T48" i="27"/>
  <c r="T51" i="27"/>
  <c r="T52" i="27"/>
  <c r="T46" i="27"/>
  <c r="T50" i="27"/>
  <c r="T49" i="27"/>
  <c r="T44" i="27"/>
  <c r="Q45" i="27"/>
  <c r="S46" i="27" s="1"/>
  <c r="Q33" i="27"/>
  <c r="S34" i="27" s="1"/>
  <c r="Q34" i="23"/>
  <c r="P44" i="23"/>
  <c r="Q48" i="23" l="1"/>
  <c r="S49" i="23" s="1"/>
  <c r="N61" i="23"/>
  <c r="O61" i="23" s="1"/>
  <c r="N56" i="23"/>
  <c r="N51" i="23"/>
  <c r="O51" i="23" s="1"/>
  <c r="N49" i="23"/>
  <c r="N60" i="23"/>
  <c r="O60" i="23" s="1"/>
  <c r="N50" i="23"/>
  <c r="O50" i="23" s="1"/>
  <c r="N58" i="23"/>
  <c r="O58" i="23" s="1"/>
  <c r="N55" i="23"/>
  <c r="O55" i="23" s="1"/>
  <c r="N54" i="23"/>
  <c r="N52" i="23"/>
  <c r="O52" i="23" s="1"/>
  <c r="N59" i="23"/>
  <c r="O59" i="23" s="1"/>
  <c r="N53" i="23"/>
  <c r="O53" i="23" s="1"/>
  <c r="F33" i="25"/>
  <c r="F34" i="25" s="1"/>
  <c r="F23" i="25"/>
  <c r="T57" i="27"/>
  <c r="P47" i="27"/>
  <c r="F33" i="29"/>
  <c r="F23" i="29"/>
  <c r="E25" i="29"/>
  <c r="E26" i="29" s="1"/>
  <c r="G8" i="29" s="1"/>
  <c r="G10" i="29" s="1"/>
  <c r="G14" i="29" s="1"/>
  <c r="F36" i="29"/>
  <c r="G37" i="29" s="1"/>
  <c r="Y28" i="27"/>
  <c r="E51" i="27" s="1"/>
  <c r="Q34" i="27"/>
  <c r="Q46" i="27"/>
  <c r="S47" i="27" s="1"/>
  <c r="E52" i="23"/>
  <c r="E55" i="23" s="1"/>
  <c r="I49" i="23" s="1"/>
  <c r="O54" i="23"/>
  <c r="O56" i="23"/>
  <c r="T56" i="23"/>
  <c r="T55" i="23"/>
  <c r="T52" i="23"/>
  <c r="T49" i="23"/>
  <c r="T46" i="23"/>
  <c r="T54" i="23"/>
  <c r="T53" i="23"/>
  <c r="T51" i="23"/>
  <c r="T45" i="23"/>
  <c r="T50" i="23"/>
  <c r="T48" i="23"/>
  <c r="T47" i="23"/>
  <c r="S35" i="23"/>
  <c r="Q35" i="23"/>
  <c r="Q47" i="27" l="1"/>
  <c r="S35" i="27"/>
  <c r="Q35" i="27"/>
  <c r="N59" i="27"/>
  <c r="O59" i="27" s="1"/>
  <c r="N58" i="27"/>
  <c r="N53" i="27"/>
  <c r="O53" i="27" s="1"/>
  <c r="E52" i="27"/>
  <c r="E55" i="27" s="1"/>
  <c r="I49" i="27" s="1"/>
  <c r="N54" i="27"/>
  <c r="O54" i="27" s="1"/>
  <c r="N61" i="27"/>
  <c r="O61" i="27" s="1"/>
  <c r="N51" i="27"/>
  <c r="O51" i="27" s="1"/>
  <c r="N49" i="27"/>
  <c r="N60" i="27"/>
  <c r="O60" i="27" s="1"/>
  <c r="N56" i="27"/>
  <c r="O56" i="27" s="1"/>
  <c r="N55" i="27"/>
  <c r="O55" i="27" s="1"/>
  <c r="N50" i="27"/>
  <c r="O50" i="27" s="1"/>
  <c r="N52" i="27"/>
  <c r="O52" i="27" s="1"/>
  <c r="F34" i="29"/>
  <c r="G36" i="29"/>
  <c r="F25" i="29"/>
  <c r="O49" i="23"/>
  <c r="O57" i="23" s="1"/>
  <c r="N57" i="23"/>
  <c r="X50" i="23" s="1"/>
  <c r="J49" i="23"/>
  <c r="I50" i="23"/>
  <c r="T57" i="23"/>
  <c r="F25" i="25" s="1"/>
  <c r="S36" i="23"/>
  <c r="Q36" i="23"/>
  <c r="O58" i="27" l="1"/>
  <c r="O49" i="27"/>
  <c r="N57" i="27"/>
  <c r="X50" i="27" s="1"/>
  <c r="I50" i="27"/>
  <c r="J49" i="27"/>
  <c r="S36" i="27"/>
  <c r="Q36" i="27"/>
  <c r="S48" i="27"/>
  <c r="Q48" i="27"/>
  <c r="S49" i="27" s="1"/>
  <c r="G17" i="25"/>
  <c r="G18" i="25" s="1"/>
  <c r="Y51" i="23"/>
  <c r="G32" i="25" s="1"/>
  <c r="G36" i="25"/>
  <c r="I51" i="23"/>
  <c r="J50" i="23"/>
  <c r="P50" i="23" s="1"/>
  <c r="P49" i="23"/>
  <c r="Q49" i="23" s="1"/>
  <c r="S50" i="23" s="1"/>
  <c r="S37" i="23"/>
  <c r="Q37" i="23"/>
  <c r="Y51" i="27" l="1"/>
  <c r="G17" i="29"/>
  <c r="G18" i="29" s="1"/>
  <c r="S37" i="27"/>
  <c r="Q37" i="27"/>
  <c r="P49" i="27"/>
  <c r="O57" i="27"/>
  <c r="I51" i="27"/>
  <c r="J50" i="27"/>
  <c r="P50" i="27" s="1"/>
  <c r="Q50" i="23"/>
  <c r="S51" i="23" s="1"/>
  <c r="I52" i="23"/>
  <c r="J51" i="23"/>
  <c r="P51" i="23" s="1"/>
  <c r="S38" i="23"/>
  <c r="Q38" i="23"/>
  <c r="I52" i="27" l="1"/>
  <c r="J51" i="27"/>
  <c r="S38" i="27"/>
  <c r="Q38" i="27"/>
  <c r="G32" i="29"/>
  <c r="Q49" i="27"/>
  <c r="S50" i="27" s="1"/>
  <c r="Q51" i="23"/>
  <c r="S52" i="23" s="1"/>
  <c r="I53" i="23"/>
  <c r="J52" i="23"/>
  <c r="P52" i="23" s="1"/>
  <c r="S39" i="23"/>
  <c r="Q39" i="23"/>
  <c r="P51" i="27" l="1"/>
  <c r="S39" i="27"/>
  <c r="Q39" i="27"/>
  <c r="I53" i="27"/>
  <c r="J52" i="27"/>
  <c r="P52" i="27" s="1"/>
  <c r="Q50" i="27"/>
  <c r="S51" i="27" s="1"/>
  <c r="Q52" i="23"/>
  <c r="S53" i="23" s="1"/>
  <c r="I54" i="23"/>
  <c r="J53" i="23"/>
  <c r="P53" i="23" s="1"/>
  <c r="S40" i="23"/>
  <c r="Q40" i="23"/>
  <c r="S40" i="27" l="1"/>
  <c r="Q40" i="27"/>
  <c r="I54" i="27"/>
  <c r="J53" i="27"/>
  <c r="P53" i="27" s="1"/>
  <c r="Q51" i="27"/>
  <c r="S52" i="27" s="1"/>
  <c r="Q53" i="23"/>
  <c r="S54" i="23" s="1"/>
  <c r="I55" i="23"/>
  <c r="J54" i="23"/>
  <c r="P54" i="23" s="1"/>
  <c r="S41" i="23"/>
  <c r="Q41" i="23"/>
  <c r="Q52" i="27" l="1"/>
  <c r="S53" i="27" s="1"/>
  <c r="I55" i="27"/>
  <c r="J54" i="27"/>
  <c r="P54" i="27" s="1"/>
  <c r="S41" i="27"/>
  <c r="Q41" i="27"/>
  <c r="Q54" i="23"/>
  <c r="S55" i="23" s="1"/>
  <c r="I56" i="23"/>
  <c r="J55" i="23"/>
  <c r="P55" i="23" s="1"/>
  <c r="S42" i="23"/>
  <c r="Q42" i="23"/>
  <c r="Q53" i="27" l="1"/>
  <c r="S54" i="27" s="1"/>
  <c r="S42" i="27"/>
  <c r="Q42" i="27"/>
  <c r="I56" i="27"/>
  <c r="J55" i="27"/>
  <c r="P55" i="27" s="1"/>
  <c r="Q55" i="23"/>
  <c r="S56" i="23" s="1"/>
  <c r="S57" i="23" s="1"/>
  <c r="I58" i="23"/>
  <c r="J56" i="23"/>
  <c r="S43" i="23"/>
  <c r="S44" i="23" s="1"/>
  <c r="Q43" i="23"/>
  <c r="G35" i="25" l="1"/>
  <c r="G24" i="25"/>
  <c r="F24" i="25"/>
  <c r="F26" i="25" s="1"/>
  <c r="F35" i="25"/>
  <c r="Q54" i="27"/>
  <c r="S55" i="27" s="1"/>
  <c r="Q55" i="27"/>
  <c r="S56" i="27" s="1"/>
  <c r="S57" i="27" s="1"/>
  <c r="S43" i="27"/>
  <c r="S44" i="27" s="1"/>
  <c r="Q43" i="27"/>
  <c r="I58" i="27"/>
  <c r="J56" i="27"/>
  <c r="Y41" i="23"/>
  <c r="E64" i="23" s="1"/>
  <c r="P56" i="23"/>
  <c r="J57" i="23"/>
  <c r="Y52" i="23" s="1"/>
  <c r="I59" i="23"/>
  <c r="J58" i="23"/>
  <c r="P58" i="23" s="1"/>
  <c r="Q58" i="23" s="1"/>
  <c r="S59" i="23" s="1"/>
  <c r="E65" i="23" l="1"/>
  <c r="E68" i="23" s="1"/>
  <c r="I62" i="23" s="1"/>
  <c r="I63" i="23" s="1"/>
  <c r="N65" i="23"/>
  <c r="O65" i="23" s="1"/>
  <c r="N69" i="23"/>
  <c r="O69" i="23" s="1"/>
  <c r="N63" i="23"/>
  <c r="O63" i="23" s="1"/>
  <c r="N67" i="23"/>
  <c r="O67" i="23" s="1"/>
  <c r="N66" i="23"/>
  <c r="O66" i="23" s="1"/>
  <c r="N62" i="23"/>
  <c r="N64" i="23"/>
  <c r="O64" i="23" s="1"/>
  <c r="N68" i="23"/>
  <c r="O68" i="23" s="1"/>
  <c r="Y53" i="23"/>
  <c r="G20" i="25"/>
  <c r="I59" i="27"/>
  <c r="J58" i="27"/>
  <c r="F24" i="29"/>
  <c r="F26" i="29" s="1"/>
  <c r="H8" i="29" s="1"/>
  <c r="H10" i="29" s="1"/>
  <c r="H14" i="29" s="1"/>
  <c r="F35" i="29"/>
  <c r="Y41" i="27"/>
  <c r="E64" i="27" s="1"/>
  <c r="P56" i="27"/>
  <c r="J57" i="27"/>
  <c r="Y52" i="27" s="1"/>
  <c r="G35" i="29"/>
  <c r="G24" i="29"/>
  <c r="H8" i="25"/>
  <c r="H10" i="25" s="1"/>
  <c r="H14" i="25" s="1"/>
  <c r="J59" i="23"/>
  <c r="P59" i="23" s="1"/>
  <c r="Q59" i="23" s="1"/>
  <c r="S60" i="23" s="1"/>
  <c r="I60" i="23"/>
  <c r="P57" i="23"/>
  <c r="Q56" i="23"/>
  <c r="J62" i="23" l="1"/>
  <c r="G33" i="25"/>
  <c r="G23" i="25"/>
  <c r="O62" i="23"/>
  <c r="O70" i="23" s="1"/>
  <c r="N70" i="23"/>
  <c r="X63" i="23" s="1"/>
  <c r="P58" i="27"/>
  <c r="F38" i="29"/>
  <c r="H37" i="29"/>
  <c r="G20" i="29"/>
  <c r="Y53" i="27"/>
  <c r="Q56" i="27"/>
  <c r="P57" i="27"/>
  <c r="N62" i="27"/>
  <c r="N64" i="27"/>
  <c r="O64" i="27" s="1"/>
  <c r="N63" i="27"/>
  <c r="O63" i="27" s="1"/>
  <c r="N68" i="27"/>
  <c r="O68" i="27" s="1"/>
  <c r="N65" i="27"/>
  <c r="O65" i="27" s="1"/>
  <c r="N69" i="27"/>
  <c r="O69" i="27" s="1"/>
  <c r="N66" i="27"/>
  <c r="O66" i="27" s="1"/>
  <c r="E65" i="27"/>
  <c r="E68" i="27" s="1"/>
  <c r="I62" i="27" s="1"/>
  <c r="N67" i="27"/>
  <c r="O67" i="27" s="1"/>
  <c r="I60" i="27"/>
  <c r="J59" i="27"/>
  <c r="P59" i="27" s="1"/>
  <c r="F38" i="25"/>
  <c r="H37" i="25"/>
  <c r="T67" i="23"/>
  <c r="T65" i="23"/>
  <c r="T66" i="23"/>
  <c r="T62" i="23"/>
  <c r="T58" i="23"/>
  <c r="T59" i="23"/>
  <c r="T69" i="23"/>
  <c r="T63" i="23"/>
  <c r="T64" i="23"/>
  <c r="T60" i="23"/>
  <c r="T68" i="23"/>
  <c r="T61" i="23"/>
  <c r="I61" i="23"/>
  <c r="J61" i="23" s="1"/>
  <c r="P61" i="23" s="1"/>
  <c r="J60" i="23"/>
  <c r="P60" i="23" s="1"/>
  <c r="Q60" i="23" s="1"/>
  <c r="I64" i="23"/>
  <c r="J63" i="23"/>
  <c r="P63" i="23" s="1"/>
  <c r="H17" i="25" l="1"/>
  <c r="Y64" i="23"/>
  <c r="H32" i="25" s="1"/>
  <c r="P62" i="23"/>
  <c r="G34" i="25"/>
  <c r="G38" i="25" s="1"/>
  <c r="I63" i="27"/>
  <c r="J62" i="27"/>
  <c r="T66" i="27"/>
  <c r="T69" i="27"/>
  <c r="T68" i="27"/>
  <c r="T67" i="27"/>
  <c r="T64" i="27"/>
  <c r="T60" i="27"/>
  <c r="T58" i="27"/>
  <c r="T65" i="27"/>
  <c r="T61" i="27"/>
  <c r="T59" i="27"/>
  <c r="T62" i="27"/>
  <c r="T63" i="27"/>
  <c r="I61" i="27"/>
  <c r="J61" i="27" s="1"/>
  <c r="P61" i="27" s="1"/>
  <c r="J60" i="27"/>
  <c r="P60" i="27" s="1"/>
  <c r="Q58" i="27"/>
  <c r="S59" i="27" s="1"/>
  <c r="O62" i="27"/>
  <c r="N70" i="27"/>
  <c r="X63" i="27" s="1"/>
  <c r="G33" i="29"/>
  <c r="G23" i="29"/>
  <c r="T70" i="23"/>
  <c r="G25" i="25" s="1"/>
  <c r="G26" i="25" s="1"/>
  <c r="I65" i="23"/>
  <c r="J64" i="23"/>
  <c r="P64" i="23" s="1"/>
  <c r="S61" i="23"/>
  <c r="Q61" i="23"/>
  <c r="S62" i="23" s="1"/>
  <c r="Q59" i="27" l="1"/>
  <c r="S60" i="27" s="1"/>
  <c r="H17" i="29"/>
  <c r="H18" i="29" s="1"/>
  <c r="Y64" i="27"/>
  <c r="P62" i="27"/>
  <c r="O70" i="27"/>
  <c r="G34" i="29"/>
  <c r="G38" i="29" s="1"/>
  <c r="T70" i="27"/>
  <c r="I64" i="27"/>
  <c r="J63" i="27"/>
  <c r="Y54" i="23"/>
  <c r="H18" i="25"/>
  <c r="H36" i="25"/>
  <c r="Q62" i="23"/>
  <c r="S63" i="23" s="1"/>
  <c r="I66" i="23"/>
  <c r="J65" i="23"/>
  <c r="Q60" i="27" l="1"/>
  <c r="S61" i="27" s="1"/>
  <c r="H36" i="29"/>
  <c r="G25" i="29"/>
  <c r="G26" i="29" s="1"/>
  <c r="Y54" i="27"/>
  <c r="Q61" i="27"/>
  <c r="S62" i="27" s="1"/>
  <c r="H32" i="29"/>
  <c r="I65" i="27"/>
  <c r="J64" i="27"/>
  <c r="P64" i="27" s="1"/>
  <c r="P63" i="27"/>
  <c r="Q63" i="23"/>
  <c r="S64" i="23" s="1"/>
  <c r="P65" i="23"/>
  <c r="I67" i="23"/>
  <c r="J66" i="23"/>
  <c r="P66" i="23" s="1"/>
  <c r="I66" i="27" l="1"/>
  <c r="J65" i="27"/>
  <c r="Q62" i="27"/>
  <c r="S63" i="27" s="1"/>
  <c r="Q64" i="23"/>
  <c r="S65" i="23" s="1"/>
  <c r="I68" i="23"/>
  <c r="J67" i="23"/>
  <c r="P67" i="23" s="1"/>
  <c r="Q63" i="27" l="1"/>
  <c r="S64" i="27" s="1"/>
  <c r="P65" i="27"/>
  <c r="I67" i="27"/>
  <c r="J66" i="27"/>
  <c r="P66" i="27" s="1"/>
  <c r="Q65" i="23"/>
  <c r="S66" i="23" s="1"/>
  <c r="I69" i="23"/>
  <c r="J69" i="23" s="1"/>
  <c r="J68" i="23"/>
  <c r="P68" i="23" s="1"/>
  <c r="Q64" i="27" l="1"/>
  <c r="S65" i="27" s="1"/>
  <c r="I68" i="27"/>
  <c r="J67" i="27"/>
  <c r="Q66" i="23"/>
  <c r="S67" i="23" s="1"/>
  <c r="P69" i="23"/>
  <c r="J70" i="23"/>
  <c r="Y65" i="23" s="1"/>
  <c r="Q65" i="27" l="1"/>
  <c r="P67" i="27"/>
  <c r="I69" i="27"/>
  <c r="J69" i="27" s="1"/>
  <c r="P69" i="27" s="1"/>
  <c r="J68" i="27"/>
  <c r="P68" i="27" s="1"/>
  <c r="Y66" i="23"/>
  <c r="H20" i="25"/>
  <c r="H23" i="25" s="1"/>
  <c r="Q67" i="23"/>
  <c r="S68" i="23" s="1"/>
  <c r="P70" i="23"/>
  <c r="H25" i="25" s="1"/>
  <c r="S66" i="27" l="1"/>
  <c r="Q66" i="27"/>
  <c r="S67" i="27" s="1"/>
  <c r="J70" i="27"/>
  <c r="Y65" i="27" s="1"/>
  <c r="P70" i="27"/>
  <c r="H25" i="29" s="1"/>
  <c r="H33" i="25"/>
  <c r="Q68" i="23"/>
  <c r="S69" i="23" s="1"/>
  <c r="S70" i="23" s="1"/>
  <c r="H24" i="25" l="1"/>
  <c r="H26" i="25" s="1"/>
  <c r="H35" i="25"/>
  <c r="Q67" i="27"/>
  <c r="S68" i="27" s="1"/>
  <c r="H20" i="29"/>
  <c r="Y66" i="27"/>
  <c r="Y67" i="23"/>
  <c r="H34" i="25"/>
  <c r="Q69" i="23"/>
  <c r="Q68" i="27" l="1"/>
  <c r="S69" i="27" s="1"/>
  <c r="S70" i="27" s="1"/>
  <c r="H33" i="29"/>
  <c r="H23" i="29"/>
  <c r="H38" i="25"/>
  <c r="Q69" i="27" l="1"/>
  <c r="H34" i="29"/>
  <c r="H35" i="29"/>
  <c r="Y67" i="27"/>
  <c r="H24" i="29"/>
  <c r="H26" i="29" s="1"/>
  <c r="H38" i="29" l="1"/>
</calcChain>
</file>

<file path=xl/sharedStrings.xml><?xml version="1.0" encoding="utf-8"?>
<sst xmlns="http://schemas.openxmlformats.org/spreadsheetml/2006/main" count="1045" uniqueCount="225">
  <si>
    <t xml:space="preserve">January </t>
  </si>
  <si>
    <t xml:space="preserve">February </t>
  </si>
  <si>
    <t xml:space="preserve">March </t>
  </si>
  <si>
    <t>April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</si>
  <si>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</si>
  <si>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</si>
  <si>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</si>
  <si>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</si>
  <si>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</si>
  <si>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</si>
  <si>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</si>
  <si>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</si>
  <si>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GA ($/kWh)</t>
  </si>
  <si>
    <t>Brookfield kWh</t>
  </si>
  <si>
    <t>Total</t>
  </si>
  <si>
    <t>GA Savings</t>
  </si>
  <si>
    <t>Rate ($/kWh)</t>
  </si>
  <si>
    <t>Customer Volumes (kWh)</t>
  </si>
  <si>
    <t>Variance</t>
  </si>
  <si>
    <t>Interest</t>
  </si>
  <si>
    <t>Cumulative Variance</t>
  </si>
  <si>
    <t>Interest $</t>
  </si>
  <si>
    <t>Interest %</t>
  </si>
  <si>
    <t>A</t>
  </si>
  <si>
    <t>B</t>
  </si>
  <si>
    <t>D</t>
  </si>
  <si>
    <t>F</t>
  </si>
  <si>
    <t>G</t>
  </si>
  <si>
    <t>J</t>
  </si>
  <si>
    <t>C = A * B</t>
  </si>
  <si>
    <t>E = D / 2</t>
  </si>
  <si>
    <t>F = D / 2</t>
  </si>
  <si>
    <t>Paid to Brookfield</t>
  </si>
  <si>
    <t>Owed to Customers</t>
  </si>
  <si>
    <t>Credited to Customers</t>
  </si>
  <si>
    <t>Interest on Variance</t>
  </si>
  <si>
    <t>Q4 2023</t>
  </si>
  <si>
    <t>Q3 2023</t>
  </si>
  <si>
    <t>Q2 2023</t>
  </si>
  <si>
    <t>Q1 2023</t>
  </si>
  <si>
    <t>Q4 2022</t>
  </si>
  <si>
    <t>Q3 2022</t>
  </si>
  <si>
    <t>Q2 2022</t>
  </si>
  <si>
    <t>Q1 2022</t>
  </si>
  <si>
    <t>Q4 2021</t>
  </si>
  <si>
    <t>Q3 2021</t>
  </si>
  <si>
    <t>Q2 2021</t>
  </si>
  <si>
    <t>Q1 2021</t>
  </si>
  <si>
    <t>Q4 2020</t>
  </si>
  <si>
    <t>Q3 2020</t>
  </si>
  <si>
    <t>Q2 2020</t>
  </si>
  <si>
    <t>Q1 2020</t>
  </si>
  <si>
    <t>RPP Report</t>
  </si>
  <si>
    <t>Waltham Volumes (kWh)</t>
  </si>
  <si>
    <t>$/MWh</t>
  </si>
  <si>
    <t>Oct. 2019 Report</t>
  </si>
  <si>
    <t>Oct. 2020 Report</t>
  </si>
  <si>
    <t>Oct. 2021 Report</t>
  </si>
  <si>
    <t>Oct. 2022 Report</t>
  </si>
  <si>
    <t>DVA Variance Interest Rates</t>
  </si>
  <si>
    <t>Apr. 2018 Report</t>
  </si>
  <si>
    <t>Q1 2019</t>
  </si>
  <si>
    <t>Q2 2019</t>
  </si>
  <si>
    <t>Q3 2019</t>
  </si>
  <si>
    <t>Q4 2019</t>
  </si>
  <si>
    <t>Actual credited to customers</t>
  </si>
  <si>
    <t>Actual customer share of GA savings</t>
  </si>
  <si>
    <t>Add'l Interest before disposition</t>
  </si>
  <si>
    <t>Variance Total</t>
  </si>
  <si>
    <t>Global Adjustment Forecast</t>
  </si>
  <si>
    <t>Customer Share</t>
  </si>
  <si>
    <t>Variance Disposition</t>
  </si>
  <si>
    <t>Variances</t>
  </si>
  <si>
    <t>H = F + G</t>
  </si>
  <si>
    <t>I = H - C</t>
  </si>
  <si>
    <t>K</t>
  </si>
  <si>
    <t>L = J * L</t>
  </si>
  <si>
    <t>Variance Disposal (2-year lag)</t>
  </si>
  <si>
    <t>Variance to include in rate</t>
  </si>
  <si>
    <t>Actual customer share inc'l variances</t>
  </si>
  <si>
    <t>Actual</t>
  </si>
  <si>
    <t>Forecast (actual of last year)</t>
  </si>
  <si>
    <t>Forecast (RPP Report)</t>
  </si>
  <si>
    <t>Actual (calculated below)</t>
  </si>
  <si>
    <t>(= GA$/kWh * Forecast volumes * 0.5)</t>
  </si>
  <si>
    <t>Forecast Global Adjustment ($/kWh)</t>
  </si>
  <si>
    <t>Forecast Waltham Volumes (kWh)</t>
  </si>
  <si>
    <t>Forecast Total Customer kWh</t>
  </si>
  <si>
    <t>Difference between forecast and actual</t>
  </si>
  <si>
    <t>Year-End Balance</t>
  </si>
  <si>
    <t>Interest (in year)</t>
  </si>
  <si>
    <t>Lagged Interest</t>
  </si>
  <si>
    <t>Oct. 2023 RPP Report</t>
  </si>
  <si>
    <t>2022 Actual Volumes (RRR values in IRM model)</t>
  </si>
  <si>
    <t>Oct. 2024 RPP Report</t>
  </si>
  <si>
    <t>2023 Actual Volumes (RRR values in IRM model)</t>
  </si>
  <si>
    <t>Brookfield GA</t>
  </si>
  <si>
    <t>Calendar Year</t>
  </si>
  <si>
    <t>Purchased Power-Adjustment</t>
  </si>
  <si>
    <t>Summary</t>
  </si>
  <si>
    <t>GA Savings on Waltham Energy</t>
  </si>
  <si>
    <t>Forecast rate (changes each May)</t>
  </si>
  <si>
    <t>Actual amount credited to customers</t>
  </si>
  <si>
    <t>Actual avoided GA (Waltham volumes * GA $/kWh)</t>
  </si>
  <si>
    <t>Actual half paid to Brookfield</t>
  </si>
  <si>
    <t>Actual half to be credited to customers</t>
  </si>
  <si>
    <t>Difference between what was actually credited to customers and what should be</t>
  </si>
  <si>
    <t>Cumulative variance used to calculate variances</t>
  </si>
  <si>
    <t>OEB's DVA interest rate</t>
  </si>
  <si>
    <t>Monthly interest on variances</t>
  </si>
  <si>
    <t>Total GA avoided (Waltham kWh * GA $/kWh)</t>
  </si>
  <si>
    <t>Amount that should be credited to customers</t>
  </si>
  <si>
    <t>Amount to be credited to customers including variances</t>
  </si>
  <si>
    <t>Forecast GA ($/kWh)</t>
  </si>
  <si>
    <t>Total Customer Volumes (kWh)</t>
  </si>
  <si>
    <t>Variance from previous years ($)</t>
  </si>
  <si>
    <t>Interest on variance ($)</t>
  </si>
  <si>
    <t>Purchasd Power Adjustmnet</t>
  </si>
  <si>
    <t>GA Paid on Waltham energy</t>
  </si>
  <si>
    <t xml:space="preserve">2023/24 Overcollection </t>
  </si>
  <si>
    <t>Cumulative Credit</t>
  </si>
  <si>
    <t>Customer Share Owed to Customers</t>
  </si>
  <si>
    <t>Amount to be credited to customers in 2025</t>
  </si>
  <si>
    <t>Interest on balance owed to customers in 2025</t>
  </si>
  <si>
    <t>Amount to be credited to customers in 2026</t>
  </si>
  <si>
    <t>Interest on balance owed to customers in 2026</t>
  </si>
  <si>
    <t>Dispostion of 2023 Overcollection</t>
  </si>
  <si>
    <t>Dispostion of 2024 Overcollection</t>
  </si>
  <si>
    <t>Month</t>
  </si>
  <si>
    <t>Total Forecast GA Savings ($)</t>
  </si>
  <si>
    <t>Forecast net GA Savings ($)</t>
  </si>
  <si>
    <t>Forecast net GA Savings</t>
  </si>
  <si>
    <t>2019-2022 Average Waltham Volumes</t>
  </si>
  <si>
    <t>2020-2023 Average Waltham Volumes</t>
  </si>
  <si>
    <t>2021-2024 Average Waltham Volumes</t>
  </si>
  <si>
    <t>(= Actual Net GA Savings + variance)</t>
  </si>
  <si>
    <t>(=Net GA Savings + Variance Disposal)</t>
  </si>
  <si>
    <t>B = A / 2</t>
  </si>
  <si>
    <t>C = A / 2</t>
  </si>
  <si>
    <t>D = C</t>
  </si>
  <si>
    <t>E</t>
  </si>
  <si>
    <t>G = E * F</t>
  </si>
  <si>
    <t>Oct. 2023 Report</t>
  </si>
  <si>
    <t>Total savings * 50%</t>
  </si>
  <si>
    <t>Notes</t>
  </si>
  <si>
    <t>(No variance in this year)</t>
  </si>
  <si>
    <t>Actual 2023 Overcollection</t>
  </si>
  <si>
    <t>Actual 2024 Overcollection</t>
  </si>
  <si>
    <t>Net GA Savings</t>
  </si>
  <si>
    <t>2022-2025 Average Waltham Volumes</t>
  </si>
  <si>
    <t>Oct. 2025 RPP Report</t>
  </si>
  <si>
    <t>2025 Actual Volumes (RRR values in IRM model)</t>
  </si>
  <si>
    <t>Variance Disposition &amp; Overcollection</t>
  </si>
  <si>
    <t>Actual amount to be credit to customers, including variances and overcollection</t>
  </si>
  <si>
    <t>Audited Variance from 2024</t>
  </si>
  <si>
    <t>Interest on variance from 2024</t>
  </si>
  <si>
    <t>Interest (lag year 1)</t>
  </si>
  <si>
    <t>Forecast Data</t>
  </si>
  <si>
    <t>Forecast (4-Year Average)</t>
  </si>
  <si>
    <t>RRR Volumes</t>
  </si>
  <si>
    <t>Power Purchased True-Up Balance and Rate Calculations</t>
  </si>
  <si>
    <t>Forecast Power Purchased True-Up Balance ($)</t>
  </si>
  <si>
    <t xml:space="preserve">Actual amount credited to customers based on actual volumes and forecast Power Purchased True-Up </t>
  </si>
  <si>
    <t>Power Purchased True-Up-2027 ($/kWh)</t>
  </si>
  <si>
    <t>Power Purchased True-Up-2024 ($/kWh)</t>
  </si>
  <si>
    <t>Power Purchased True-Up-2025 ($/kWh)</t>
  </si>
  <si>
    <t>Power Purchased True-Up-2026 ($/kWh)</t>
  </si>
  <si>
    <t>Power Purchased True-Up Balance</t>
  </si>
  <si>
    <t>Power Purchased True-Up ($/kWh)</t>
  </si>
  <si>
    <t>(= Power Purchased True-Up Balance / customer volumes)</t>
  </si>
  <si>
    <t xml:space="preserve">1508 Power Purchased True-Up Tracking Account </t>
  </si>
  <si>
    <t>Power Purchased True-Up Calculation</t>
  </si>
  <si>
    <t>Total Customer kWh Volumes (metered)</t>
  </si>
  <si>
    <t>Power Purchased True-Up Rate</t>
  </si>
  <si>
    <t>Q1 2024</t>
  </si>
  <si>
    <t>Adjustment for earlier variances (2-year lag)</t>
  </si>
  <si>
    <t>Monthly interest on variances in lag year</t>
  </si>
  <si>
    <t>Audited Variance from 2025</t>
  </si>
  <si>
    <t>Interest on variance from 2025</t>
  </si>
  <si>
    <t>Oct. 2024 Report</t>
  </si>
  <si>
    <t>Oct. 2025 Report</t>
  </si>
  <si>
    <t>Oct. 2026 Report</t>
  </si>
  <si>
    <t>Oct. 2027 Report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</si>
  <si>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</si>
  <si>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</si>
  <si>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</si>
  <si>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</si>
  <si>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</si>
  <si>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</si>
  <si>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</si>
  <si>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</si>
  <si>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Q2 2026</t>
  </si>
  <si>
    <t>Q3 2026</t>
  </si>
  <si>
    <t>Q4 2026</t>
  </si>
  <si>
    <t>Q1 2027</t>
  </si>
  <si>
    <t>Q2 2027</t>
  </si>
  <si>
    <t>Q3 2027</t>
  </si>
  <si>
    <t>Q4 2027</t>
  </si>
  <si>
    <t>Q1 2028</t>
  </si>
  <si>
    <t>Q2 2028</t>
  </si>
  <si>
    <t>Q3 2028</t>
  </si>
  <si>
    <t>Q4 2028</t>
  </si>
  <si>
    <t>Power Purchased True-Up-2028 ($/kWh)</t>
  </si>
  <si>
    <t>2023-2026 Average Waltham Volumes</t>
  </si>
  <si>
    <t>Oct. 2026 RPP Report</t>
  </si>
  <si>
    <t>Audited Variance from 2026</t>
  </si>
  <si>
    <t>Interest on variance from 2026</t>
  </si>
  <si>
    <t>2026 Actual Volumes (RRR values in IRM model)</t>
  </si>
  <si>
    <t>Adjustment for audited variances (2-year lag) and Overcollection</t>
  </si>
  <si>
    <t>Variance to be disposed in 2027 IRM</t>
  </si>
  <si>
    <t>Interest on variance to be disposed in 2027 IRM</t>
  </si>
  <si>
    <t>Variance to be disposed in 2028 IRM</t>
  </si>
  <si>
    <t>Interest on variance to be disposed in 2028 IRM</t>
  </si>
  <si>
    <t>Variance to be disposed in 2029 IRM</t>
  </si>
  <si>
    <t>Interest on variance to be disposed in 2029 IRM</t>
  </si>
  <si>
    <t>Variance to be disposed in 2030 IRM</t>
  </si>
  <si>
    <t>Interest on variance to be disposed in 2030 IRM</t>
  </si>
  <si>
    <t>Forecast (4-year historic average)</t>
  </si>
  <si>
    <t>2023/2024 Overcollection</t>
  </si>
  <si>
    <t xml:space="preserve">Actual </t>
  </si>
  <si>
    <t>Variance to be disposed in 2026 COS</t>
  </si>
  <si>
    <t>Interest on variance to be disposed in 2026 COS</t>
  </si>
  <si>
    <t>2026 Load Forecast</t>
  </si>
  <si>
    <t>Customer kWh Volumes</t>
  </si>
  <si>
    <t>2023 (Jan-Nov)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</si>
</sst>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&quot;$&quot;* #,##0.0000_);_(&quot;$&quot;* \(#,##0.0000\);_(&quot;$&quot;* &quot;-&quot;??_);_(@_)"/>
    <numFmt numFmtId="168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2">
    <xf numFmtId="0" fontId="0" fillId="0" borderId="0" xfId="0"/>
    <xf numFmtId="44" fontId="0" fillId="0" borderId="0" xfId="0" applyNumberFormat="1"/>
    <xf numFmtId="0" fontId="2" fillId="0" borderId="0" xfId="0" applyFont="1"/>
    <xf numFmtId="165" fontId="0" fillId="0" borderId="0" xfId="1" applyNumberFormat="1" applyFont="1" applyFill="1"/>
    <xf numFmtId="166" fontId="0" fillId="0" borderId="0" xfId="2" applyNumberFormat="1" applyFont="1" applyFill="1" applyBorder="1"/>
    <xf numFmtId="166" fontId="0" fillId="0" borderId="6" xfId="2" applyNumberFormat="1" applyFont="1" applyFill="1" applyBorder="1"/>
    <xf numFmtId="166" fontId="0" fillId="0" borderId="9" xfId="2" applyNumberFormat="1" applyFont="1" applyFill="1" applyBorder="1"/>
    <xf numFmtId="166" fontId="0" fillId="0" borderId="0" xfId="2" applyNumberFormat="1" applyFont="1" applyFill="1"/>
    <xf numFmtId="165" fontId="0" fillId="0" borderId="12" xfId="0" applyNumberFormat="1" applyBorder="1"/>
    <xf numFmtId="166" fontId="0" fillId="0" borderId="14" xfId="2" applyNumberFormat="1" applyFont="1" applyFill="1" applyBorder="1"/>
    <xf numFmtId="166" fontId="0" fillId="0" borderId="0" xfId="0" applyNumberFormat="1"/>
    <xf numFmtId="166" fontId="2" fillId="0" borderId="0" xfId="0" applyNumberFormat="1" applyFont="1"/>
    <xf numFmtId="167" fontId="0" fillId="0" borderId="0" xfId="2" applyNumberFormat="1" applyFont="1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1" xfId="0" applyBorder="1"/>
    <xf numFmtId="0" fontId="0" fillId="0" borderId="21" xfId="0" applyBorder="1"/>
    <xf numFmtId="167" fontId="2" fillId="0" borderId="0" xfId="2" applyNumberFormat="1" applyFont="1" applyFill="1" applyBorder="1"/>
    <xf numFmtId="166" fontId="2" fillId="0" borderId="0" xfId="2" applyNumberFormat="1" applyFont="1" applyFill="1" applyBorder="1"/>
    <xf numFmtId="165" fontId="0" fillId="0" borderId="0" xfId="1" applyNumberFormat="1" applyFont="1"/>
    <xf numFmtId="0" fontId="2" fillId="0" borderId="18" xfId="0" applyFont="1" applyBorder="1"/>
    <xf numFmtId="0" fontId="2" fillId="0" borderId="20" xfId="0" applyFont="1" applyBorder="1"/>
    <xf numFmtId="165" fontId="2" fillId="0" borderId="11" xfId="1" applyNumberFormat="1" applyFont="1" applyFill="1" applyBorder="1"/>
    <xf numFmtId="165" fontId="2" fillId="0" borderId="21" xfId="1" applyNumberFormat="1" applyFont="1" applyFill="1" applyBorder="1"/>
    <xf numFmtId="165" fontId="0" fillId="0" borderId="19" xfId="0" applyNumberFormat="1" applyBorder="1"/>
    <xf numFmtId="0" fontId="0" fillId="0" borderId="18" xfId="1" applyNumberFormat="1" applyFont="1" applyFill="1" applyBorder="1"/>
    <xf numFmtId="0" fontId="0" fillId="0" borderId="20" xfId="1" applyNumberFormat="1" applyFont="1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66" fontId="0" fillId="0" borderId="11" xfId="0" applyNumberFormat="1" applyBorder="1"/>
    <xf numFmtId="166" fontId="0" fillId="0" borderId="0" xfId="2" applyNumberFormat="1" applyFont="1" applyBorder="1"/>
    <xf numFmtId="165" fontId="0" fillId="0" borderId="0" xfId="1" applyNumberFormat="1" applyFont="1" applyBorder="1"/>
    <xf numFmtId="166" fontId="0" fillId="0" borderId="19" xfId="2" applyNumberFormat="1" applyFont="1" applyBorder="1"/>
    <xf numFmtId="166" fontId="0" fillId="0" borderId="19" xfId="0" applyNumberFormat="1" applyBorder="1"/>
    <xf numFmtId="166" fontId="0" fillId="0" borderId="18" xfId="2" applyNumberFormat="1" applyFont="1" applyBorder="1"/>
    <xf numFmtId="165" fontId="0" fillId="0" borderId="18" xfId="1" applyNumberFormat="1" applyFont="1" applyBorder="1"/>
    <xf numFmtId="166" fontId="2" fillId="0" borderId="18" xfId="0" applyNumberFormat="1" applyFont="1" applyBorder="1"/>
    <xf numFmtId="0" fontId="0" fillId="0" borderId="22" xfId="0" applyBorder="1"/>
    <xf numFmtId="0" fontId="0" fillId="0" borderId="23" xfId="0" applyBorder="1"/>
    <xf numFmtId="0" fontId="2" fillId="0" borderId="23" xfId="0" applyFont="1" applyBorder="1"/>
    <xf numFmtId="0" fontId="0" fillId="0" borderId="24" xfId="0" applyBorder="1"/>
    <xf numFmtId="0" fontId="2" fillId="0" borderId="24" xfId="0" applyFont="1" applyBorder="1"/>
    <xf numFmtId="166" fontId="2" fillId="0" borderId="11" xfId="0" applyNumberFormat="1" applyFont="1" applyBorder="1"/>
    <xf numFmtId="166" fontId="2" fillId="0" borderId="21" xfId="0" applyNumberFormat="1" applyFont="1" applyBorder="1"/>
    <xf numFmtId="166" fontId="0" fillId="0" borderId="15" xfId="2" applyNumberFormat="1" applyFont="1" applyBorder="1"/>
    <xf numFmtId="166" fontId="0" fillId="0" borderId="16" xfId="2" applyNumberFormat="1" applyFont="1" applyBorder="1"/>
    <xf numFmtId="167" fontId="0" fillId="0" borderId="0" xfId="2" applyNumberFormat="1" applyFont="1" applyBorder="1"/>
    <xf numFmtId="167" fontId="2" fillId="0" borderId="20" xfId="2" applyNumberFormat="1" applyFont="1" applyBorder="1"/>
    <xf numFmtId="167" fontId="2" fillId="0" borderId="11" xfId="2" applyNumberFormat="1" applyFont="1" applyBorder="1"/>
    <xf numFmtId="165" fontId="0" fillId="0" borderId="18" xfId="1" applyNumberFormat="1" applyFont="1" applyFill="1" applyBorder="1"/>
    <xf numFmtId="166" fontId="0" fillId="0" borderId="19" xfId="2" applyNumberFormat="1" applyFont="1" applyFill="1" applyBorder="1"/>
    <xf numFmtId="0" fontId="0" fillId="0" borderId="18" xfId="0" applyBorder="1" applyAlignment="1">
      <alignment horizontal="center" wrapText="1"/>
    </xf>
    <xf numFmtId="166" fontId="0" fillId="0" borderId="18" xfId="0" applyNumberFormat="1" applyBorder="1"/>
    <xf numFmtId="10" fontId="1" fillId="0" borderId="0" xfId="3" applyNumberFormat="1" applyFont="1" applyFill="1" applyBorder="1"/>
    <xf numFmtId="0" fontId="2" fillId="0" borderId="5" xfId="0" applyFont="1" applyBorder="1"/>
    <xf numFmtId="166" fontId="0" fillId="0" borderId="6" xfId="0" applyNumberFormat="1" applyBorder="1"/>
    <xf numFmtId="0" fontId="2" fillId="0" borderId="7" xfId="0" applyFont="1" applyBorder="1"/>
    <xf numFmtId="166" fontId="2" fillId="0" borderId="9" xfId="0" applyNumberFormat="1" applyFont="1" applyBorder="1"/>
    <xf numFmtId="166" fontId="0" fillId="0" borderId="21" xfId="0" applyNumberFormat="1" applyBorder="1"/>
    <xf numFmtId="165" fontId="0" fillId="0" borderId="20" xfId="1" applyNumberFormat="1" applyFont="1" applyFill="1" applyBorder="1" applyAlignment="1">
      <alignment horizontal="center" wrapText="1"/>
    </xf>
    <xf numFmtId="165" fontId="0" fillId="0" borderId="11" xfId="1" applyNumberFormat="1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165" fontId="0" fillId="0" borderId="29" xfId="1" applyNumberFormat="1" applyFont="1" applyFill="1" applyBorder="1" applyAlignment="1">
      <alignment horizontal="center" wrapText="1"/>
    </xf>
    <xf numFmtId="165" fontId="2" fillId="0" borderId="18" xfId="1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6" fontId="2" fillId="0" borderId="19" xfId="0" applyNumberFormat="1" applyFont="1" applyBorder="1"/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167" fontId="0" fillId="0" borderId="18" xfId="2" applyNumberFormat="1" applyFont="1" applyBorder="1"/>
    <xf numFmtId="0" fontId="0" fillId="3" borderId="25" xfId="0" applyFill="1" applyBorder="1"/>
    <xf numFmtId="0" fontId="0" fillId="3" borderId="33" xfId="0" applyFill="1" applyBorder="1"/>
    <xf numFmtId="0" fontId="4" fillId="3" borderId="3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0" fillId="0" borderId="26" xfId="0" applyBorder="1"/>
    <xf numFmtId="167" fontId="0" fillId="0" borderId="6" xfId="2" applyNumberFormat="1" applyFont="1" applyBorder="1"/>
    <xf numFmtId="165" fontId="0" fillId="0" borderId="6" xfId="1" applyNumberFormat="1" applyFont="1" applyBorder="1"/>
    <xf numFmtId="0" fontId="0" fillId="0" borderId="6" xfId="0" applyBorder="1"/>
    <xf numFmtId="166" fontId="0" fillId="0" borderId="6" xfId="2" applyNumberFormat="1" applyFont="1" applyBorder="1"/>
    <xf numFmtId="166" fontId="2" fillId="0" borderId="6" xfId="0" applyNumberFormat="1" applyFont="1" applyBorder="1"/>
    <xf numFmtId="167" fontId="2" fillId="0" borderId="29" xfId="2" applyNumberFormat="1" applyFont="1" applyBorder="1"/>
    <xf numFmtId="166" fontId="0" fillId="0" borderId="26" xfId="2" applyNumberFormat="1" applyFont="1" applyBorder="1"/>
    <xf numFmtId="0" fontId="0" fillId="0" borderId="29" xfId="0" applyBorder="1"/>
    <xf numFmtId="0" fontId="2" fillId="0" borderId="39" xfId="0" applyFont="1" applyBorder="1"/>
    <xf numFmtId="166" fontId="2" fillId="0" borderId="27" xfId="0" applyNumberFormat="1" applyFont="1" applyBorder="1"/>
    <xf numFmtId="166" fontId="2" fillId="0" borderId="8" xfId="0" applyNumberFormat="1" applyFont="1" applyBorder="1"/>
    <xf numFmtId="0" fontId="2" fillId="0" borderId="11" xfId="0" applyFont="1" applyBorder="1" applyAlignment="1">
      <alignment horizontal="left"/>
    </xf>
    <xf numFmtId="0" fontId="0" fillId="0" borderId="5" xfId="0" applyBorder="1"/>
    <xf numFmtId="0" fontId="0" fillId="0" borderId="25" xfId="0" applyBorder="1"/>
    <xf numFmtId="166" fontId="0" fillId="0" borderId="10" xfId="0" applyNumberFormat="1" applyBorder="1"/>
    <xf numFmtId="166" fontId="0" fillId="0" borderId="43" xfId="0" applyNumberFormat="1" applyBorder="1"/>
    <xf numFmtId="166" fontId="1" fillId="0" borderId="10" xfId="2" applyNumberFormat="1" applyFont="1" applyFill="1" applyBorder="1"/>
    <xf numFmtId="166" fontId="1" fillId="0" borderId="0" xfId="2" applyNumberFormat="1" applyFont="1" applyFill="1" applyBorder="1"/>
    <xf numFmtId="165" fontId="0" fillId="0" borderId="27" xfId="1" applyNumberFormat="1" applyFont="1" applyFill="1" applyBorder="1" applyAlignment="1">
      <alignment horizontal="center" wrapText="1"/>
    </xf>
    <xf numFmtId="165" fontId="0" fillId="0" borderId="8" xfId="1" applyNumberFormat="1" applyFont="1" applyFill="1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5" fontId="0" fillId="0" borderId="9" xfId="1" applyNumberFormat="1" applyFont="1" applyFill="1" applyBorder="1" applyAlignment="1">
      <alignment horizontal="center" wrapText="1"/>
    </xf>
    <xf numFmtId="166" fontId="0" fillId="4" borderId="18" xfId="0" applyNumberFormat="1" applyFill="1" applyBorder="1"/>
    <xf numFmtId="165" fontId="0" fillId="4" borderId="18" xfId="1" applyNumberFormat="1" applyFont="1" applyFill="1" applyBorder="1"/>
    <xf numFmtId="10" fontId="1" fillId="4" borderId="0" xfId="3" applyNumberFormat="1" applyFont="1" applyFill="1" applyBorder="1"/>
    <xf numFmtId="10" fontId="3" fillId="4" borderId="0" xfId="3" applyNumberFormat="1" applyFont="1" applyFill="1" applyBorder="1"/>
    <xf numFmtId="167" fontId="0" fillId="4" borderId="0" xfId="2" applyNumberFormat="1" applyFont="1" applyFill="1" applyBorder="1"/>
    <xf numFmtId="165" fontId="0" fillId="4" borderId="0" xfId="1" applyNumberFormat="1" applyFont="1" applyFill="1" applyBorder="1"/>
    <xf numFmtId="0" fontId="2" fillId="0" borderId="44" xfId="0" applyFont="1" applyBorder="1"/>
    <xf numFmtId="165" fontId="2" fillId="0" borderId="45" xfId="1" applyNumberFormat="1" applyFont="1" applyFill="1" applyBorder="1"/>
    <xf numFmtId="0" fontId="2" fillId="0" borderId="46" xfId="0" applyFont="1" applyBorder="1"/>
    <xf numFmtId="166" fontId="2" fillId="0" borderId="47" xfId="2" applyNumberFormat="1" applyFont="1" applyFill="1" applyBorder="1"/>
    <xf numFmtId="166" fontId="2" fillId="0" borderId="45" xfId="2" applyNumberFormat="1" applyFont="1" applyFill="1" applyBorder="1"/>
    <xf numFmtId="166" fontId="2" fillId="0" borderId="46" xfId="2" applyNumberFormat="1" applyFont="1" applyFill="1" applyBorder="1"/>
    <xf numFmtId="165" fontId="2" fillId="0" borderId="46" xfId="0" applyNumberFormat="1" applyFont="1" applyBorder="1"/>
    <xf numFmtId="166" fontId="2" fillId="0" borderId="48" xfId="0" applyNumberFormat="1" applyFont="1" applyBorder="1"/>
    <xf numFmtId="166" fontId="1" fillId="0" borderId="6" xfId="2" applyNumberFormat="1" applyFont="1" applyBorder="1"/>
    <xf numFmtId="0" fontId="2" fillId="0" borderId="19" xfId="0" applyFont="1" applyBorder="1" applyAlignment="1">
      <alignment horizontal="center"/>
    </xf>
    <xf numFmtId="0" fontId="2" fillId="3" borderId="49" xfId="0" applyFont="1" applyFill="1" applyBorder="1" applyAlignment="1">
      <alignment horizontal="center" wrapText="1"/>
    </xf>
    <xf numFmtId="0" fontId="2" fillId="3" borderId="50" xfId="0" applyFont="1" applyFill="1" applyBorder="1" applyAlignment="1">
      <alignment horizontal="center" wrapText="1"/>
    </xf>
    <xf numFmtId="0" fontId="2" fillId="3" borderId="51" xfId="0" applyFont="1" applyFill="1" applyBorder="1" applyAlignment="1">
      <alignment horizontal="center" wrapText="1"/>
    </xf>
    <xf numFmtId="0" fontId="2" fillId="0" borderId="40" xfId="0" applyFont="1" applyBorder="1"/>
    <xf numFmtId="0" fontId="2" fillId="0" borderId="41" xfId="0" applyFont="1" applyBorder="1"/>
    <xf numFmtId="0" fontId="2" fillId="0" borderId="3" xfId="0" applyFont="1" applyBorder="1"/>
    <xf numFmtId="167" fontId="0" fillId="0" borderId="13" xfId="2" applyNumberFormat="1" applyFont="1" applyFill="1" applyBorder="1"/>
    <xf numFmtId="165" fontId="1" fillId="0" borderId="8" xfId="1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8" xfId="0" applyBorder="1"/>
    <xf numFmtId="0" fontId="0" fillId="0" borderId="15" xfId="0" applyBorder="1" applyAlignment="1">
      <alignment vertical="center"/>
    </xf>
    <xf numFmtId="0" fontId="0" fillId="4" borderId="0" xfId="0" applyFill="1"/>
    <xf numFmtId="0" fontId="2" fillId="0" borderId="0" xfId="1" applyNumberFormat="1" applyFont="1" applyAlignment="1">
      <alignment horizontal="center"/>
    </xf>
    <xf numFmtId="0" fontId="0" fillId="2" borderId="18" xfId="0" applyFill="1" applyBorder="1"/>
    <xf numFmtId="0" fontId="2" fillId="0" borderId="52" xfId="0" applyFont="1" applyBorder="1"/>
    <xf numFmtId="166" fontId="1" fillId="0" borderId="6" xfId="2" applyNumberFormat="1" applyFont="1" applyFill="1" applyBorder="1"/>
    <xf numFmtId="165" fontId="0" fillId="4" borderId="5" xfId="1" applyNumberFormat="1" applyFont="1" applyFill="1" applyBorder="1"/>
    <xf numFmtId="164" fontId="0" fillId="4" borderId="0" xfId="1" applyNumberFormat="1" applyFont="1" applyFill="1" applyBorder="1"/>
    <xf numFmtId="165" fontId="0" fillId="4" borderId="7" xfId="1" applyNumberFormat="1" applyFont="1" applyFill="1" applyBorder="1"/>
    <xf numFmtId="164" fontId="0" fillId="4" borderId="8" xfId="1" applyNumberFormat="1" applyFont="1" applyFill="1" applyBorder="1"/>
    <xf numFmtId="165" fontId="0" fillId="4" borderId="19" xfId="1" applyNumberFormat="1" applyFont="1" applyFill="1" applyBorder="1"/>
    <xf numFmtId="0" fontId="0" fillId="0" borderId="0" xfId="0" applyAlignment="1">
      <alignment horizontal="center" wrapText="1"/>
    </xf>
    <xf numFmtId="165" fontId="0" fillId="0" borderId="0" xfId="0" applyNumberFormat="1"/>
    <xf numFmtId="165" fontId="2" fillId="0" borderId="11" xfId="1" applyNumberFormat="1" applyFont="1" applyBorder="1"/>
    <xf numFmtId="0" fontId="2" fillId="3" borderId="53" xfId="0" applyFont="1" applyFill="1" applyBorder="1" applyAlignment="1">
      <alignment horizontal="center"/>
    </xf>
    <xf numFmtId="165" fontId="0" fillId="0" borderId="18" xfId="0" applyNumberFormat="1" applyBorder="1"/>
    <xf numFmtId="165" fontId="2" fillId="0" borderId="20" xfId="1" applyNumberFormat="1" applyFont="1" applyFill="1" applyBorder="1"/>
    <xf numFmtId="165" fontId="3" fillId="0" borderId="0" xfId="1" applyNumberFormat="1" applyFont="1" applyBorder="1"/>
    <xf numFmtId="168" fontId="0" fillId="0" borderId="0" xfId="0" applyNumberFormat="1"/>
    <xf numFmtId="164" fontId="0" fillId="0" borderId="0" xfId="0" applyNumberFormat="1"/>
    <xf numFmtId="165" fontId="1" fillId="4" borderId="5" xfId="1" applyNumberFormat="1" applyFont="1" applyFill="1" applyBorder="1"/>
    <xf numFmtId="2" fontId="0" fillId="4" borderId="19" xfId="0" applyNumberFormat="1" applyFill="1" applyBorder="1" applyAlignment="1">
      <alignment horizontal="center"/>
    </xf>
    <xf numFmtId="2" fontId="0" fillId="4" borderId="21" xfId="0" applyNumberForma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6" fontId="2" fillId="0" borderId="48" xfId="2" applyNumberFormat="1" applyFont="1" applyFill="1" applyBorder="1"/>
    <xf numFmtId="0" fontId="6" fillId="0" borderId="12" xfId="0" applyFont="1" applyBorder="1" applyAlignment="1">
      <alignment horizontal="center" vertical="center"/>
    </xf>
    <xf numFmtId="167" fontId="2" fillId="5" borderId="0" xfId="2" applyNumberFormat="1" applyFont="1" applyFill="1" applyBorder="1"/>
    <xf numFmtId="10" fontId="1" fillId="4" borderId="10" xfId="3" applyNumberFormat="1" applyFont="1" applyFill="1" applyBorder="1"/>
    <xf numFmtId="167" fontId="0" fillId="0" borderId="0" xfId="0" applyNumberFormat="1"/>
    <xf numFmtId="165" fontId="1" fillId="0" borderId="9" xfId="1" applyNumberFormat="1" applyFont="1" applyFill="1" applyBorder="1" applyAlignment="1">
      <alignment horizontal="center" wrapText="1"/>
    </xf>
    <xf numFmtId="165" fontId="0" fillId="4" borderId="11" xfId="1" applyNumberFormat="1" applyFont="1" applyFill="1" applyBorder="1"/>
    <xf numFmtId="3" fontId="0" fillId="4" borderId="11" xfId="0" applyNumberFormat="1" applyFill="1" applyBorder="1"/>
    <xf numFmtId="0" fontId="2" fillId="0" borderId="23" xfId="0" applyFont="1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3" borderId="14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54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3" borderId="25" xfId="1" applyNumberFormat="1" applyFont="1" applyFill="1" applyBorder="1" applyAlignment="1">
      <alignment horizontal="center"/>
    </xf>
    <xf numFmtId="0" fontId="4" fillId="3" borderId="10" xfId="1" applyNumberFormat="1" applyFont="1" applyFill="1" applyBorder="1" applyAlignment="1">
      <alignment horizontal="center"/>
    </xf>
    <xf numFmtId="0" fontId="4" fillId="3" borderId="4" xfId="1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3" borderId="30" xfId="1" applyNumberFormat="1" applyFont="1" applyFill="1" applyBorder="1" applyAlignment="1">
      <alignment horizontal="center"/>
    </xf>
    <xf numFmtId="0" fontId="4" fillId="3" borderId="31" xfId="1" applyNumberFormat="1" applyFont="1" applyFill="1" applyBorder="1" applyAlignment="1">
      <alignment horizontal="center"/>
    </xf>
    <xf numFmtId="0" fontId="4" fillId="3" borderId="32" xfId="1" applyNumberFormat="1" applyFont="1" applyFill="1" applyBorder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2" fontId="0" fillId="4" borderId="0" xfId="0" applyNumberFormat="1" applyFill="1"/>
    <xf numFmtId="0" fontId="2" fillId="0" borderId="0" xfId="0" applyFont="1" applyBorder="1" applyAlignment="1">
      <alignment horizontal="center"/>
    </xf>
    <xf numFmtId="0" fontId="0" fillId="0" borderId="0" xfId="0" applyBorder="1"/>
    <xf numFmtId="165" fontId="0" fillId="4" borderId="21" xfId="1" applyNumberFormat="1" applyFont="1" applyFill="1" applyBorder="1"/>
    <xf numFmtId="2" fontId="0" fillId="4" borderId="11" xfId="0" applyNumberFormat="1" applyFill="1" applyBorder="1"/>
    <xf numFmtId="166" fontId="0" fillId="0" borderId="0" xfId="0" applyNumberFormat="1" applyBorder="1"/>
    <xf numFmtId="166" fontId="2" fillId="0" borderId="0" xfId="0" applyNumberFormat="1" applyFont="1" applyBorder="1"/>
    <xf numFmtId="0" fontId="0" fillId="0" borderId="0" xfId="0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1F36D-1D31-4420-815C-7BA416BAB4EF}">
  <sheetPr>
    <tabColor theme="2"/>
  </sheetPr>
  <dimension ref="B2:AL111"/>
  <sheetViews>
    <sheetView zoomScale="80" zoomScaleNormal="80" workbookViewId="0">
      <selection activeCell="I22" sqref="I22"/>
    </sheetView>
  </sheetViews>
  <sheetFormatPr defaultRowHeight="15" x14ac:dyDescent="0.25"/>
  <cols>
    <col min="1" max="1" width="3.28515625" customWidth="1"/>
    <col min="2" max="2" width="12.5703125" customWidth="1"/>
    <col min="3" max="3" width="15.28515625" bestFit="1" customWidth="1"/>
    <col min="4" max="4" width="17.85546875" customWidth="1"/>
    <col min="5" max="5" width="14.28515625" bestFit="1" customWidth="1"/>
    <col min="6" max="6" width="14.28515625" customWidth="1"/>
    <col min="7" max="7" width="13.42578125" bestFit="1" customWidth="1"/>
    <col min="8" max="8" width="13.85546875" bestFit="1" customWidth="1"/>
    <col min="9" max="9" width="13.140625" customWidth="1"/>
    <col min="10" max="10" width="13.7109375" customWidth="1"/>
    <col min="11" max="11" width="13.5703125" bestFit="1" customWidth="1"/>
    <col min="12" max="12" width="14.28515625" customWidth="1"/>
    <col min="13" max="13" width="14.42578125" customWidth="1"/>
    <col min="14" max="14" width="14.5703125" customWidth="1"/>
    <col min="15" max="15" width="13.7109375" bestFit="1" customWidth="1"/>
    <col min="16" max="26" width="15.28515625" customWidth="1"/>
    <col min="27" max="27" width="12.85546875" customWidth="1"/>
    <col min="28" max="28" width="12" bestFit="1" customWidth="1"/>
    <col min="29" max="29" width="12.28515625" customWidth="1"/>
    <col min="30" max="30" width="14" customWidth="1"/>
    <col min="31" max="31" width="12" bestFit="1" customWidth="1"/>
    <col min="32" max="32" width="12.42578125" customWidth="1"/>
    <col min="33" max="33" width="13.28515625" customWidth="1"/>
    <col min="34" max="34" width="12" bestFit="1" customWidth="1"/>
    <col min="35" max="35" width="14.42578125" customWidth="1"/>
    <col min="36" max="36" width="12.85546875" customWidth="1"/>
    <col min="37" max="37" width="12" bestFit="1" customWidth="1"/>
    <col min="38" max="38" width="13.28515625" customWidth="1"/>
  </cols>
  <sheetData>
    <row r="2" spans="2:38" ht="19.5" thickBot="1" x14ac:dyDescent="0.35">
      <c r="C2" s="194" t="s">
        <v>118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</row>
    <row r="3" spans="2:38" ht="15.75" thickBot="1" x14ac:dyDescent="0.3">
      <c r="B3" s="1"/>
      <c r="C3" s="193">
        <v>2017</v>
      </c>
      <c r="D3" s="179"/>
      <c r="E3" s="179"/>
      <c r="F3" s="180">
        <f>C3+1</f>
        <v>2018</v>
      </c>
      <c r="G3" s="181"/>
      <c r="H3" s="182"/>
      <c r="I3" s="179">
        <f>F3+1</f>
        <v>2019</v>
      </c>
      <c r="J3" s="179"/>
      <c r="K3" s="179"/>
      <c r="L3" s="180">
        <f>I3+1</f>
        <v>2020</v>
      </c>
      <c r="M3" s="181"/>
      <c r="N3" s="182"/>
      <c r="O3" s="179">
        <f>L3+1</f>
        <v>2021</v>
      </c>
      <c r="P3" s="179"/>
      <c r="Q3" s="179"/>
      <c r="R3" s="180">
        <f>O3+1</f>
        <v>2022</v>
      </c>
      <c r="S3" s="181"/>
      <c r="T3" s="182"/>
      <c r="U3" s="179">
        <f>R3+1</f>
        <v>2023</v>
      </c>
      <c r="V3" s="179"/>
      <c r="W3" s="183"/>
      <c r="X3" s="179">
        <v>2024</v>
      </c>
      <c r="Y3" s="179"/>
      <c r="Z3" s="179"/>
      <c r="AA3" s="180">
        <v>2025</v>
      </c>
      <c r="AB3" s="181"/>
      <c r="AC3" s="182"/>
      <c r="AD3" s="179">
        <v>2026</v>
      </c>
      <c r="AE3" s="179"/>
      <c r="AF3" s="183"/>
      <c r="AG3" s="180">
        <v>2027</v>
      </c>
      <c r="AH3" s="181"/>
      <c r="AI3" s="182"/>
      <c r="AJ3" s="179">
        <v>2028</v>
      </c>
      <c r="AK3" s="179"/>
      <c r="AL3" s="183"/>
    </row>
    <row r="4" spans="2:38" ht="30.75" thickBot="1" x14ac:dyDescent="0.3">
      <c r="B4" s="1"/>
      <c r="C4" s="128" t="s">
        <v>13</v>
      </c>
      <c r="D4" s="129" t="s">
        <v>12</v>
      </c>
      <c r="E4" s="130" t="s">
        <v>96</v>
      </c>
      <c r="F4" s="128" t="s">
        <v>13</v>
      </c>
      <c r="G4" s="129" t="s">
        <v>12</v>
      </c>
      <c r="H4" s="130" t="s">
        <v>96</v>
      </c>
      <c r="I4" s="128" t="s">
        <v>13</v>
      </c>
      <c r="J4" s="129" t="s">
        <v>12</v>
      </c>
      <c r="K4" s="130" t="s">
        <v>96</v>
      </c>
      <c r="L4" s="128" t="s">
        <v>13</v>
      </c>
      <c r="M4" s="129" t="s">
        <v>12</v>
      </c>
      <c r="N4" s="130" t="s">
        <v>96</v>
      </c>
      <c r="O4" s="128" t="s">
        <v>13</v>
      </c>
      <c r="P4" s="129" t="s">
        <v>12</v>
      </c>
      <c r="Q4" s="130" t="s">
        <v>96</v>
      </c>
      <c r="R4" s="128" t="s">
        <v>13</v>
      </c>
      <c r="S4" s="129" t="s">
        <v>12</v>
      </c>
      <c r="T4" s="130" t="s">
        <v>96</v>
      </c>
      <c r="U4" s="128" t="s">
        <v>13</v>
      </c>
      <c r="V4" s="129" t="s">
        <v>12</v>
      </c>
      <c r="W4" s="130" t="s">
        <v>96</v>
      </c>
      <c r="X4" s="128" t="s">
        <v>13</v>
      </c>
      <c r="Y4" s="129" t="s">
        <v>12</v>
      </c>
      <c r="Z4" s="130" t="s">
        <v>96</v>
      </c>
      <c r="AA4" s="128" t="s">
        <v>13</v>
      </c>
      <c r="AB4" s="129" t="s">
        <v>12</v>
      </c>
      <c r="AC4" s="130" t="s">
        <v>96</v>
      </c>
      <c r="AD4" s="128" t="s">
        <v>13</v>
      </c>
      <c r="AE4" s="129" t="s">
        <v>12</v>
      </c>
      <c r="AF4" s="130" t="s">
        <v>96</v>
      </c>
      <c r="AG4" s="128" t="s">
        <v>13</v>
      </c>
      <c r="AH4" s="129" t="s">
        <v>12</v>
      </c>
      <c r="AI4" s="130" t="s">
        <v>96</v>
      </c>
      <c r="AJ4" s="128" t="s">
        <v>13</v>
      </c>
      <c r="AK4" s="129" t="s">
        <v>12</v>
      </c>
      <c r="AL4" s="130" t="s">
        <v>96</v>
      </c>
    </row>
    <row r="5" spans="2:38" x14ac:dyDescent="0.25">
      <c r="B5" s="131" t="s">
        <v>0</v>
      </c>
      <c r="C5" s="144">
        <v>2134510</v>
      </c>
      <c r="D5" s="145">
        <v>8.2269999999999996E-2</v>
      </c>
      <c r="E5" s="5">
        <v>175606.1399999999</v>
      </c>
      <c r="F5" s="144">
        <v>2813138</v>
      </c>
      <c r="G5" s="145">
        <v>6.7360000000000003E-2</v>
      </c>
      <c r="H5" s="5">
        <v>189492.96999999997</v>
      </c>
      <c r="I5" s="144">
        <v>2196000</v>
      </c>
      <c r="J5" s="145">
        <v>8.0920000000000006E-2</v>
      </c>
      <c r="K5" s="5">
        <v>177700.31999999983</v>
      </c>
      <c r="L5" s="144">
        <v>2089120</v>
      </c>
      <c r="M5" s="145">
        <v>0.10231999999999999</v>
      </c>
      <c r="N5" s="5">
        <v>213758.76</v>
      </c>
      <c r="O5" s="144">
        <v>1805830</v>
      </c>
      <c r="P5" s="145">
        <v>8.2970000000000002E-2</v>
      </c>
      <c r="Q5" s="5">
        <v>149829.71999999997</v>
      </c>
      <c r="R5" s="144">
        <v>857320</v>
      </c>
      <c r="S5" s="145">
        <v>4.3529999999999999E-2</v>
      </c>
      <c r="T5" s="5">
        <v>37319.140000000014</v>
      </c>
      <c r="U5" s="144">
        <v>2581360</v>
      </c>
      <c r="V5" s="145">
        <v>5.3769999999999998E-2</v>
      </c>
      <c r="W5" s="5">
        <v>138799.72999999998</v>
      </c>
      <c r="X5" s="144"/>
      <c r="Y5" s="145"/>
      <c r="Z5" s="5">
        <f>X5*Y5</f>
        <v>0</v>
      </c>
      <c r="AA5" s="144"/>
      <c r="AB5" s="145"/>
      <c r="AC5" s="5">
        <f>AA5*AB5</f>
        <v>0</v>
      </c>
      <c r="AD5" s="144"/>
      <c r="AE5" s="145"/>
      <c r="AF5" s="5">
        <f>AD5*AE5</f>
        <v>0</v>
      </c>
      <c r="AG5" s="144"/>
      <c r="AH5" s="145"/>
      <c r="AI5" s="5">
        <f>AG5*AH5</f>
        <v>0</v>
      </c>
      <c r="AJ5" s="144"/>
      <c r="AK5" s="145"/>
      <c r="AL5" s="5">
        <f>AJ5*AK5</f>
        <v>0</v>
      </c>
    </row>
    <row r="6" spans="2:38" x14ac:dyDescent="0.25">
      <c r="B6" s="132" t="s">
        <v>1</v>
      </c>
      <c r="C6" s="144">
        <v>2975320</v>
      </c>
      <c r="D6" s="145">
        <v>8.6389999999999995E-2</v>
      </c>
      <c r="E6" s="5">
        <v>257037.8899999999</v>
      </c>
      <c r="F6" s="144">
        <v>3302320</v>
      </c>
      <c r="G6" s="145">
        <v>8.1670000000000006E-2</v>
      </c>
      <c r="H6" s="5">
        <v>269700.47999999998</v>
      </c>
      <c r="I6" s="144">
        <v>2533990</v>
      </c>
      <c r="J6" s="145">
        <v>8.8120000000000004E-2</v>
      </c>
      <c r="K6" s="5">
        <v>223295.19999999995</v>
      </c>
      <c r="L6" s="144">
        <v>1688900</v>
      </c>
      <c r="M6" s="145">
        <v>0.11330999999999999</v>
      </c>
      <c r="N6" s="5">
        <v>191369.26</v>
      </c>
      <c r="O6" s="144">
        <v>1373740</v>
      </c>
      <c r="P6" s="145">
        <v>5.042E-2</v>
      </c>
      <c r="Q6" s="5">
        <v>69263.969999999972</v>
      </c>
      <c r="R6" s="144">
        <v>640680</v>
      </c>
      <c r="S6" s="145">
        <v>5.246E-2</v>
      </c>
      <c r="T6" s="5">
        <v>33610.069999999949</v>
      </c>
      <c r="U6" s="144">
        <v>2016690</v>
      </c>
      <c r="V6" s="145">
        <v>8.2489999999999994E-2</v>
      </c>
      <c r="W6" s="5">
        <v>166356.76</v>
      </c>
      <c r="X6" s="144"/>
      <c r="Y6" s="145"/>
      <c r="Z6" s="5">
        <f t="shared" ref="Z6:Z16" si="0">X6*Y6</f>
        <v>0</v>
      </c>
      <c r="AA6" s="144"/>
      <c r="AB6" s="145"/>
      <c r="AC6" s="5">
        <f t="shared" ref="AC6:AC16" si="1">AA6*AB6</f>
        <v>0</v>
      </c>
      <c r="AD6" s="144"/>
      <c r="AE6" s="145"/>
      <c r="AF6" s="5">
        <f t="shared" ref="AF6:AF16" si="2">AD6*AE6</f>
        <v>0</v>
      </c>
      <c r="AG6" s="144"/>
      <c r="AH6" s="145"/>
      <c r="AI6" s="5">
        <f t="shared" ref="AI6:AI16" si="3">AG6*AH6</f>
        <v>0</v>
      </c>
      <c r="AJ6" s="144"/>
      <c r="AK6" s="145"/>
      <c r="AL6" s="5">
        <f t="shared" ref="AL6:AL16" si="4">AJ6*AK6</f>
        <v>0</v>
      </c>
    </row>
    <row r="7" spans="2:38" x14ac:dyDescent="0.25">
      <c r="B7" s="132" t="s">
        <v>2</v>
      </c>
      <c r="C7" s="144">
        <v>3883530</v>
      </c>
      <c r="D7" s="145">
        <v>7.1349999999999997E-2</v>
      </c>
      <c r="E7" s="5">
        <v>277089.8600000001</v>
      </c>
      <c r="F7" s="144">
        <v>4336290</v>
      </c>
      <c r="G7" s="145">
        <v>9.4810000000000005E-2</v>
      </c>
      <c r="H7" s="5">
        <v>411123.65999999992</v>
      </c>
      <c r="I7" s="144">
        <v>4480180</v>
      </c>
      <c r="J7" s="145">
        <v>8.0409999999999995E-2</v>
      </c>
      <c r="K7" s="5">
        <v>360251.28</v>
      </c>
      <c r="L7" s="144">
        <v>3223950</v>
      </c>
      <c r="M7" s="145">
        <v>0.11942</v>
      </c>
      <c r="N7" s="5">
        <v>385004.1100000001</v>
      </c>
      <c r="O7" s="144">
        <v>2724430</v>
      </c>
      <c r="P7" s="145">
        <v>9.0800000000000006E-2</v>
      </c>
      <c r="Q7" s="5">
        <v>247378.25</v>
      </c>
      <c r="R7" s="144">
        <v>2937880</v>
      </c>
      <c r="S7" s="145">
        <v>5.9409999999999998E-2</v>
      </c>
      <c r="T7" s="5">
        <v>174539.44999999995</v>
      </c>
      <c r="U7" s="144">
        <v>2816580</v>
      </c>
      <c r="V7" s="145">
        <v>8.0310000000000006E-2</v>
      </c>
      <c r="W7" s="5">
        <v>226199.54000000004</v>
      </c>
      <c r="X7" s="144"/>
      <c r="Y7" s="145"/>
      <c r="Z7" s="5">
        <f t="shared" si="0"/>
        <v>0</v>
      </c>
      <c r="AA7" s="144"/>
      <c r="AB7" s="145"/>
      <c r="AC7" s="5">
        <f t="shared" si="1"/>
        <v>0</v>
      </c>
      <c r="AD7" s="144"/>
      <c r="AE7" s="145"/>
      <c r="AF7" s="5">
        <f t="shared" si="2"/>
        <v>0</v>
      </c>
      <c r="AG7" s="144"/>
      <c r="AH7" s="145"/>
      <c r="AI7" s="5">
        <f t="shared" si="3"/>
        <v>0</v>
      </c>
      <c r="AJ7" s="144"/>
      <c r="AK7" s="145"/>
      <c r="AL7" s="5">
        <f t="shared" si="4"/>
        <v>0</v>
      </c>
    </row>
    <row r="8" spans="2:38" x14ac:dyDescent="0.25">
      <c r="B8" s="132" t="s">
        <v>3</v>
      </c>
      <c r="C8" s="144">
        <v>4799720</v>
      </c>
      <c r="D8" s="145">
        <v>0.10778</v>
      </c>
      <c r="E8" s="5">
        <v>517313.81999999995</v>
      </c>
      <c r="F8" s="144">
        <v>4359310</v>
      </c>
      <c r="G8" s="145">
        <v>9.9589999999999998E-2</v>
      </c>
      <c r="H8" s="5">
        <v>434143.68000000017</v>
      </c>
      <c r="I8" s="144">
        <v>2161930</v>
      </c>
      <c r="J8" s="145">
        <v>0.12333</v>
      </c>
      <c r="K8" s="5">
        <v>266630.83000000007</v>
      </c>
      <c r="L8" s="144">
        <v>3323490</v>
      </c>
      <c r="M8" s="145">
        <v>0.15057000000000001</v>
      </c>
      <c r="N8" s="5">
        <v>500417.89000000013</v>
      </c>
      <c r="O8" s="144">
        <v>4398280</v>
      </c>
      <c r="P8" s="145">
        <v>0.10934000000000001</v>
      </c>
      <c r="Q8" s="5">
        <v>480907.93000000005</v>
      </c>
      <c r="R8" s="144">
        <v>4152090</v>
      </c>
      <c r="S8" s="145">
        <v>8.2930000000000004E-2</v>
      </c>
      <c r="T8" s="5">
        <v>344332.82999999996</v>
      </c>
      <c r="U8" s="144">
        <v>4255470</v>
      </c>
      <c r="V8" s="145">
        <v>9.8530000000000006E-2</v>
      </c>
      <c r="W8" s="5">
        <v>419291.45999999996</v>
      </c>
      <c r="X8" s="144"/>
      <c r="Y8" s="145"/>
      <c r="Z8" s="5">
        <f t="shared" si="0"/>
        <v>0</v>
      </c>
      <c r="AA8" s="144"/>
      <c r="AB8" s="145"/>
      <c r="AC8" s="5">
        <f t="shared" si="1"/>
        <v>0</v>
      </c>
      <c r="AD8" s="144"/>
      <c r="AE8" s="145"/>
      <c r="AF8" s="5">
        <f t="shared" si="2"/>
        <v>0</v>
      </c>
      <c r="AG8" s="144"/>
      <c r="AH8" s="145"/>
      <c r="AI8" s="5">
        <f t="shared" si="3"/>
        <v>0</v>
      </c>
      <c r="AJ8" s="144"/>
      <c r="AK8" s="145"/>
      <c r="AL8" s="5">
        <f t="shared" si="4"/>
        <v>0</v>
      </c>
    </row>
    <row r="9" spans="2:38" x14ac:dyDescent="0.25">
      <c r="B9" s="132" t="s">
        <v>4</v>
      </c>
      <c r="C9" s="144">
        <v>5096570</v>
      </c>
      <c r="D9" s="145">
        <v>0.12307</v>
      </c>
      <c r="E9" s="5">
        <v>627234.87000000011</v>
      </c>
      <c r="F9" s="144">
        <v>5824650</v>
      </c>
      <c r="G9" s="145">
        <v>0.10791000000000001</v>
      </c>
      <c r="H9" s="5">
        <v>628537.98</v>
      </c>
      <c r="I9" s="144">
        <v>573300</v>
      </c>
      <c r="J9" s="145">
        <v>0.12604000000000001</v>
      </c>
      <c r="K9" s="5">
        <v>72258.729999999981</v>
      </c>
      <c r="L9" s="144">
        <v>4369220</v>
      </c>
      <c r="M9" s="145">
        <v>0.14718000000000001</v>
      </c>
      <c r="N9" s="5">
        <v>643061.80000000005</v>
      </c>
      <c r="O9" s="144">
        <v>3333080</v>
      </c>
      <c r="P9" s="145">
        <v>0.10054</v>
      </c>
      <c r="Q9" s="5">
        <v>335107.8600000001</v>
      </c>
      <c r="R9" s="144">
        <v>5665250</v>
      </c>
      <c r="S9" s="145">
        <v>8.4750000000000006E-2</v>
      </c>
      <c r="T9" s="5">
        <v>480129.94000000006</v>
      </c>
      <c r="U9" s="144">
        <v>5063950</v>
      </c>
      <c r="V9" s="145">
        <v>9.962E-2</v>
      </c>
      <c r="W9" s="5">
        <v>504470.69000000006</v>
      </c>
      <c r="X9" s="144"/>
      <c r="Y9" s="145"/>
      <c r="Z9" s="5">
        <f t="shared" si="0"/>
        <v>0</v>
      </c>
      <c r="AA9" s="144"/>
      <c r="AB9" s="145"/>
      <c r="AC9" s="5">
        <f t="shared" si="1"/>
        <v>0</v>
      </c>
      <c r="AD9" s="144"/>
      <c r="AE9" s="145"/>
      <c r="AF9" s="5">
        <f t="shared" si="2"/>
        <v>0</v>
      </c>
      <c r="AG9" s="144"/>
      <c r="AH9" s="145"/>
      <c r="AI9" s="5">
        <f t="shared" si="3"/>
        <v>0</v>
      </c>
      <c r="AJ9" s="144"/>
      <c r="AK9" s="145"/>
      <c r="AL9" s="5">
        <f t="shared" si="4"/>
        <v>0</v>
      </c>
    </row>
    <row r="10" spans="2:38" x14ac:dyDescent="0.25">
      <c r="B10" s="132" t="s">
        <v>5</v>
      </c>
      <c r="C10" s="144">
        <v>5673460</v>
      </c>
      <c r="D10" s="145">
        <v>0.11848</v>
      </c>
      <c r="E10" s="5">
        <v>672191.54</v>
      </c>
      <c r="F10" s="144">
        <v>5836836</v>
      </c>
      <c r="G10" s="145">
        <v>0.11896</v>
      </c>
      <c r="H10" s="5">
        <v>694350.00999999989</v>
      </c>
      <c r="I10" s="144">
        <v>2446170</v>
      </c>
      <c r="J10" s="145">
        <v>0.13728000000000001</v>
      </c>
      <c r="K10" s="5">
        <v>335810.2100000002</v>
      </c>
      <c r="L10" s="144">
        <v>4206240</v>
      </c>
      <c r="M10" s="145">
        <v>0.12839999999999999</v>
      </c>
      <c r="N10" s="5">
        <v>540081.22</v>
      </c>
      <c r="O10" s="144">
        <v>1333260</v>
      </c>
      <c r="P10" s="145">
        <v>8.6319999999999994E-2</v>
      </c>
      <c r="Q10" s="5">
        <v>115087.01000000001</v>
      </c>
      <c r="R10" s="144">
        <v>5632520</v>
      </c>
      <c r="S10" s="145">
        <v>7.868E-2</v>
      </c>
      <c r="T10" s="5">
        <v>443166.67999999993</v>
      </c>
      <c r="U10" s="144">
        <v>2509010</v>
      </c>
      <c r="V10" s="145">
        <v>8.2930000000000004E-2</v>
      </c>
      <c r="W10" s="5">
        <v>208072.19999999995</v>
      </c>
      <c r="X10" s="144"/>
      <c r="Y10" s="145"/>
      <c r="Z10" s="5">
        <f t="shared" si="0"/>
        <v>0</v>
      </c>
      <c r="AA10" s="144"/>
      <c r="AB10" s="145"/>
      <c r="AC10" s="5">
        <f t="shared" si="1"/>
        <v>0</v>
      </c>
      <c r="AD10" s="144"/>
      <c r="AE10" s="145"/>
      <c r="AF10" s="5">
        <f t="shared" si="2"/>
        <v>0</v>
      </c>
      <c r="AG10" s="144"/>
      <c r="AH10" s="145"/>
      <c r="AI10" s="5">
        <f t="shared" si="3"/>
        <v>0</v>
      </c>
      <c r="AJ10" s="144"/>
      <c r="AK10" s="145"/>
      <c r="AL10" s="5">
        <f t="shared" si="4"/>
        <v>0</v>
      </c>
    </row>
    <row r="11" spans="2:38" x14ac:dyDescent="0.25">
      <c r="B11" s="132" t="s">
        <v>6</v>
      </c>
      <c r="C11" s="144">
        <v>5380900</v>
      </c>
      <c r="D11" s="145">
        <v>0.1128</v>
      </c>
      <c r="E11" s="5">
        <v>606965.52</v>
      </c>
      <c r="F11" s="144">
        <v>2286590</v>
      </c>
      <c r="G11" s="145">
        <v>7.7369999999999994E-2</v>
      </c>
      <c r="H11" s="5">
        <v>176913.45999999996</v>
      </c>
      <c r="I11" s="144">
        <v>3676680</v>
      </c>
      <c r="J11" s="145">
        <v>9.6449999999999994E-2</v>
      </c>
      <c r="K11" s="5">
        <v>354615.79000000004</v>
      </c>
      <c r="L11" s="144">
        <v>3494520</v>
      </c>
      <c r="M11" s="145">
        <v>9.9019999999999997E-2</v>
      </c>
      <c r="N11" s="5">
        <v>346027.36999999988</v>
      </c>
      <c r="O11" s="144">
        <v>3685060</v>
      </c>
      <c r="P11" s="145">
        <v>7.3599999999999999E-2</v>
      </c>
      <c r="Q11" s="5">
        <v>271220.41000000003</v>
      </c>
      <c r="R11" s="144">
        <v>4101700</v>
      </c>
      <c r="S11" s="145">
        <v>4.0079999999999998E-2</v>
      </c>
      <c r="T11" s="5">
        <v>164396.14000000001</v>
      </c>
      <c r="U11" s="158">
        <v>5180845.5999999996</v>
      </c>
      <c r="V11" s="145">
        <f>W11/U11</f>
        <v>4.9489998312244633E-2</v>
      </c>
      <c r="W11" s="143">
        <f>128200.02*2</f>
        <v>256400.04</v>
      </c>
      <c r="X11" s="144"/>
      <c r="Y11" s="145"/>
      <c r="Z11" s="5">
        <f t="shared" si="0"/>
        <v>0</v>
      </c>
      <c r="AA11" s="144"/>
      <c r="AB11" s="145"/>
      <c r="AC11" s="5">
        <f t="shared" si="1"/>
        <v>0</v>
      </c>
      <c r="AD11" s="144"/>
      <c r="AE11" s="145"/>
      <c r="AF11" s="5">
        <f t="shared" si="2"/>
        <v>0</v>
      </c>
      <c r="AG11" s="144"/>
      <c r="AH11" s="145"/>
      <c r="AI11" s="5">
        <f t="shared" si="3"/>
        <v>0</v>
      </c>
      <c r="AJ11" s="144"/>
      <c r="AK11" s="145"/>
      <c r="AL11" s="5">
        <f t="shared" si="4"/>
        <v>0</v>
      </c>
    </row>
    <row r="12" spans="2:38" x14ac:dyDescent="0.25">
      <c r="B12" s="132" t="s">
        <v>7</v>
      </c>
      <c r="C12" s="144">
        <v>2756940</v>
      </c>
      <c r="D12" s="145">
        <v>0.10109</v>
      </c>
      <c r="E12" s="5">
        <v>278699.06000000006</v>
      </c>
      <c r="F12" s="144">
        <v>2719400</v>
      </c>
      <c r="G12" s="145">
        <v>7.4899999999999994E-2</v>
      </c>
      <c r="H12" s="5">
        <v>203683.05999999994</v>
      </c>
      <c r="I12" s="144">
        <v>3537380</v>
      </c>
      <c r="J12" s="145">
        <v>0.12606999999999999</v>
      </c>
      <c r="K12" s="5">
        <v>445957.5</v>
      </c>
      <c r="L12" s="144">
        <v>4660990</v>
      </c>
      <c r="M12" s="145">
        <v>0.10348</v>
      </c>
      <c r="N12" s="5">
        <v>482319.24</v>
      </c>
      <c r="O12" s="144">
        <v>4492060</v>
      </c>
      <c r="P12" s="145">
        <v>4.5990000000000003E-2</v>
      </c>
      <c r="Q12" s="5">
        <v>206589.83999999997</v>
      </c>
      <c r="R12" s="144">
        <v>2637510</v>
      </c>
      <c r="S12" s="145">
        <v>4.9899999999999996E-3</v>
      </c>
      <c r="T12" s="5">
        <v>13161.179999999993</v>
      </c>
      <c r="U12" s="144">
        <v>5107690</v>
      </c>
      <c r="V12" s="145">
        <f>W12/U12</f>
        <v>7.6059999725903493E-2</v>
      </c>
      <c r="W12" s="5">
        <f>194245.45*2</f>
        <v>388490.9</v>
      </c>
      <c r="X12" s="144"/>
      <c r="Y12" s="145"/>
      <c r="Z12" s="5">
        <f t="shared" si="0"/>
        <v>0</v>
      </c>
      <c r="AA12" s="144"/>
      <c r="AB12" s="145"/>
      <c r="AC12" s="5">
        <f t="shared" si="1"/>
        <v>0</v>
      </c>
      <c r="AD12" s="144"/>
      <c r="AE12" s="145"/>
      <c r="AF12" s="5">
        <f t="shared" si="2"/>
        <v>0</v>
      </c>
      <c r="AG12" s="144"/>
      <c r="AH12" s="145"/>
      <c r="AI12" s="5">
        <f t="shared" si="3"/>
        <v>0</v>
      </c>
      <c r="AJ12" s="144"/>
      <c r="AK12" s="145"/>
      <c r="AL12" s="5">
        <f t="shared" si="4"/>
        <v>0</v>
      </c>
    </row>
    <row r="13" spans="2:38" x14ac:dyDescent="0.25">
      <c r="B13" s="132" t="s">
        <v>8</v>
      </c>
      <c r="C13" s="144">
        <v>3210200</v>
      </c>
      <c r="D13" s="145">
        <v>8.8639999999999997E-2</v>
      </c>
      <c r="E13" s="5">
        <v>284552.13</v>
      </c>
      <c r="F13" s="144">
        <v>3075670</v>
      </c>
      <c r="G13" s="145">
        <v>8.584E-2</v>
      </c>
      <c r="H13" s="5">
        <v>264015.50999999989</v>
      </c>
      <c r="I13" s="144">
        <v>2684440</v>
      </c>
      <c r="J13" s="145">
        <v>0.12263</v>
      </c>
      <c r="K13" s="5">
        <v>329192.87999999989</v>
      </c>
      <c r="L13" s="144">
        <v>4094420</v>
      </c>
      <c r="M13" s="145">
        <v>0.12175999999999999</v>
      </c>
      <c r="N13" s="5">
        <v>498536.58000000007</v>
      </c>
      <c r="O13" s="144">
        <v>2697760</v>
      </c>
      <c r="P13" s="145">
        <v>7.5649999999999995E-2</v>
      </c>
      <c r="Q13" s="5">
        <v>204085.54999999993</v>
      </c>
      <c r="R13" s="144">
        <v>4344770</v>
      </c>
      <c r="S13" s="145">
        <v>3.2410000000000001E-2</v>
      </c>
      <c r="T13" s="5">
        <v>140814</v>
      </c>
      <c r="U13" s="144">
        <v>3976555.51</v>
      </c>
      <c r="V13" s="145">
        <v>5.0930000000000003E-2</v>
      </c>
      <c r="W13" s="5">
        <v>202525.97</v>
      </c>
      <c r="X13" s="144"/>
      <c r="Y13" s="145"/>
      <c r="Z13" s="5">
        <f t="shared" si="0"/>
        <v>0</v>
      </c>
      <c r="AA13" s="144"/>
      <c r="AB13" s="145"/>
      <c r="AC13" s="5">
        <f t="shared" si="1"/>
        <v>0</v>
      </c>
      <c r="AD13" s="144"/>
      <c r="AE13" s="145"/>
      <c r="AF13" s="5">
        <f t="shared" si="2"/>
        <v>0</v>
      </c>
      <c r="AG13" s="144"/>
      <c r="AH13" s="145"/>
      <c r="AI13" s="5">
        <f t="shared" si="3"/>
        <v>0</v>
      </c>
      <c r="AJ13" s="144"/>
      <c r="AK13" s="145"/>
      <c r="AL13" s="5">
        <f t="shared" si="4"/>
        <v>0</v>
      </c>
    </row>
    <row r="14" spans="2:38" x14ac:dyDescent="0.25">
      <c r="B14" s="132" t="s">
        <v>9</v>
      </c>
      <c r="C14" s="144">
        <v>2748080</v>
      </c>
      <c r="D14" s="145">
        <v>0.12562999999999999</v>
      </c>
      <c r="E14" s="5">
        <v>345241.29000000004</v>
      </c>
      <c r="F14" s="144">
        <v>1716320</v>
      </c>
      <c r="G14" s="145">
        <v>0.12059</v>
      </c>
      <c r="H14" s="5">
        <v>206971.03000000003</v>
      </c>
      <c r="I14" s="144">
        <v>2841830</v>
      </c>
      <c r="J14" s="145">
        <v>0.1368</v>
      </c>
      <c r="K14" s="5">
        <v>388762.34999999986</v>
      </c>
      <c r="L14" s="144">
        <v>3886120</v>
      </c>
      <c r="M14" s="145">
        <v>0.12806000000000001</v>
      </c>
      <c r="N14" s="5">
        <v>497656.53</v>
      </c>
      <c r="O14" s="144">
        <v>5203800</v>
      </c>
      <c r="P14" s="145">
        <v>5.2440000000000001E-2</v>
      </c>
      <c r="Q14" s="5">
        <v>272887.27999999997</v>
      </c>
      <c r="R14" s="144">
        <v>2424300</v>
      </c>
      <c r="S14" s="145">
        <v>5.7709999999999997E-2</v>
      </c>
      <c r="T14" s="5">
        <v>139906.34999999998</v>
      </c>
      <c r="U14" s="144"/>
      <c r="V14" s="145"/>
      <c r="W14" s="5">
        <f>U14*V14</f>
        <v>0</v>
      </c>
      <c r="X14" s="144"/>
      <c r="Y14" s="145"/>
      <c r="Z14" s="5">
        <f t="shared" si="0"/>
        <v>0</v>
      </c>
      <c r="AA14" s="144"/>
      <c r="AB14" s="145"/>
      <c r="AC14" s="5">
        <f t="shared" si="1"/>
        <v>0</v>
      </c>
      <c r="AD14" s="144"/>
      <c r="AE14" s="145"/>
      <c r="AF14" s="5">
        <f t="shared" si="2"/>
        <v>0</v>
      </c>
      <c r="AG14" s="144"/>
      <c r="AH14" s="145"/>
      <c r="AI14" s="5">
        <f t="shared" si="3"/>
        <v>0</v>
      </c>
      <c r="AJ14" s="144"/>
      <c r="AK14" s="145"/>
      <c r="AL14" s="5">
        <f t="shared" si="4"/>
        <v>0</v>
      </c>
    </row>
    <row r="15" spans="2:38" x14ac:dyDescent="0.25">
      <c r="B15" s="132" t="s">
        <v>10</v>
      </c>
      <c r="C15" s="144">
        <v>5298050</v>
      </c>
      <c r="D15" s="145">
        <v>9.7040000000000001E-2</v>
      </c>
      <c r="E15" s="5">
        <v>514122.77</v>
      </c>
      <c r="F15" s="144">
        <v>1807480</v>
      </c>
      <c r="G15" s="145">
        <v>9.8549999999999999E-2</v>
      </c>
      <c r="H15" s="5">
        <v>178127.15999999992</v>
      </c>
      <c r="I15" s="144">
        <v>1506800</v>
      </c>
      <c r="J15" s="145">
        <v>9.9529999999999993E-2</v>
      </c>
      <c r="K15" s="5">
        <v>149971.81000000006</v>
      </c>
      <c r="L15" s="144">
        <v>3140570</v>
      </c>
      <c r="M15" s="145">
        <v>0.11705</v>
      </c>
      <c r="N15" s="5">
        <v>367603.7200000002</v>
      </c>
      <c r="O15" s="144">
        <v>3090470</v>
      </c>
      <c r="P15" s="145">
        <v>5.4170000000000003E-2</v>
      </c>
      <c r="Q15" s="5">
        <v>167410.76</v>
      </c>
      <c r="R15" s="144">
        <v>419910</v>
      </c>
      <c r="S15" s="145">
        <v>6.9889999999999994E-2</v>
      </c>
      <c r="T15" s="5">
        <v>29347.509999999776</v>
      </c>
      <c r="U15" s="144"/>
      <c r="V15" s="145"/>
      <c r="W15" s="5">
        <f t="shared" ref="W15:W16" si="5">U15*V15</f>
        <v>0</v>
      </c>
      <c r="X15" s="144"/>
      <c r="Y15" s="145"/>
      <c r="Z15" s="5">
        <f t="shared" si="0"/>
        <v>0</v>
      </c>
      <c r="AA15" s="144"/>
      <c r="AB15" s="145"/>
      <c r="AC15" s="5">
        <f t="shared" si="1"/>
        <v>0</v>
      </c>
      <c r="AD15" s="144"/>
      <c r="AE15" s="145"/>
      <c r="AF15" s="5">
        <f t="shared" si="2"/>
        <v>0</v>
      </c>
      <c r="AG15" s="144"/>
      <c r="AH15" s="145"/>
      <c r="AI15" s="5">
        <f t="shared" si="3"/>
        <v>0</v>
      </c>
      <c r="AJ15" s="144"/>
      <c r="AK15" s="145"/>
      <c r="AL15" s="5">
        <f t="shared" si="4"/>
        <v>0</v>
      </c>
    </row>
    <row r="16" spans="2:38" ht="15.75" thickBot="1" x14ac:dyDescent="0.3">
      <c r="B16" s="132" t="s">
        <v>11</v>
      </c>
      <c r="C16" s="146">
        <v>3896110</v>
      </c>
      <c r="D16" s="147">
        <v>9.2069999999999999E-2</v>
      </c>
      <c r="E16" s="6">
        <v>358714.85000000009</v>
      </c>
      <c r="F16" s="146">
        <v>3020740</v>
      </c>
      <c r="G16" s="147">
        <v>7.4039999999999995E-2</v>
      </c>
      <c r="H16" s="6">
        <v>223655.59000000008</v>
      </c>
      <c r="I16" s="146">
        <v>1996200</v>
      </c>
      <c r="J16" s="147">
        <v>9.3210000000000001E-2</v>
      </c>
      <c r="K16" s="6">
        <v>186065.80000000005</v>
      </c>
      <c r="L16" s="146">
        <v>1979050</v>
      </c>
      <c r="M16" s="147">
        <v>0.10557999999999999</v>
      </c>
      <c r="N16" s="6">
        <v>208948.10000000009</v>
      </c>
      <c r="O16" s="146">
        <v>2661390</v>
      </c>
      <c r="P16" s="147">
        <v>5.9679999999999997E-2</v>
      </c>
      <c r="Q16" s="6">
        <v>158831.75000000012</v>
      </c>
      <c r="R16" s="146">
        <v>947060</v>
      </c>
      <c r="S16" s="147">
        <v>3.4270000000000002E-2</v>
      </c>
      <c r="T16" s="6">
        <v>32455.75</v>
      </c>
      <c r="U16" s="146"/>
      <c r="V16" s="147"/>
      <c r="W16" s="5">
        <f t="shared" si="5"/>
        <v>0</v>
      </c>
      <c r="X16" s="144"/>
      <c r="Y16" s="145"/>
      <c r="Z16" s="5">
        <f t="shared" si="0"/>
        <v>0</v>
      </c>
      <c r="AA16" s="144"/>
      <c r="AB16" s="145"/>
      <c r="AC16" s="5">
        <f t="shared" si="1"/>
        <v>0</v>
      </c>
      <c r="AD16" s="144"/>
      <c r="AE16" s="145"/>
      <c r="AF16" s="5">
        <f t="shared" si="2"/>
        <v>0</v>
      </c>
      <c r="AG16" s="144"/>
      <c r="AH16" s="145"/>
      <c r="AI16" s="5">
        <f t="shared" si="3"/>
        <v>0</v>
      </c>
      <c r="AJ16" s="144"/>
      <c r="AK16" s="145"/>
      <c r="AL16" s="5">
        <f t="shared" si="4"/>
        <v>0</v>
      </c>
    </row>
    <row r="17" spans="2:38" ht="15.75" thickBot="1" x14ac:dyDescent="0.3">
      <c r="B17" s="133" t="s">
        <v>14</v>
      </c>
      <c r="C17" s="8">
        <f>SUM(C5:C16)</f>
        <v>47853390</v>
      </c>
      <c r="D17" s="134">
        <f>E17/C17</f>
        <v>0.10270473502504211</v>
      </c>
      <c r="E17" s="9">
        <f>SUM(E5:E16)</f>
        <v>4914769.74</v>
      </c>
      <c r="F17" s="8">
        <f>SUM(F5:F16)</f>
        <v>41098744</v>
      </c>
      <c r="G17" s="134">
        <f>H17/F17</f>
        <v>9.4424165127771298E-2</v>
      </c>
      <c r="H17" s="9">
        <f>SUM(H5:H16)</f>
        <v>3880714.59</v>
      </c>
      <c r="I17" s="8">
        <f>SUM(I5:I16)</f>
        <v>30634900</v>
      </c>
      <c r="J17" s="134">
        <f>K17/I17</f>
        <v>0.10741059053563094</v>
      </c>
      <c r="K17" s="9">
        <f>SUM(K5:K16)</f>
        <v>3290512.7</v>
      </c>
      <c r="L17" s="8">
        <f>SUM(L5:L16)</f>
        <v>40156590</v>
      </c>
      <c r="M17" s="134">
        <f>N17/L17</f>
        <v>0.12139438582807953</v>
      </c>
      <c r="N17" s="9">
        <f>SUM(N5:N16)</f>
        <v>4874784.58</v>
      </c>
      <c r="O17" s="8">
        <f>SUM(O5:O16)</f>
        <v>36799160</v>
      </c>
      <c r="P17" s="134">
        <f>Q17/O17</f>
        <v>7.2789713949992313E-2</v>
      </c>
      <c r="Q17" s="9">
        <f>SUM(Q5:Q16)</f>
        <v>2678600.3299999991</v>
      </c>
      <c r="R17" s="8">
        <f>SUM(R5:R16)</f>
        <v>34760990</v>
      </c>
      <c r="S17" s="134">
        <f>T17/R17</f>
        <v>5.8490251284557766E-2</v>
      </c>
      <c r="T17" s="9">
        <f>SUM(T5:T16)</f>
        <v>2033179.0399999996</v>
      </c>
      <c r="U17" s="8">
        <f>SUM(U5:U16)</f>
        <v>33508151.109999999</v>
      </c>
      <c r="V17" s="134">
        <f>W17/U17</f>
        <v>7.4925270623205101E-2</v>
      </c>
      <c r="W17" s="9">
        <f>SUM(W5:W16)</f>
        <v>2510607.2900000005</v>
      </c>
      <c r="X17" s="8">
        <f>SUM(X5:X16)</f>
        <v>0</v>
      </c>
      <c r="Y17" s="134" t="e">
        <f>Z17/X17</f>
        <v>#DIV/0!</v>
      </c>
      <c r="Z17" s="9">
        <f>SUM(Z5:Z16)</f>
        <v>0</v>
      </c>
      <c r="AA17" s="8">
        <f>SUM(AA5:AA16)</f>
        <v>0</v>
      </c>
      <c r="AB17" s="134" t="e">
        <f>AC17/AA17</f>
        <v>#DIV/0!</v>
      </c>
      <c r="AC17" s="9">
        <f>SUM(AC5:AC16)</f>
        <v>0</v>
      </c>
      <c r="AD17" s="8">
        <f>SUM(AD5:AD16)</f>
        <v>0</v>
      </c>
      <c r="AE17" s="134" t="e">
        <f>AF17/AD17</f>
        <v>#DIV/0!</v>
      </c>
      <c r="AF17" s="9">
        <f>SUM(AF5:AF16)</f>
        <v>0</v>
      </c>
      <c r="AG17" s="8">
        <f>SUM(AG5:AG16)</f>
        <v>0</v>
      </c>
      <c r="AH17" s="134" t="e">
        <f>AI17/AG17</f>
        <v>#DIV/0!</v>
      </c>
      <c r="AI17" s="9">
        <f>SUM(AI5:AI16)</f>
        <v>0</v>
      </c>
      <c r="AJ17" s="8">
        <f>SUM(AJ5:AJ16)</f>
        <v>0</v>
      </c>
      <c r="AK17" s="134" t="e">
        <f>AL17/AJ17</f>
        <v>#DIV/0!</v>
      </c>
      <c r="AL17" s="9">
        <f>SUM(AL5:AL16)</f>
        <v>0</v>
      </c>
    </row>
    <row r="18" spans="2:38" x14ac:dyDescent="0.25">
      <c r="B18" s="2"/>
    </row>
    <row r="19" spans="2:38" x14ac:dyDescent="0.25">
      <c r="B19" s="2"/>
      <c r="I19" s="157"/>
    </row>
    <row r="20" spans="2:38" x14ac:dyDescent="0.25">
      <c r="B20" s="187" t="s">
        <v>223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9"/>
    </row>
    <row r="21" spans="2:38" x14ac:dyDescent="0.25">
      <c r="B21" s="26"/>
      <c r="C21" s="215">
        <v>2017</v>
      </c>
      <c r="D21" s="215">
        <v>2018</v>
      </c>
      <c r="E21" s="215">
        <v>2019</v>
      </c>
      <c r="F21" s="215">
        <v>2020</v>
      </c>
      <c r="G21" s="215">
        <v>2021</v>
      </c>
      <c r="H21" s="215">
        <v>2022</v>
      </c>
      <c r="I21" s="177" t="s">
        <v>224</v>
      </c>
      <c r="J21" s="177">
        <v>2024</v>
      </c>
      <c r="K21" s="177">
        <v>2025</v>
      </c>
      <c r="L21" s="177">
        <v>2026</v>
      </c>
      <c r="M21" s="177">
        <v>2027</v>
      </c>
      <c r="N21" s="178">
        <v>2028</v>
      </c>
    </row>
    <row r="22" spans="2:38" x14ac:dyDescent="0.25">
      <c r="B22" s="26" t="s">
        <v>0</v>
      </c>
      <c r="C22" s="216"/>
      <c r="D22" s="155">
        <f>AVERAGE($F22:$H22)/AVERAGE($F$34:$H$34)*D$34</f>
        <v>19843492.779305737</v>
      </c>
      <c r="E22" s="155">
        <f>AVERAGE($F22:$H22)/AVERAGE($F$34:$H$34)*E$34</f>
        <v>19703325.719309852</v>
      </c>
      <c r="F22" s="117">
        <v>17722769</v>
      </c>
      <c r="G22" s="117">
        <v>17319254</v>
      </c>
      <c r="H22" s="117">
        <v>20867422</v>
      </c>
      <c r="I22" s="117">
        <v>17580194</v>
      </c>
      <c r="J22" s="117"/>
      <c r="K22" s="117"/>
      <c r="L22" s="117"/>
      <c r="M22" s="117"/>
      <c r="N22" s="148"/>
      <c r="Q22" s="3"/>
      <c r="R22" s="3"/>
      <c r="S22" s="3"/>
      <c r="T22" s="3"/>
      <c r="U22" s="3"/>
    </row>
    <row r="23" spans="2:38" x14ac:dyDescent="0.25">
      <c r="B23" s="26" t="s">
        <v>1</v>
      </c>
      <c r="C23" s="216"/>
      <c r="D23" s="155">
        <f t="shared" ref="D23:E33" si="6">AVERAGE($F23:$H23)/AVERAGE($F$34:$H$34)*D$34</f>
        <v>17918561.173074994</v>
      </c>
      <c r="E23" s="155">
        <f t="shared" si="6"/>
        <v>17791991.114722889</v>
      </c>
      <c r="F23" s="117">
        <v>16373792</v>
      </c>
      <c r="G23" s="117">
        <v>16315431</v>
      </c>
      <c r="H23" s="117">
        <v>17796688</v>
      </c>
      <c r="I23" s="117">
        <v>16455199</v>
      </c>
      <c r="J23" s="117"/>
      <c r="K23" s="117"/>
      <c r="L23" s="117"/>
      <c r="M23" s="117"/>
      <c r="N23" s="148"/>
      <c r="Q23" s="3"/>
      <c r="R23" s="3"/>
      <c r="S23" s="3"/>
      <c r="T23" s="3"/>
      <c r="U23" s="3"/>
    </row>
    <row r="24" spans="2:38" x14ac:dyDescent="0.25">
      <c r="B24" s="26" t="s">
        <v>2</v>
      </c>
      <c r="C24" s="216"/>
      <c r="D24" s="155">
        <f t="shared" si="6"/>
        <v>17143990.019010182</v>
      </c>
      <c r="E24" s="155">
        <f t="shared" si="6"/>
        <v>17022891.243492723</v>
      </c>
      <c r="F24" s="117">
        <v>15547060</v>
      </c>
      <c r="G24" s="117">
        <v>16043912</v>
      </c>
      <c r="H24" s="117">
        <v>16712569</v>
      </c>
      <c r="I24" s="117">
        <v>12177305</v>
      </c>
      <c r="J24" s="117"/>
      <c r="K24" s="117"/>
      <c r="L24" s="117"/>
      <c r="M24" s="117"/>
      <c r="N24" s="148"/>
      <c r="Q24" s="3"/>
      <c r="R24" s="3"/>
      <c r="S24" s="3"/>
      <c r="T24" s="3"/>
      <c r="U24" s="3"/>
    </row>
    <row r="25" spans="2:38" x14ac:dyDescent="0.25">
      <c r="B25" s="26" t="s">
        <v>3</v>
      </c>
      <c r="C25" s="216"/>
      <c r="D25" s="155">
        <f t="shared" si="6"/>
        <v>14156999.718134973</v>
      </c>
      <c r="E25" s="155">
        <f t="shared" si="6"/>
        <v>14056999.932264464</v>
      </c>
      <c r="F25" s="117">
        <v>13549931</v>
      </c>
      <c r="G25" s="117">
        <v>12544217</v>
      </c>
      <c r="H25" s="117">
        <v>13793487</v>
      </c>
      <c r="I25" s="117">
        <v>17741437</v>
      </c>
      <c r="J25" s="117"/>
      <c r="K25" s="117"/>
      <c r="L25" s="117"/>
      <c r="M25" s="117"/>
      <c r="N25" s="148"/>
      <c r="Q25" s="3"/>
      <c r="R25" s="3"/>
      <c r="S25" s="3"/>
      <c r="T25" s="3"/>
      <c r="U25" s="3"/>
    </row>
    <row r="26" spans="2:38" x14ac:dyDescent="0.25">
      <c r="B26" s="26" t="s">
        <v>4</v>
      </c>
      <c r="C26" s="216"/>
      <c r="D26" s="155">
        <f t="shared" si="6"/>
        <v>13866661.443944868</v>
      </c>
      <c r="E26" s="155">
        <f t="shared" si="6"/>
        <v>13768712.499765895</v>
      </c>
      <c r="F26" s="117">
        <v>12987690</v>
      </c>
      <c r="G26" s="117">
        <v>12933951</v>
      </c>
      <c r="H26" s="117">
        <v>13147960</v>
      </c>
      <c r="I26" s="117">
        <v>12987938</v>
      </c>
      <c r="J26" s="117"/>
      <c r="K26" s="117"/>
      <c r="L26" s="117"/>
      <c r="M26" s="117"/>
      <c r="N26" s="148"/>
      <c r="Q26" s="3"/>
      <c r="R26" s="3"/>
      <c r="S26" s="3"/>
      <c r="T26" s="3"/>
      <c r="U26" s="3"/>
    </row>
    <row r="27" spans="2:38" x14ac:dyDescent="0.25">
      <c r="B27" s="26" t="s">
        <v>5</v>
      </c>
      <c r="C27" s="216"/>
      <c r="D27" s="155">
        <f t="shared" si="6"/>
        <v>14675608.569603387</v>
      </c>
      <c r="E27" s="155">
        <f t="shared" si="6"/>
        <v>14571945.523499075</v>
      </c>
      <c r="F27" s="117">
        <v>13685385</v>
      </c>
      <c r="G27" s="117">
        <v>14249094</v>
      </c>
      <c r="H27" s="117">
        <v>13414347</v>
      </c>
      <c r="I27" s="117">
        <v>13988580</v>
      </c>
      <c r="J27" s="117"/>
      <c r="K27" s="117"/>
      <c r="L27" s="117"/>
      <c r="M27" s="117"/>
      <c r="N27" s="148"/>
      <c r="Q27" s="3"/>
      <c r="R27" s="3"/>
      <c r="S27" s="3"/>
      <c r="T27" s="3"/>
      <c r="U27" s="3"/>
    </row>
    <row r="28" spans="2:38" x14ac:dyDescent="0.25">
      <c r="B28" s="26" t="s">
        <v>6</v>
      </c>
      <c r="C28" s="216"/>
      <c r="D28" s="155">
        <f t="shared" si="6"/>
        <v>16602485.50338877</v>
      </c>
      <c r="E28" s="155">
        <f t="shared" si="6"/>
        <v>16485211.714569636</v>
      </c>
      <c r="F28" s="117">
        <v>16924263</v>
      </c>
      <c r="G28" s="117">
        <v>14611670</v>
      </c>
      <c r="H28" s="117">
        <v>15241908</v>
      </c>
      <c r="I28" s="117">
        <v>16188568</v>
      </c>
      <c r="J28" s="117"/>
      <c r="K28" s="117"/>
      <c r="L28" s="117"/>
      <c r="M28" s="117"/>
      <c r="N28" s="148"/>
      <c r="Q28" s="3"/>
      <c r="R28" s="3"/>
      <c r="S28" s="3"/>
      <c r="T28" s="3"/>
      <c r="U28" s="3"/>
    </row>
    <row r="29" spans="2:38" x14ac:dyDescent="0.25">
      <c r="B29" s="26" t="s">
        <v>7</v>
      </c>
      <c r="C29" s="216"/>
      <c r="D29" s="155">
        <f t="shared" si="6"/>
        <v>17004847.457700178</v>
      </c>
      <c r="E29" s="155">
        <f t="shared" si="6"/>
        <v>16884731.53353636</v>
      </c>
      <c r="F29" s="117">
        <v>14515459</v>
      </c>
      <c r="G29" s="117">
        <v>18132186</v>
      </c>
      <c r="H29" s="117">
        <v>15263859</v>
      </c>
      <c r="I29" s="117">
        <v>14036049</v>
      </c>
      <c r="J29" s="117"/>
      <c r="K29" s="117"/>
      <c r="L29" s="117"/>
      <c r="M29" s="117"/>
      <c r="N29" s="148"/>
      <c r="Q29" s="3"/>
      <c r="R29" s="3"/>
      <c r="S29" s="3"/>
      <c r="T29" s="3"/>
      <c r="U29" s="3"/>
    </row>
    <row r="30" spans="2:38" x14ac:dyDescent="0.25">
      <c r="B30" s="26" t="s">
        <v>8</v>
      </c>
      <c r="C30" s="216"/>
      <c r="D30" s="155">
        <f t="shared" si="6"/>
        <v>13964958.515203577</v>
      </c>
      <c r="E30" s="155">
        <f t="shared" si="6"/>
        <v>13866315.237036239</v>
      </c>
      <c r="F30" s="117">
        <v>12079537</v>
      </c>
      <c r="G30" s="117">
        <v>14526431</v>
      </c>
      <c r="H30" s="117">
        <v>12740587</v>
      </c>
      <c r="I30" s="117">
        <v>13340574</v>
      </c>
      <c r="J30" s="117"/>
      <c r="K30" s="117"/>
      <c r="L30" s="117"/>
      <c r="M30" s="117"/>
      <c r="N30" s="148"/>
      <c r="Q30" s="3"/>
      <c r="R30" s="3"/>
      <c r="S30" s="3"/>
      <c r="T30" s="3"/>
      <c r="U30" s="3"/>
    </row>
    <row r="31" spans="2:38" x14ac:dyDescent="0.25">
      <c r="B31" s="26" t="s">
        <v>9</v>
      </c>
      <c r="C31" s="216"/>
      <c r="D31" s="155">
        <f t="shared" si="6"/>
        <v>14178190.691858307</v>
      </c>
      <c r="E31" s="155">
        <f t="shared" si="6"/>
        <v>14078041.220823079</v>
      </c>
      <c r="F31" s="117">
        <v>13218353</v>
      </c>
      <c r="G31" s="117">
        <v>13355368</v>
      </c>
      <c r="H31" s="117">
        <v>13373620</v>
      </c>
      <c r="I31" s="117">
        <v>13558247</v>
      </c>
      <c r="J31" s="117"/>
      <c r="K31" s="117"/>
      <c r="L31" s="117"/>
      <c r="M31" s="117"/>
      <c r="N31" s="148"/>
    </row>
    <row r="32" spans="2:38" x14ac:dyDescent="0.25">
      <c r="B32" s="26" t="s">
        <v>10</v>
      </c>
      <c r="C32" s="216"/>
      <c r="D32" s="155">
        <f>AVERAGE($F32:$H32)/AVERAGE($F$34:$H$34)*D$34</f>
        <v>15743078.760183936</v>
      </c>
      <c r="E32" s="155">
        <f t="shared" si="6"/>
        <v>15631875.50127984</v>
      </c>
      <c r="F32" s="117">
        <v>14152632</v>
      </c>
      <c r="G32" s="117">
        <v>14769348</v>
      </c>
      <c r="H32" s="117">
        <v>15434465</v>
      </c>
      <c r="I32" s="117">
        <v>15326571</v>
      </c>
      <c r="J32" s="117"/>
      <c r="K32" s="117"/>
      <c r="L32" s="117"/>
      <c r="M32" s="117"/>
      <c r="N32" s="148"/>
      <c r="Q32" s="3"/>
      <c r="R32" s="3"/>
      <c r="S32" s="3"/>
      <c r="T32" s="3"/>
      <c r="U32" s="3"/>
    </row>
    <row r="33" spans="2:26" x14ac:dyDescent="0.25">
      <c r="B33" s="26" t="s">
        <v>11</v>
      </c>
      <c r="C33" s="216"/>
      <c r="D33" s="155">
        <f t="shared" si="6"/>
        <v>18530994.368591096</v>
      </c>
      <c r="E33" s="155">
        <f t="shared" si="6"/>
        <v>18400098.309699964</v>
      </c>
      <c r="F33" s="117">
        <v>17596367</v>
      </c>
      <c r="G33" s="117">
        <v>17311632</v>
      </c>
      <c r="H33" s="117">
        <v>17303455</v>
      </c>
      <c r="I33" s="117"/>
      <c r="J33" s="117"/>
      <c r="K33" s="117"/>
      <c r="L33" s="117"/>
      <c r="M33" s="117"/>
      <c r="N33" s="148"/>
      <c r="Q33" s="3"/>
      <c r="R33" s="3"/>
      <c r="S33" s="3"/>
      <c r="T33" s="3"/>
      <c r="U33" s="3"/>
    </row>
    <row r="34" spans="2:26" x14ac:dyDescent="0.25">
      <c r="B34" s="27" t="s">
        <v>14</v>
      </c>
      <c r="C34" s="151">
        <v>185695254.03</v>
      </c>
      <c r="D34" s="151">
        <v>193629869</v>
      </c>
      <c r="E34" s="151">
        <v>192262139.55000001</v>
      </c>
      <c r="F34" s="28">
        <f>SUM(F22:F33)</f>
        <v>178353238</v>
      </c>
      <c r="G34" s="28">
        <f>SUM(G22:G33)</f>
        <v>182112494</v>
      </c>
      <c r="H34" s="28">
        <f>SUM(H22:H33)</f>
        <v>185090367</v>
      </c>
      <c r="I34" s="28">
        <f>SUM(I22:I33)</f>
        <v>163380662</v>
      </c>
      <c r="J34" s="28">
        <f t="shared" ref="J34:N34" si="7">SUM(J22:J33)</f>
        <v>0</v>
      </c>
      <c r="K34" s="28">
        <f t="shared" si="7"/>
        <v>0</v>
      </c>
      <c r="L34" s="28">
        <f t="shared" si="7"/>
        <v>0</v>
      </c>
      <c r="M34" s="28">
        <f t="shared" si="7"/>
        <v>0</v>
      </c>
      <c r="N34" s="29">
        <f t="shared" si="7"/>
        <v>0</v>
      </c>
      <c r="Q34" s="3"/>
      <c r="R34" s="3"/>
      <c r="S34" s="3"/>
      <c r="T34" s="3"/>
      <c r="U34" s="3"/>
    </row>
    <row r="35" spans="2:26" x14ac:dyDescent="0.25">
      <c r="B35" s="2"/>
      <c r="Q35" s="3"/>
      <c r="R35" s="3"/>
      <c r="S35" s="3"/>
      <c r="T35" s="3"/>
      <c r="U35" s="3"/>
    </row>
    <row r="36" spans="2:26" x14ac:dyDescent="0.25">
      <c r="B36" s="187" t="s">
        <v>159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9"/>
      <c r="Q36" s="3"/>
      <c r="R36" s="3"/>
      <c r="S36" s="3"/>
      <c r="T36" s="3"/>
      <c r="U36" s="3"/>
    </row>
    <row r="37" spans="2:26" x14ac:dyDescent="0.25">
      <c r="B37" s="18"/>
      <c r="C37" s="215">
        <v>2017</v>
      </c>
      <c r="D37" s="215">
        <v>2018</v>
      </c>
      <c r="E37" s="215">
        <v>2019</v>
      </c>
      <c r="F37" s="215">
        <v>2020</v>
      </c>
      <c r="G37" s="215">
        <v>2021</v>
      </c>
      <c r="H37" s="215">
        <v>2022</v>
      </c>
      <c r="I37" s="215">
        <v>2023</v>
      </c>
      <c r="J37" s="215">
        <v>2024</v>
      </c>
      <c r="K37" s="215">
        <v>2025</v>
      </c>
      <c r="L37" s="215">
        <v>2026</v>
      </c>
      <c r="M37" s="215">
        <v>2027</v>
      </c>
      <c r="N37" s="127">
        <v>2028</v>
      </c>
      <c r="Q37" s="3"/>
      <c r="R37" s="3"/>
      <c r="S37" s="3"/>
      <c r="T37" s="3"/>
      <c r="U37" s="3"/>
    </row>
    <row r="38" spans="2:26" x14ac:dyDescent="0.25">
      <c r="B38" s="27" t="s">
        <v>14</v>
      </c>
      <c r="C38" s="171">
        <v>177934181</v>
      </c>
      <c r="D38" s="171">
        <v>185198705</v>
      </c>
      <c r="E38" s="171">
        <v>183512928</v>
      </c>
      <c r="F38" s="171">
        <v>178353238</v>
      </c>
      <c r="G38" s="171">
        <v>182112496</v>
      </c>
      <c r="H38" s="172">
        <v>185090366</v>
      </c>
      <c r="I38" s="171"/>
      <c r="J38" s="171"/>
      <c r="K38" s="171"/>
      <c r="L38" s="171"/>
      <c r="M38" s="171"/>
      <c r="N38" s="217"/>
      <c r="Q38" s="3"/>
      <c r="R38" s="3"/>
      <c r="S38" s="3"/>
      <c r="T38" s="3"/>
      <c r="U38" s="3"/>
    </row>
    <row r="39" spans="2:26" x14ac:dyDescent="0.25">
      <c r="B39" s="2"/>
      <c r="I39" s="14"/>
      <c r="J39" s="14"/>
      <c r="M39" s="3"/>
      <c r="Q39" s="3"/>
      <c r="R39" s="3"/>
      <c r="S39" s="3"/>
      <c r="T39" s="3"/>
      <c r="U39" s="3"/>
    </row>
    <row r="40" spans="2:26" ht="15" customHeight="1" x14ac:dyDescent="0.25">
      <c r="B40" s="190" t="s">
        <v>53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2"/>
    </row>
    <row r="41" spans="2:26" ht="15" customHeight="1" x14ac:dyDescent="0.25">
      <c r="B41" s="152" t="s">
        <v>128</v>
      </c>
      <c r="C41" s="187" t="s">
        <v>80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9"/>
      <c r="O41" s="187" t="s">
        <v>158</v>
      </c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9"/>
    </row>
    <row r="42" spans="2:26" s="13" customFormat="1" ht="31.5" customHeight="1" x14ac:dyDescent="0.25">
      <c r="B42" s="173"/>
      <c r="C42" s="176">
        <v>2017</v>
      </c>
      <c r="D42" s="176">
        <v>2018</v>
      </c>
      <c r="E42" s="176">
        <v>2019</v>
      </c>
      <c r="F42" s="176">
        <v>2020</v>
      </c>
      <c r="G42" s="176">
        <v>2021</v>
      </c>
      <c r="H42" s="176">
        <v>2022</v>
      </c>
      <c r="I42" s="176">
        <v>2023</v>
      </c>
      <c r="J42" s="176">
        <v>2024</v>
      </c>
      <c r="K42" s="176">
        <v>2025</v>
      </c>
      <c r="L42" s="176">
        <v>2026</v>
      </c>
      <c r="M42" s="176">
        <v>2027</v>
      </c>
      <c r="N42" s="176">
        <v>2028</v>
      </c>
      <c r="O42" s="58" t="str">
        <f>"Average "&amp;$C$42&amp;" to "&amp;C42</f>
        <v>Average 2017 to 2017</v>
      </c>
      <c r="P42" s="149" t="str">
        <f>"Average "&amp;$C$42&amp;" to "&amp;D42</f>
        <v>Average 2017 to 2018</v>
      </c>
      <c r="Q42" s="149" t="str">
        <f>"Average "&amp;$C$42&amp;" to "&amp;E42</f>
        <v>Average 2017 to 2019</v>
      </c>
      <c r="R42" s="149" t="str">
        <f>"Average "&amp;C42&amp;" to "&amp;F42</f>
        <v>Average 2017 to 2020</v>
      </c>
      <c r="S42" s="149" t="str">
        <f>"Average "&amp;D42&amp;" to "&amp;G42</f>
        <v>Average 2018 to 2021</v>
      </c>
      <c r="T42" s="149" t="str">
        <f>"Average "&amp;E42&amp;" to "&amp;H42</f>
        <v>Average 2019 to 2022</v>
      </c>
      <c r="U42" s="149" t="str">
        <f t="shared" ref="U42:W42" si="8">"Average "&amp;F42&amp;" to "&amp;I42</f>
        <v>Average 2020 to 2023</v>
      </c>
      <c r="V42" s="174" t="str">
        <f t="shared" si="8"/>
        <v>Average 2021 to 2024</v>
      </c>
      <c r="W42" s="174" t="str">
        <f t="shared" si="8"/>
        <v>Average 2022 to 2025</v>
      </c>
      <c r="X42" s="174" t="str">
        <f>"Average "&amp;I42&amp;" to "&amp;L42</f>
        <v>Average 2023 to 2026</v>
      </c>
      <c r="Y42" s="174" t="str">
        <f>"Average "&amp;J42&amp;" to "&amp;M42</f>
        <v>Average 2024 to 2027</v>
      </c>
      <c r="Z42" s="175" t="str">
        <f>"Average "&amp;K42&amp;" to "&amp;N42</f>
        <v>Average 2025 to 2028</v>
      </c>
    </row>
    <row r="43" spans="2:26" x14ac:dyDescent="0.25">
      <c r="B43" s="46" t="s">
        <v>0</v>
      </c>
      <c r="C43" s="150">
        <f>IF(C5=0,"",C5)</f>
        <v>2134510</v>
      </c>
      <c r="D43" s="150">
        <f>IF(F5=0,"",F5)</f>
        <v>2813138</v>
      </c>
      <c r="E43" s="150">
        <f>IF(I5=0,"",I5)</f>
        <v>2196000</v>
      </c>
      <c r="F43" s="150">
        <f>IF(L5=0,"",L5)</f>
        <v>2089120</v>
      </c>
      <c r="G43" s="150">
        <f>IF(O5=0,"",O5)</f>
        <v>1805830</v>
      </c>
      <c r="H43" s="150">
        <f>IF(R5=0,"",R5)</f>
        <v>857320</v>
      </c>
      <c r="I43" s="150">
        <f>IF(U5=0,"",U5)</f>
        <v>2581360</v>
      </c>
      <c r="J43" s="150"/>
      <c r="K43" s="150"/>
      <c r="L43" s="150"/>
      <c r="M43" s="150"/>
      <c r="N43" s="150"/>
      <c r="O43" s="153">
        <f>AVERAGE($C43:C43)</f>
        <v>2134510</v>
      </c>
      <c r="P43" s="150">
        <f>AVERAGE($C43:D43)</f>
        <v>2473824</v>
      </c>
      <c r="Q43" s="150">
        <f>AVERAGE($C43:E43)</f>
        <v>2381216</v>
      </c>
      <c r="R43" s="150">
        <f t="shared" ref="R43:Z54" si="9">IFERROR(AVERAGE(C43:F43),"")</f>
        <v>2308192</v>
      </c>
      <c r="S43" s="150">
        <f t="shared" si="9"/>
        <v>2226022</v>
      </c>
      <c r="T43" s="150">
        <f t="shared" si="9"/>
        <v>1737067.5</v>
      </c>
      <c r="U43" s="150">
        <f t="shared" si="9"/>
        <v>1833407.5</v>
      </c>
      <c r="V43" s="150">
        <f t="shared" si="9"/>
        <v>1748170</v>
      </c>
      <c r="W43" s="150">
        <f t="shared" si="9"/>
        <v>1719340</v>
      </c>
      <c r="X43" s="150">
        <f t="shared" si="9"/>
        <v>2581360</v>
      </c>
      <c r="Y43" s="150" t="str">
        <f>IFERROR(AVERAGE(J43:M43),"")</f>
        <v/>
      </c>
      <c r="Z43" s="30" t="str">
        <f>IFERROR(AVERAGE(K43:N43),"")</f>
        <v/>
      </c>
    </row>
    <row r="44" spans="2:26" x14ac:dyDescent="0.25">
      <c r="B44" s="46" t="s">
        <v>1</v>
      </c>
      <c r="C44" s="150">
        <f>IF(C6=0,"",C6)</f>
        <v>2975320</v>
      </c>
      <c r="D44" s="150">
        <f>IF(F6=0,"",F6)</f>
        <v>3302320</v>
      </c>
      <c r="E44" s="150">
        <f>IF(I6=0,"",I6)</f>
        <v>2533990</v>
      </c>
      <c r="F44" s="150">
        <f>IF(L6=0,"",L6)</f>
        <v>1688900</v>
      </c>
      <c r="G44" s="150">
        <f>IF(O6=0,"",O6)</f>
        <v>1373740</v>
      </c>
      <c r="H44" s="150">
        <f>IF(R6=0,"",R6)</f>
        <v>640680</v>
      </c>
      <c r="I44" s="150">
        <f>IF(U6=0,"",U6)</f>
        <v>2016690</v>
      </c>
      <c r="J44" s="150"/>
      <c r="K44" s="150"/>
      <c r="L44" s="150"/>
      <c r="M44" s="150"/>
      <c r="N44" s="150"/>
      <c r="O44" s="153">
        <f>AVERAGE($C44:C44)</f>
        <v>2975320</v>
      </c>
      <c r="P44" s="150">
        <f>AVERAGE($C44:D44)</f>
        <v>3138820</v>
      </c>
      <c r="Q44" s="150">
        <f>AVERAGE($C44:E44)</f>
        <v>2937210</v>
      </c>
      <c r="R44" s="150">
        <f t="shared" si="9"/>
        <v>2625132.5</v>
      </c>
      <c r="S44" s="150">
        <f t="shared" si="9"/>
        <v>2224737.5</v>
      </c>
      <c r="T44" s="150">
        <f t="shared" si="9"/>
        <v>1559327.5</v>
      </c>
      <c r="U44" s="150">
        <f t="shared" si="9"/>
        <v>1430002.5</v>
      </c>
      <c r="V44" s="150">
        <f t="shared" si="9"/>
        <v>1343703.3333333333</v>
      </c>
      <c r="W44" s="150">
        <f t="shared" si="9"/>
        <v>1328685</v>
      </c>
      <c r="X44" s="150">
        <f t="shared" si="9"/>
        <v>2016690</v>
      </c>
      <c r="Y44" s="150" t="str">
        <f t="shared" si="9"/>
        <v/>
      </c>
      <c r="Z44" s="30" t="str">
        <f t="shared" si="9"/>
        <v/>
      </c>
    </row>
    <row r="45" spans="2:26" x14ac:dyDescent="0.25">
      <c r="B45" s="46" t="s">
        <v>2</v>
      </c>
      <c r="C45" s="150">
        <f>IF(C7=0,"",C7)</f>
        <v>3883530</v>
      </c>
      <c r="D45" s="150">
        <f>IF(F7=0,"",F7)</f>
        <v>4336290</v>
      </c>
      <c r="E45" s="150">
        <f>IF(I7=0,"",I7)</f>
        <v>4480180</v>
      </c>
      <c r="F45" s="150">
        <f>IF(L7=0,"",L7)</f>
        <v>3223950</v>
      </c>
      <c r="G45" s="150">
        <f>IF(O7=0,"",O7)</f>
        <v>2724430</v>
      </c>
      <c r="H45" s="150">
        <f>IF(R7=0,"",R7)</f>
        <v>2937880</v>
      </c>
      <c r="I45" s="150">
        <f>IF(U7=0,"",U7)</f>
        <v>2816580</v>
      </c>
      <c r="J45" s="150"/>
      <c r="K45" s="150"/>
      <c r="L45" s="150"/>
      <c r="M45" s="150"/>
      <c r="N45" s="150"/>
      <c r="O45" s="153">
        <f>AVERAGE($C45:C45)</f>
        <v>3883530</v>
      </c>
      <c r="P45" s="150">
        <f>AVERAGE($C45:D45)</f>
        <v>4109910</v>
      </c>
      <c r="Q45" s="150">
        <f>AVERAGE($C45:E45)</f>
        <v>4233333.333333333</v>
      </c>
      <c r="R45" s="150">
        <f>IFERROR(AVERAGE(C45:F45),"")</f>
        <v>3980987.5</v>
      </c>
      <c r="S45" s="150">
        <f t="shared" si="9"/>
        <v>3691212.5</v>
      </c>
      <c r="T45" s="150">
        <f t="shared" si="9"/>
        <v>3341610</v>
      </c>
      <c r="U45" s="150">
        <f t="shared" si="9"/>
        <v>2925710</v>
      </c>
      <c r="V45" s="150">
        <f t="shared" si="9"/>
        <v>2826296.6666666665</v>
      </c>
      <c r="W45" s="150">
        <f t="shared" si="9"/>
        <v>2877230</v>
      </c>
      <c r="X45" s="150">
        <f t="shared" si="9"/>
        <v>2816580</v>
      </c>
      <c r="Y45" s="150" t="str">
        <f t="shared" si="9"/>
        <v/>
      </c>
      <c r="Z45" s="30" t="str">
        <f t="shared" si="9"/>
        <v/>
      </c>
    </row>
    <row r="46" spans="2:26" x14ac:dyDescent="0.25">
      <c r="B46" s="46" t="s">
        <v>3</v>
      </c>
      <c r="C46" s="150">
        <f>IF(C8=0,"",C8)</f>
        <v>4799720</v>
      </c>
      <c r="D46" s="150">
        <f>IF(F8=0,"",F8)</f>
        <v>4359310</v>
      </c>
      <c r="E46" s="150">
        <f>IF(I8=0,"",I8)</f>
        <v>2161930</v>
      </c>
      <c r="F46" s="150">
        <f>IF(L8=0,"",L8)</f>
        <v>3323490</v>
      </c>
      <c r="G46" s="150">
        <f>IF(O8=0,"",O8)</f>
        <v>4398280</v>
      </c>
      <c r="H46" s="150">
        <f>IF(R8=0,"",R8)</f>
        <v>4152090</v>
      </c>
      <c r="I46" s="150">
        <f>IF(U8=0,"",U8)</f>
        <v>4255470</v>
      </c>
      <c r="J46" s="150"/>
      <c r="K46" s="150"/>
      <c r="L46" s="150"/>
      <c r="M46" s="150"/>
      <c r="N46" s="150"/>
      <c r="O46" s="153">
        <f>AVERAGE($C46:C46)</f>
        <v>4799720</v>
      </c>
      <c r="P46" s="150">
        <f>AVERAGE($C46:D46)</f>
        <v>4579515</v>
      </c>
      <c r="Q46" s="150">
        <f>AVERAGE($C46:E46)</f>
        <v>3773653.3333333335</v>
      </c>
      <c r="R46" s="150">
        <f t="shared" si="9"/>
        <v>3661112.5</v>
      </c>
      <c r="S46" s="150">
        <f t="shared" si="9"/>
        <v>3560752.5</v>
      </c>
      <c r="T46" s="150">
        <f t="shared" si="9"/>
        <v>3508947.5</v>
      </c>
      <c r="U46" s="150">
        <f t="shared" si="9"/>
        <v>4032332.5</v>
      </c>
      <c r="V46" s="150">
        <f t="shared" si="9"/>
        <v>4268613.333333333</v>
      </c>
      <c r="W46" s="150">
        <f t="shared" si="9"/>
        <v>4203780</v>
      </c>
      <c r="X46" s="150">
        <f t="shared" si="9"/>
        <v>4255470</v>
      </c>
      <c r="Y46" s="150" t="str">
        <f t="shared" si="9"/>
        <v/>
      </c>
      <c r="Z46" s="30" t="str">
        <f t="shared" si="9"/>
        <v/>
      </c>
    </row>
    <row r="47" spans="2:26" x14ac:dyDescent="0.25">
      <c r="B47" s="46" t="s">
        <v>4</v>
      </c>
      <c r="C47" s="150">
        <f>IF(C9=0,"",C9)</f>
        <v>5096570</v>
      </c>
      <c r="D47" s="150">
        <f>IF(F9=0,"",F9)</f>
        <v>5824650</v>
      </c>
      <c r="E47" s="150">
        <f>IF(I9=0,"",I9)</f>
        <v>573300</v>
      </c>
      <c r="F47" s="150">
        <f>IF(L9=0,"",L9)</f>
        <v>4369220</v>
      </c>
      <c r="G47" s="150">
        <f>IF(O9=0,"",O9)</f>
        <v>3333080</v>
      </c>
      <c r="H47" s="150">
        <f>IF(R9=0,"",R9)</f>
        <v>5665250</v>
      </c>
      <c r="I47" s="150">
        <f>IF(U9=0,"",U9)</f>
        <v>5063950</v>
      </c>
      <c r="J47" s="150"/>
      <c r="K47" s="150"/>
      <c r="L47" s="150"/>
      <c r="M47" s="150"/>
      <c r="N47" s="150"/>
      <c r="O47" s="153">
        <f>AVERAGE($C47:C47)</f>
        <v>5096570</v>
      </c>
      <c r="P47" s="150">
        <f>AVERAGE($C47:D47)</f>
        <v>5460610</v>
      </c>
      <c r="Q47" s="150">
        <f>AVERAGE($C47:E47)</f>
        <v>3831506.6666666665</v>
      </c>
      <c r="R47" s="150">
        <f t="shared" si="9"/>
        <v>3965935</v>
      </c>
      <c r="S47" s="150">
        <f t="shared" si="9"/>
        <v>3525062.5</v>
      </c>
      <c r="T47" s="150">
        <f t="shared" si="9"/>
        <v>3485212.5</v>
      </c>
      <c r="U47" s="150">
        <f t="shared" si="9"/>
        <v>4607875</v>
      </c>
      <c r="V47" s="150">
        <f t="shared" si="9"/>
        <v>4687426.666666667</v>
      </c>
      <c r="W47" s="150">
        <f t="shared" si="9"/>
        <v>5364600</v>
      </c>
      <c r="X47" s="150">
        <f t="shared" si="9"/>
        <v>5063950</v>
      </c>
      <c r="Y47" s="150" t="str">
        <f t="shared" si="9"/>
        <v/>
      </c>
      <c r="Z47" s="30" t="str">
        <f t="shared" si="9"/>
        <v/>
      </c>
    </row>
    <row r="48" spans="2:26" x14ac:dyDescent="0.25">
      <c r="B48" s="46" t="s">
        <v>5</v>
      </c>
      <c r="C48" s="150">
        <f>IF(C10=0,"",C10)</f>
        <v>5673460</v>
      </c>
      <c r="D48" s="150">
        <f>IF(F10=0,"",F10)</f>
        <v>5836836</v>
      </c>
      <c r="E48" s="150">
        <f>IF(I10=0,"",I10)</f>
        <v>2446170</v>
      </c>
      <c r="F48" s="150">
        <f>IF(L10=0,"",L10)</f>
        <v>4206240</v>
      </c>
      <c r="G48" s="150">
        <f>IF(O10=0,"",O10)</f>
        <v>1333260</v>
      </c>
      <c r="H48" s="150">
        <f>IF(R10=0,"",R10)</f>
        <v>5632520</v>
      </c>
      <c r="I48" s="150">
        <f>IF(U10=0,"",U10)</f>
        <v>2509010</v>
      </c>
      <c r="J48" s="150"/>
      <c r="K48" s="150"/>
      <c r="L48" s="150"/>
      <c r="M48" s="150"/>
      <c r="N48" s="150"/>
      <c r="O48" s="153">
        <f>AVERAGE($C48:C48)</f>
        <v>5673460</v>
      </c>
      <c r="P48" s="150">
        <f>AVERAGE($C48:D48)</f>
        <v>5755148</v>
      </c>
      <c r="Q48" s="150">
        <f>AVERAGE($C48:E48)</f>
        <v>4652155.333333333</v>
      </c>
      <c r="R48" s="150">
        <f t="shared" si="9"/>
        <v>4540676.5</v>
      </c>
      <c r="S48" s="150">
        <f t="shared" si="9"/>
        <v>3455626.5</v>
      </c>
      <c r="T48" s="150">
        <f t="shared" si="9"/>
        <v>3404547.5</v>
      </c>
      <c r="U48" s="150">
        <f t="shared" si="9"/>
        <v>3420257.5</v>
      </c>
      <c r="V48" s="150">
        <f t="shared" si="9"/>
        <v>3158263.3333333335</v>
      </c>
      <c r="W48" s="150">
        <f t="shared" si="9"/>
        <v>4070765</v>
      </c>
      <c r="X48" s="150">
        <f t="shared" si="9"/>
        <v>2509010</v>
      </c>
      <c r="Y48" s="150" t="str">
        <f t="shared" si="9"/>
        <v/>
      </c>
      <c r="Z48" s="30" t="str">
        <f t="shared" si="9"/>
        <v/>
      </c>
    </row>
    <row r="49" spans="2:26" x14ac:dyDescent="0.25">
      <c r="B49" s="46" t="s">
        <v>6</v>
      </c>
      <c r="C49" s="150">
        <f>IF(C11=0,"",C11)</f>
        <v>5380900</v>
      </c>
      <c r="D49" s="150">
        <f>IF(F11=0,"",F11)</f>
        <v>2286590</v>
      </c>
      <c r="E49" s="150">
        <f>IF(I11=0,"",I11)</f>
        <v>3676680</v>
      </c>
      <c r="F49" s="150">
        <f>IF(L11=0,"",L11)</f>
        <v>3494520</v>
      </c>
      <c r="G49" s="150">
        <f>IF(O11=0,"",O11)</f>
        <v>3685060</v>
      </c>
      <c r="H49" s="150">
        <f>IF(R11=0,"",R11)</f>
        <v>4101700</v>
      </c>
      <c r="I49" s="150">
        <f>IF(U11=0,"",U11)</f>
        <v>5180845.5999999996</v>
      </c>
      <c r="J49" s="150"/>
      <c r="K49" s="150"/>
      <c r="L49" s="150"/>
      <c r="M49" s="150"/>
      <c r="N49" s="150"/>
      <c r="O49" s="153">
        <f>AVERAGE($C49:C49)</f>
        <v>5380900</v>
      </c>
      <c r="P49" s="150">
        <f>AVERAGE($C49:D49)</f>
        <v>3833745</v>
      </c>
      <c r="Q49" s="150">
        <f>AVERAGE($C49:E49)</f>
        <v>3781390</v>
      </c>
      <c r="R49" s="150">
        <f t="shared" si="9"/>
        <v>3709672.5</v>
      </c>
      <c r="S49" s="150">
        <f t="shared" si="9"/>
        <v>3285712.5</v>
      </c>
      <c r="T49" s="150">
        <f t="shared" si="9"/>
        <v>3739490</v>
      </c>
      <c r="U49" s="150">
        <f t="shared" si="9"/>
        <v>4115531.4</v>
      </c>
      <c r="V49" s="150">
        <f t="shared" si="9"/>
        <v>4322535.2</v>
      </c>
      <c r="W49" s="150">
        <f t="shared" si="9"/>
        <v>4641272.8</v>
      </c>
      <c r="X49" s="150">
        <f t="shared" si="9"/>
        <v>5180845.5999999996</v>
      </c>
      <c r="Y49" s="150" t="str">
        <f t="shared" si="9"/>
        <v/>
      </c>
      <c r="Z49" s="30" t="str">
        <f t="shared" si="9"/>
        <v/>
      </c>
    </row>
    <row r="50" spans="2:26" x14ac:dyDescent="0.25">
      <c r="B50" s="46" t="s">
        <v>7</v>
      </c>
      <c r="C50" s="150">
        <f>IF(C12=0,"",C12)</f>
        <v>2756940</v>
      </c>
      <c r="D50" s="150">
        <f>IF(F12=0,"",F12)</f>
        <v>2719400</v>
      </c>
      <c r="E50" s="150">
        <f>IF(I12=0,"",I12)</f>
        <v>3537380</v>
      </c>
      <c r="F50" s="150">
        <f>IF(L12=0,"",L12)</f>
        <v>4660990</v>
      </c>
      <c r="G50" s="150">
        <f>IF(O12=0,"",O12)</f>
        <v>4492060</v>
      </c>
      <c r="H50" s="150">
        <f>IF(R12=0,"",R12)</f>
        <v>2637510</v>
      </c>
      <c r="I50" s="150">
        <f>IF(U12=0,"",U12)</f>
        <v>5107690</v>
      </c>
      <c r="J50" s="150"/>
      <c r="K50" s="150"/>
      <c r="L50" s="150"/>
      <c r="M50" s="150"/>
      <c r="N50" s="150"/>
      <c r="O50" s="153">
        <f>AVERAGE($C50:C50)</f>
        <v>2756940</v>
      </c>
      <c r="P50" s="150">
        <f>AVERAGE($C50:D50)</f>
        <v>2738170</v>
      </c>
      <c r="Q50" s="150">
        <f>AVERAGE($C50:E50)</f>
        <v>3004573.3333333335</v>
      </c>
      <c r="R50" s="150">
        <f t="shared" si="9"/>
        <v>3418677.5</v>
      </c>
      <c r="S50" s="150">
        <f t="shared" si="9"/>
        <v>3852457.5</v>
      </c>
      <c r="T50" s="150">
        <f t="shared" si="9"/>
        <v>3831985</v>
      </c>
      <c r="U50" s="150">
        <f t="shared" si="9"/>
        <v>4224562.5</v>
      </c>
      <c r="V50" s="150">
        <f t="shared" si="9"/>
        <v>4079086.6666666665</v>
      </c>
      <c r="W50" s="150">
        <f t="shared" si="9"/>
        <v>3872600</v>
      </c>
      <c r="X50" s="150">
        <f t="shared" si="9"/>
        <v>5107690</v>
      </c>
      <c r="Y50" s="150" t="str">
        <f t="shared" si="9"/>
        <v/>
      </c>
      <c r="Z50" s="30" t="str">
        <f t="shared" si="9"/>
        <v/>
      </c>
    </row>
    <row r="51" spans="2:26" x14ac:dyDescent="0.25">
      <c r="B51" s="46" t="s">
        <v>8</v>
      </c>
      <c r="C51" s="150">
        <f>IF(C13=0,"",C13)</f>
        <v>3210200</v>
      </c>
      <c r="D51" s="150">
        <f>IF(F13=0,"",F13)</f>
        <v>3075670</v>
      </c>
      <c r="E51" s="150">
        <f>IF(I13=0,"",I13)</f>
        <v>2684440</v>
      </c>
      <c r="F51" s="150">
        <f>IF(L13=0,"",L13)</f>
        <v>4094420</v>
      </c>
      <c r="G51" s="150">
        <f>IF(O13=0,"",O13)</f>
        <v>2697760</v>
      </c>
      <c r="H51" s="150">
        <f>IF(R13=0,"",R13)</f>
        <v>4344770</v>
      </c>
      <c r="I51" s="150">
        <f>IF(U13=0,"",U13)</f>
        <v>3976555.51</v>
      </c>
      <c r="J51" s="150"/>
      <c r="K51" s="150"/>
      <c r="L51" s="150"/>
      <c r="M51" s="150"/>
      <c r="N51" s="150"/>
      <c r="O51" s="153">
        <f>AVERAGE($C51:C51)</f>
        <v>3210200</v>
      </c>
      <c r="P51" s="150">
        <f>AVERAGE($C51:D51)</f>
        <v>3142935</v>
      </c>
      <c r="Q51" s="150">
        <f>AVERAGE($C51:E51)</f>
        <v>2990103.3333333335</v>
      </c>
      <c r="R51" s="150">
        <f t="shared" si="9"/>
        <v>3266182.5</v>
      </c>
      <c r="S51" s="150">
        <f t="shared" si="9"/>
        <v>3138072.5</v>
      </c>
      <c r="T51" s="150">
        <f t="shared" si="9"/>
        <v>3455347.5</v>
      </c>
      <c r="U51" s="150">
        <f t="shared" si="9"/>
        <v>3778376.3774999999</v>
      </c>
      <c r="V51" s="150">
        <f t="shared" si="9"/>
        <v>3673028.5033333334</v>
      </c>
      <c r="W51" s="150">
        <f t="shared" si="9"/>
        <v>4160662.7549999999</v>
      </c>
      <c r="X51" s="150">
        <f t="shared" si="9"/>
        <v>3976555.51</v>
      </c>
      <c r="Y51" s="150" t="str">
        <f t="shared" si="9"/>
        <v/>
      </c>
      <c r="Z51" s="30" t="str">
        <f t="shared" si="9"/>
        <v/>
      </c>
    </row>
    <row r="52" spans="2:26" x14ac:dyDescent="0.25">
      <c r="B52" s="46" t="s">
        <v>9</v>
      </c>
      <c r="C52" s="150">
        <f>IF(C14=0,"",C14)</f>
        <v>2748080</v>
      </c>
      <c r="D52" s="150">
        <f>IF(F14=0,"",F14)</f>
        <v>1716320</v>
      </c>
      <c r="E52" s="150">
        <f>IF(I14=0,"",I14)</f>
        <v>2841830</v>
      </c>
      <c r="F52" s="150">
        <f>IF(L14=0,"",L14)</f>
        <v>3886120</v>
      </c>
      <c r="G52" s="150">
        <f>IF(O14=0,"",O14)</f>
        <v>5203800</v>
      </c>
      <c r="H52" s="150">
        <f>IF(R14=0,"",R14)</f>
        <v>2424300</v>
      </c>
      <c r="I52" s="150"/>
      <c r="J52" s="150"/>
      <c r="K52" s="150"/>
      <c r="L52" s="150"/>
      <c r="M52" s="150"/>
      <c r="N52" s="150"/>
      <c r="O52" s="153">
        <f>AVERAGE($C52:C52)</f>
        <v>2748080</v>
      </c>
      <c r="P52" s="150">
        <f>AVERAGE($C52:D52)</f>
        <v>2232200</v>
      </c>
      <c r="Q52" s="150">
        <f>AVERAGE($C52:E52)</f>
        <v>2435410</v>
      </c>
      <c r="R52" s="150">
        <f t="shared" si="9"/>
        <v>2798087.5</v>
      </c>
      <c r="S52" s="150">
        <f t="shared" si="9"/>
        <v>3412017.5</v>
      </c>
      <c r="T52" s="150">
        <f t="shared" si="9"/>
        <v>3589012.5</v>
      </c>
      <c r="U52" s="150">
        <f t="shared" si="9"/>
        <v>3838073.3333333335</v>
      </c>
      <c r="V52" s="150">
        <f t="shared" si="9"/>
        <v>3814050</v>
      </c>
      <c r="W52" s="150">
        <f t="shared" si="9"/>
        <v>2424300</v>
      </c>
      <c r="X52" s="150" t="str">
        <f t="shared" si="9"/>
        <v/>
      </c>
      <c r="Y52" s="150" t="str">
        <f t="shared" si="9"/>
        <v/>
      </c>
      <c r="Z52" s="30" t="str">
        <f t="shared" si="9"/>
        <v/>
      </c>
    </row>
    <row r="53" spans="2:26" x14ac:dyDescent="0.25">
      <c r="B53" s="46" t="s">
        <v>10</v>
      </c>
      <c r="C53" s="150">
        <f>IF(C15=0,"",C15)</f>
        <v>5298050</v>
      </c>
      <c r="D53" s="150">
        <f>IF(F15=0,"",F15)</f>
        <v>1807480</v>
      </c>
      <c r="E53" s="150">
        <f>IF(I15=0,"",I15)</f>
        <v>1506800</v>
      </c>
      <c r="F53" s="150">
        <f>IF(L15=0,"",L15)</f>
        <v>3140570</v>
      </c>
      <c r="G53" s="150">
        <f>IF(O15=0,"",O15)</f>
        <v>3090470</v>
      </c>
      <c r="H53" s="150">
        <f>IF(R15=0,"",R15)</f>
        <v>419910</v>
      </c>
      <c r="I53" s="150"/>
      <c r="J53" s="150"/>
      <c r="K53" s="150"/>
      <c r="L53" s="150"/>
      <c r="M53" s="150"/>
      <c r="N53" s="150"/>
      <c r="O53" s="153">
        <f>AVERAGE($C53:C53)</f>
        <v>5298050</v>
      </c>
      <c r="P53" s="150">
        <f>AVERAGE($C53:D53)</f>
        <v>3552765</v>
      </c>
      <c r="Q53" s="150">
        <f>AVERAGE($C53:E53)</f>
        <v>2870776.6666666665</v>
      </c>
      <c r="R53" s="150">
        <f t="shared" si="9"/>
        <v>2938225</v>
      </c>
      <c r="S53" s="150">
        <f t="shared" si="9"/>
        <v>2386330</v>
      </c>
      <c r="T53" s="150">
        <f t="shared" si="9"/>
        <v>2039437.5</v>
      </c>
      <c r="U53" s="150">
        <f t="shared" si="9"/>
        <v>2216983.3333333335</v>
      </c>
      <c r="V53" s="150">
        <f t="shared" si="9"/>
        <v>1755190</v>
      </c>
      <c r="W53" s="150">
        <f t="shared" si="9"/>
        <v>419910</v>
      </c>
      <c r="X53" s="150" t="str">
        <f t="shared" si="9"/>
        <v/>
      </c>
      <c r="Y53" s="150" t="str">
        <f t="shared" si="9"/>
        <v/>
      </c>
      <c r="Z53" s="30" t="str">
        <f t="shared" si="9"/>
        <v/>
      </c>
    </row>
    <row r="54" spans="2:26" x14ac:dyDescent="0.25">
      <c r="B54" s="46" t="s">
        <v>11</v>
      </c>
      <c r="C54" s="150">
        <f>IF(C16=0,"",C16)</f>
        <v>3896110</v>
      </c>
      <c r="D54" s="150">
        <f>IF(F16=0,"",F16)</f>
        <v>3020740</v>
      </c>
      <c r="E54" s="150">
        <f>IF(I16=0,"",I16)</f>
        <v>1996200</v>
      </c>
      <c r="F54" s="150">
        <f>IF(L16=0,"",L16)</f>
        <v>1979050</v>
      </c>
      <c r="G54" s="150">
        <f>IF(O16=0,"",O16)</f>
        <v>2661390</v>
      </c>
      <c r="H54" s="150">
        <f>IF(R16=0,"",R16)</f>
        <v>947060</v>
      </c>
      <c r="I54" s="150"/>
      <c r="J54" s="150"/>
      <c r="K54" s="150"/>
      <c r="L54" s="150"/>
      <c r="M54" s="150"/>
      <c r="N54" s="150"/>
      <c r="O54" s="153">
        <f>AVERAGE($C54:C54)</f>
        <v>3896110</v>
      </c>
      <c r="P54" s="150">
        <f>AVERAGE($C54:D54)</f>
        <v>3458425</v>
      </c>
      <c r="Q54" s="150">
        <f>AVERAGE($C54:E54)</f>
        <v>2971016.6666666665</v>
      </c>
      <c r="R54" s="150">
        <f t="shared" si="9"/>
        <v>2723025</v>
      </c>
      <c r="S54" s="150">
        <f t="shared" si="9"/>
        <v>2414345</v>
      </c>
      <c r="T54" s="150">
        <f t="shared" si="9"/>
        <v>1895925</v>
      </c>
      <c r="U54" s="150">
        <f t="shared" si="9"/>
        <v>1862500</v>
      </c>
      <c r="V54" s="150">
        <f t="shared" si="9"/>
        <v>1804225</v>
      </c>
      <c r="W54" s="150">
        <f t="shared" si="9"/>
        <v>947060</v>
      </c>
      <c r="X54" s="150" t="str">
        <f t="shared" si="9"/>
        <v/>
      </c>
      <c r="Y54" s="150" t="str">
        <f t="shared" si="9"/>
        <v/>
      </c>
      <c r="Z54" s="30" t="str">
        <f t="shared" si="9"/>
        <v/>
      </c>
    </row>
    <row r="55" spans="2:26" x14ac:dyDescent="0.25">
      <c r="B55" s="48" t="s">
        <v>14</v>
      </c>
      <c r="C55" s="28">
        <f t="shared" ref="C55:N55" si="10">SUM(C43:C54)</f>
        <v>47853390</v>
      </c>
      <c r="D55" s="28">
        <f t="shared" si="10"/>
        <v>41098744</v>
      </c>
      <c r="E55" s="28">
        <f t="shared" si="10"/>
        <v>30634900</v>
      </c>
      <c r="F55" s="28">
        <f t="shared" si="10"/>
        <v>40156590</v>
      </c>
      <c r="G55" s="28">
        <f t="shared" si="10"/>
        <v>36799160</v>
      </c>
      <c r="H55" s="28">
        <f t="shared" si="10"/>
        <v>34760990</v>
      </c>
      <c r="I55" s="28">
        <f t="shared" si="10"/>
        <v>33508151.109999999</v>
      </c>
      <c r="J55" s="28">
        <f t="shared" si="10"/>
        <v>0</v>
      </c>
      <c r="K55" s="28">
        <f t="shared" si="10"/>
        <v>0</v>
      </c>
      <c r="L55" s="28">
        <f t="shared" si="10"/>
        <v>0</v>
      </c>
      <c r="M55" s="28">
        <f t="shared" si="10"/>
        <v>0</v>
      </c>
      <c r="N55" s="28">
        <f t="shared" si="10"/>
        <v>0</v>
      </c>
      <c r="O55" s="154">
        <f>SUM(O43:O54)</f>
        <v>47853390</v>
      </c>
      <c r="P55" s="28">
        <f>SUM(P43:P54)</f>
        <v>44476067</v>
      </c>
      <c r="Q55" s="28">
        <f>SUM(Q43:Q54)</f>
        <v>39862344.666666657</v>
      </c>
      <c r="R55" s="28">
        <f t="shared" ref="R55:X55" si="11">SUM(R43:R54)</f>
        <v>39935906</v>
      </c>
      <c r="S55" s="28">
        <f t="shared" si="11"/>
        <v>37172348.5</v>
      </c>
      <c r="T55" s="28">
        <f t="shared" si="11"/>
        <v>35587910</v>
      </c>
      <c r="U55" s="28">
        <f t="shared" si="11"/>
        <v>38285611.944166668</v>
      </c>
      <c r="V55" s="28">
        <f t="shared" si="11"/>
        <v>37480588.703333333</v>
      </c>
      <c r="W55" s="28">
        <f t="shared" si="11"/>
        <v>36030205.555</v>
      </c>
      <c r="X55" s="28">
        <f t="shared" si="11"/>
        <v>33508151.109999999</v>
      </c>
      <c r="Y55" s="28">
        <f>SUM(Y43:Y54)</f>
        <v>0</v>
      </c>
      <c r="Z55" s="29">
        <f>SUM(Z43:Z54)</f>
        <v>0</v>
      </c>
    </row>
    <row r="56" spans="2:26" x14ac:dyDescent="0.25">
      <c r="B56" s="2"/>
    </row>
    <row r="57" spans="2:26" x14ac:dyDescent="0.25">
      <c r="B57" s="184" t="s">
        <v>69</v>
      </c>
      <c r="C57" s="185"/>
      <c r="D57" s="186"/>
    </row>
    <row r="58" spans="2:26" x14ac:dyDescent="0.25">
      <c r="B58" s="33" t="s">
        <v>52</v>
      </c>
      <c r="C58" s="14" t="s">
        <v>54</v>
      </c>
      <c r="D58" s="34" t="s">
        <v>52</v>
      </c>
    </row>
    <row r="59" spans="2:26" x14ac:dyDescent="0.25">
      <c r="B59" s="18">
        <v>2019</v>
      </c>
      <c r="C59" s="139">
        <v>102.22</v>
      </c>
      <c r="D59" s="19" t="s">
        <v>60</v>
      </c>
    </row>
    <row r="60" spans="2:26" x14ac:dyDescent="0.25">
      <c r="B60" s="18">
        <v>2020</v>
      </c>
      <c r="C60" s="139">
        <v>106.94</v>
      </c>
      <c r="D60" s="19" t="s">
        <v>55</v>
      </c>
    </row>
    <row r="61" spans="2:26" x14ac:dyDescent="0.25">
      <c r="B61" s="31">
        <v>2021</v>
      </c>
      <c r="C61" s="139">
        <v>109.47</v>
      </c>
      <c r="D61" s="19" t="s">
        <v>56</v>
      </c>
    </row>
    <row r="62" spans="2:26" x14ac:dyDescent="0.25">
      <c r="B62" s="31">
        <v>2022</v>
      </c>
      <c r="C62" s="139">
        <v>68.78</v>
      </c>
      <c r="D62" s="19" t="s">
        <v>57</v>
      </c>
    </row>
    <row r="63" spans="2:26" x14ac:dyDescent="0.25">
      <c r="B63" s="31">
        <v>2023</v>
      </c>
      <c r="C63" s="139">
        <v>36.04</v>
      </c>
      <c r="D63" s="19" t="s">
        <v>58</v>
      </c>
    </row>
    <row r="64" spans="2:26" x14ac:dyDescent="0.25">
      <c r="B64" s="31">
        <v>2024</v>
      </c>
      <c r="C64" s="139">
        <v>72.86</v>
      </c>
      <c r="D64" s="19" t="s">
        <v>142</v>
      </c>
    </row>
    <row r="65" spans="2:6" x14ac:dyDescent="0.25">
      <c r="B65" s="31">
        <v>2025</v>
      </c>
      <c r="C65" s="214"/>
      <c r="D65" s="19" t="s">
        <v>179</v>
      </c>
    </row>
    <row r="66" spans="2:6" x14ac:dyDescent="0.25">
      <c r="B66" s="31">
        <v>2026</v>
      </c>
      <c r="C66" s="214"/>
      <c r="D66" s="19" t="s">
        <v>180</v>
      </c>
    </row>
    <row r="67" spans="2:6" x14ac:dyDescent="0.25">
      <c r="B67" s="31">
        <v>2027</v>
      </c>
      <c r="C67" s="214"/>
      <c r="D67" s="19" t="s">
        <v>181</v>
      </c>
    </row>
    <row r="68" spans="2:6" x14ac:dyDescent="0.25">
      <c r="B68" s="32">
        <v>2028</v>
      </c>
      <c r="C68" s="218"/>
      <c r="D68" s="22" t="s">
        <v>182</v>
      </c>
    </row>
    <row r="70" spans="2:6" x14ac:dyDescent="0.25">
      <c r="B70" s="184" t="s">
        <v>59</v>
      </c>
      <c r="C70" s="186"/>
    </row>
    <row r="71" spans="2:6" x14ac:dyDescent="0.25">
      <c r="B71" s="33"/>
      <c r="C71" s="34" t="s">
        <v>19</v>
      </c>
    </row>
    <row r="72" spans="2:6" x14ac:dyDescent="0.25">
      <c r="B72" s="33" t="s">
        <v>61</v>
      </c>
      <c r="C72" s="159">
        <v>2.4500000000000002</v>
      </c>
    </row>
    <row r="73" spans="2:6" x14ac:dyDescent="0.25">
      <c r="B73" s="33" t="s">
        <v>62</v>
      </c>
      <c r="C73" s="159">
        <v>2.1800000000000002</v>
      </c>
    </row>
    <row r="74" spans="2:6" x14ac:dyDescent="0.25">
      <c r="B74" s="33" t="s">
        <v>63</v>
      </c>
      <c r="C74" s="159">
        <v>2.1800000000000002</v>
      </c>
    </row>
    <row r="75" spans="2:6" x14ac:dyDescent="0.25">
      <c r="B75" s="33" t="s">
        <v>64</v>
      </c>
      <c r="C75" s="159">
        <v>2.1800000000000002</v>
      </c>
    </row>
    <row r="76" spans="2:6" x14ac:dyDescent="0.25">
      <c r="B76" s="33" t="s">
        <v>51</v>
      </c>
      <c r="C76" s="159">
        <v>2.1800000000000002</v>
      </c>
      <c r="F76" s="3"/>
    </row>
    <row r="77" spans="2:6" x14ac:dyDescent="0.25">
      <c r="B77" s="33" t="s">
        <v>50</v>
      </c>
      <c r="C77" s="159">
        <v>2.1800000000000002</v>
      </c>
      <c r="F77" s="3"/>
    </row>
    <row r="78" spans="2:6" x14ac:dyDescent="0.25">
      <c r="B78" s="33" t="s">
        <v>49</v>
      </c>
      <c r="C78" s="159">
        <v>0.56999999999999995</v>
      </c>
      <c r="F78" s="3"/>
    </row>
    <row r="79" spans="2:6" x14ac:dyDescent="0.25">
      <c r="B79" s="33" t="s">
        <v>48</v>
      </c>
      <c r="C79" s="159">
        <v>0.56999999999999995</v>
      </c>
      <c r="F79" s="3"/>
    </row>
    <row r="80" spans="2:6" x14ac:dyDescent="0.25">
      <c r="B80" s="33" t="s">
        <v>47</v>
      </c>
      <c r="C80" s="159">
        <v>0.56999999999999995</v>
      </c>
      <c r="F80" s="3"/>
    </row>
    <row r="81" spans="2:6" x14ac:dyDescent="0.25">
      <c r="B81" s="33" t="s">
        <v>46</v>
      </c>
      <c r="C81" s="159">
        <v>0.56999999999999995</v>
      </c>
      <c r="F81" s="3"/>
    </row>
    <row r="82" spans="2:6" x14ac:dyDescent="0.25">
      <c r="B82" s="33" t="s">
        <v>45</v>
      </c>
      <c r="C82" s="159">
        <v>0.56999999999999995</v>
      </c>
      <c r="F82" s="3"/>
    </row>
    <row r="83" spans="2:6" x14ac:dyDescent="0.25">
      <c r="B83" s="33" t="s">
        <v>44</v>
      </c>
      <c r="C83" s="159">
        <v>0.56999999999999995</v>
      </c>
    </row>
    <row r="84" spans="2:6" x14ac:dyDescent="0.25">
      <c r="B84" s="33" t="s">
        <v>43</v>
      </c>
      <c r="C84" s="159">
        <v>0.56999999999999995</v>
      </c>
      <c r="F84" s="3"/>
    </row>
    <row r="85" spans="2:6" x14ac:dyDescent="0.25">
      <c r="B85" s="33" t="s">
        <v>42</v>
      </c>
      <c r="C85" s="159">
        <v>1.02</v>
      </c>
      <c r="F85" s="3"/>
    </row>
    <row r="86" spans="2:6" x14ac:dyDescent="0.25">
      <c r="B86" s="33" t="s">
        <v>41</v>
      </c>
      <c r="C86" s="159">
        <v>2.2000000000000002</v>
      </c>
      <c r="F86" s="3"/>
    </row>
    <row r="87" spans="2:6" x14ac:dyDescent="0.25">
      <c r="B87" s="33" t="s">
        <v>40</v>
      </c>
      <c r="C87" s="159">
        <v>3.87</v>
      </c>
      <c r="F87" s="3"/>
    </row>
    <row r="88" spans="2:6" x14ac:dyDescent="0.25">
      <c r="B88" s="33" t="s">
        <v>39</v>
      </c>
      <c r="C88" s="159">
        <v>4.7300000000000004</v>
      </c>
    </row>
    <row r="89" spans="2:6" x14ac:dyDescent="0.25">
      <c r="B89" s="33" t="s">
        <v>38</v>
      </c>
      <c r="C89" s="159">
        <v>4.9800000000000004</v>
      </c>
    </row>
    <row r="90" spans="2:6" x14ac:dyDescent="0.25">
      <c r="B90" s="33" t="s">
        <v>37</v>
      </c>
      <c r="C90" s="159">
        <v>4.9800000000000004</v>
      </c>
    </row>
    <row r="91" spans="2:6" x14ac:dyDescent="0.25">
      <c r="B91" s="33" t="s">
        <v>36</v>
      </c>
      <c r="C91" s="159">
        <v>5.49</v>
      </c>
    </row>
    <row r="92" spans="2:6" x14ac:dyDescent="0.25">
      <c r="B92" s="33" t="s">
        <v>174</v>
      </c>
      <c r="C92" s="159">
        <v>5.49</v>
      </c>
    </row>
    <row r="93" spans="2:6" x14ac:dyDescent="0.25">
      <c r="B93" s="33" t="s">
        <v>183</v>
      </c>
      <c r="C93" s="159"/>
    </row>
    <row r="94" spans="2:6" x14ac:dyDescent="0.25">
      <c r="B94" s="33" t="s">
        <v>184</v>
      </c>
      <c r="C94" s="159"/>
    </row>
    <row r="95" spans="2:6" x14ac:dyDescent="0.25">
      <c r="B95" s="33" t="s">
        <v>185</v>
      </c>
      <c r="C95" s="159"/>
    </row>
    <row r="96" spans="2:6" x14ac:dyDescent="0.25">
      <c r="B96" s="33" t="s">
        <v>186</v>
      </c>
      <c r="C96" s="159"/>
    </row>
    <row r="97" spans="2:16" x14ac:dyDescent="0.25">
      <c r="B97" s="33" t="s">
        <v>187</v>
      </c>
      <c r="C97" s="159"/>
    </row>
    <row r="98" spans="2:16" x14ac:dyDescent="0.25">
      <c r="B98" s="33" t="s">
        <v>188</v>
      </c>
      <c r="C98" s="159"/>
    </row>
    <row r="99" spans="2:16" x14ac:dyDescent="0.25">
      <c r="B99" s="33" t="s">
        <v>189</v>
      </c>
      <c r="C99" s="159"/>
    </row>
    <row r="100" spans="2:16" x14ac:dyDescent="0.25">
      <c r="B100" s="33" t="s">
        <v>190</v>
      </c>
      <c r="C100" s="159"/>
    </row>
    <row r="101" spans="2:16" x14ac:dyDescent="0.25">
      <c r="B101" s="33" t="s">
        <v>191</v>
      </c>
      <c r="C101" s="159"/>
    </row>
    <row r="102" spans="2:16" x14ac:dyDescent="0.25">
      <c r="B102" s="33" t="s">
        <v>192</v>
      </c>
      <c r="C102" s="159"/>
    </row>
    <row r="103" spans="2:16" x14ac:dyDescent="0.25">
      <c r="B103" s="33" t="s">
        <v>193</v>
      </c>
      <c r="C103" s="159"/>
    </row>
    <row r="104" spans="2:16" x14ac:dyDescent="0.25">
      <c r="B104" s="33" t="s">
        <v>194</v>
      </c>
      <c r="C104" s="159"/>
    </row>
    <row r="105" spans="2:16" x14ac:dyDescent="0.25">
      <c r="B105" s="33" t="s">
        <v>195</v>
      </c>
      <c r="C105" s="159"/>
    </row>
    <row r="106" spans="2:16" x14ac:dyDescent="0.25">
      <c r="B106" s="33" t="s">
        <v>196</v>
      </c>
      <c r="C106" s="159"/>
      <c r="G106" s="11"/>
      <c r="H106" s="2"/>
    </row>
    <row r="107" spans="2:16" x14ac:dyDescent="0.25">
      <c r="B107" s="33" t="s">
        <v>197</v>
      </c>
      <c r="C107" s="159"/>
      <c r="G107" s="2"/>
      <c r="H107" s="11"/>
      <c r="O107" s="2"/>
    </row>
    <row r="108" spans="2:16" x14ac:dyDescent="0.25">
      <c r="B108" s="33" t="s">
        <v>198</v>
      </c>
      <c r="C108" s="159"/>
      <c r="G108" s="2"/>
      <c r="H108" s="11"/>
      <c r="O108" s="2"/>
      <c r="P108" s="7"/>
    </row>
    <row r="109" spans="2:16" x14ac:dyDescent="0.25">
      <c r="B109" s="33" t="s">
        <v>199</v>
      </c>
      <c r="C109" s="159"/>
      <c r="G109" s="2"/>
      <c r="H109" s="2"/>
      <c r="O109" s="2"/>
      <c r="P109" s="12"/>
    </row>
    <row r="110" spans="2:16" x14ac:dyDescent="0.25">
      <c r="B110" s="33" t="s">
        <v>200</v>
      </c>
      <c r="C110" s="159"/>
      <c r="H110" s="12"/>
    </row>
    <row r="111" spans="2:16" x14ac:dyDescent="0.25">
      <c r="B111" s="35" t="s">
        <v>201</v>
      </c>
      <c r="C111" s="160"/>
    </row>
  </sheetData>
  <mergeCells count="20">
    <mergeCell ref="C41:N41"/>
    <mergeCell ref="O41:Z41"/>
    <mergeCell ref="B57:D57"/>
    <mergeCell ref="B70:C70"/>
    <mergeCell ref="AD3:AF3"/>
    <mergeCell ref="AG3:AI3"/>
    <mergeCell ref="AJ3:AL3"/>
    <mergeCell ref="B20:N20"/>
    <mergeCell ref="B36:N36"/>
    <mergeCell ref="B40:Z40"/>
    <mergeCell ref="C2:AL2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4B5B-E267-457A-B76A-453B559CCA17}">
  <sheetPr>
    <tabColor theme="2"/>
  </sheetPr>
  <dimension ref="B1:Z71"/>
  <sheetViews>
    <sheetView topLeftCell="A5" zoomScaleNormal="100" workbookViewId="0">
      <selection activeCell="H74" sqref="H74"/>
    </sheetView>
  </sheetViews>
  <sheetFormatPr defaultRowHeight="15" x14ac:dyDescent="0.25"/>
  <cols>
    <col min="3" max="3" width="35.140625" bestFit="1" customWidth="1"/>
    <col min="4" max="4" width="16.42578125" customWidth="1"/>
    <col min="5" max="5" width="11.5703125" bestFit="1" customWidth="1"/>
    <col min="6" max="6" width="48.85546875" style="162" bestFit="1" customWidth="1"/>
    <col min="7" max="7" width="12.28515625" bestFit="1" customWidth="1"/>
    <col min="8" max="8" width="14.28515625" style="25" bestFit="1" customWidth="1"/>
    <col min="9" max="9" width="10.28515625" bestFit="1" customWidth="1"/>
    <col min="10" max="10" width="12.28515625" bestFit="1" customWidth="1"/>
    <col min="11" max="11" width="11.5703125" bestFit="1" customWidth="1"/>
    <col min="12" max="13" width="12.28515625" bestFit="1" customWidth="1"/>
    <col min="14" max="14" width="14.85546875" customWidth="1"/>
    <col min="15" max="15" width="16" customWidth="1"/>
    <col min="16" max="16" width="13" customWidth="1"/>
    <col min="17" max="17" width="14.42578125" customWidth="1"/>
    <col min="18" max="18" width="8.42578125" bestFit="1" customWidth="1"/>
    <col min="19" max="19" width="11.140625" customWidth="1"/>
    <col min="20" max="20" width="11" customWidth="1"/>
    <col min="23" max="23" width="28.7109375" bestFit="1" customWidth="1"/>
    <col min="24" max="24" width="14.140625" customWidth="1"/>
    <col min="25" max="25" width="13" customWidth="1"/>
    <col min="26" max="26" width="84.140625" bestFit="1" customWidth="1"/>
  </cols>
  <sheetData>
    <row r="1" spans="2:26" ht="15.75" thickBot="1" x14ac:dyDescent="0.3"/>
    <row r="2" spans="2:26" ht="15.75" x14ac:dyDescent="0.25">
      <c r="G2" s="201" t="s">
        <v>173</v>
      </c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</row>
    <row r="3" spans="2:26" ht="45" x14ac:dyDescent="0.25">
      <c r="G3" s="61"/>
      <c r="H3" s="72" t="s">
        <v>17</v>
      </c>
      <c r="I3" s="73" t="s">
        <v>16</v>
      </c>
      <c r="J3" s="74" t="s">
        <v>34</v>
      </c>
      <c r="K3" s="75" t="s">
        <v>15</v>
      </c>
      <c r="L3" s="76" t="s">
        <v>117</v>
      </c>
      <c r="M3" s="76" t="s">
        <v>148</v>
      </c>
      <c r="N3" s="76" t="s">
        <v>152</v>
      </c>
      <c r="O3" s="74" t="s">
        <v>33</v>
      </c>
      <c r="P3" s="75" t="s">
        <v>18</v>
      </c>
      <c r="Q3" s="73" t="s">
        <v>20</v>
      </c>
      <c r="R3" s="73" t="s">
        <v>22</v>
      </c>
      <c r="S3" s="73" t="s">
        <v>21</v>
      </c>
      <c r="T3" s="77" t="s">
        <v>91</v>
      </c>
    </row>
    <row r="4" spans="2:26" ht="15.75" thickBot="1" x14ac:dyDescent="0.3">
      <c r="G4" s="142"/>
      <c r="H4" s="66" t="s">
        <v>23</v>
      </c>
      <c r="I4" s="67" t="s">
        <v>24</v>
      </c>
      <c r="J4" s="68" t="s">
        <v>29</v>
      </c>
      <c r="K4" s="69" t="s">
        <v>25</v>
      </c>
      <c r="L4" s="70" t="s">
        <v>30</v>
      </c>
      <c r="M4" s="70" t="s">
        <v>31</v>
      </c>
      <c r="N4" s="70" t="s">
        <v>27</v>
      </c>
      <c r="O4" s="68" t="s">
        <v>73</v>
      </c>
      <c r="P4" s="69" t="s">
        <v>74</v>
      </c>
      <c r="Q4" s="67" t="s">
        <v>28</v>
      </c>
      <c r="R4" s="67" t="s">
        <v>75</v>
      </c>
      <c r="S4" s="67" t="s">
        <v>76</v>
      </c>
      <c r="T4" s="71"/>
    </row>
    <row r="5" spans="2:26" ht="120.75" thickBot="1" x14ac:dyDescent="0.3">
      <c r="C5" s="204" t="s">
        <v>160</v>
      </c>
      <c r="D5" s="205"/>
      <c r="E5" s="206"/>
      <c r="F5" s="166" t="s">
        <v>144</v>
      </c>
      <c r="G5" s="63"/>
      <c r="H5" s="106" t="s">
        <v>172</v>
      </c>
      <c r="I5" s="107" t="s">
        <v>101</v>
      </c>
      <c r="J5" s="108" t="s">
        <v>102</v>
      </c>
      <c r="K5" s="109" t="s">
        <v>103</v>
      </c>
      <c r="L5" s="110" t="s">
        <v>104</v>
      </c>
      <c r="M5" s="110" t="s">
        <v>105</v>
      </c>
      <c r="N5" s="110" t="s">
        <v>208</v>
      </c>
      <c r="O5" s="108" t="s">
        <v>153</v>
      </c>
      <c r="P5" s="109" t="s">
        <v>106</v>
      </c>
      <c r="Q5" s="107" t="s">
        <v>107</v>
      </c>
      <c r="R5" s="135" t="s">
        <v>108</v>
      </c>
      <c r="S5" s="107" t="s">
        <v>109</v>
      </c>
      <c r="T5" s="170" t="s">
        <v>176</v>
      </c>
    </row>
    <row r="6" spans="2:26" x14ac:dyDescent="0.25">
      <c r="B6" s="195">
        <v>2024</v>
      </c>
      <c r="C6" s="136"/>
      <c r="D6" s="161" t="s">
        <v>157</v>
      </c>
      <c r="E6" s="136"/>
      <c r="F6" s="164"/>
      <c r="G6" s="100" t="s">
        <v>0</v>
      </c>
      <c r="H6" s="56"/>
      <c r="I6" s="169"/>
      <c r="J6" s="57"/>
      <c r="K6" s="59"/>
      <c r="L6" s="10"/>
      <c r="M6" s="10"/>
      <c r="N6" s="10"/>
      <c r="O6" s="40"/>
      <c r="P6" s="59"/>
      <c r="Q6" s="10"/>
      <c r="R6" s="10"/>
      <c r="S6" s="105"/>
      <c r="T6" s="143"/>
      <c r="U6" s="10"/>
    </row>
    <row r="7" spans="2:26" x14ac:dyDescent="0.25">
      <c r="B7" s="196"/>
      <c r="C7" s="100" t="s">
        <v>86</v>
      </c>
      <c r="D7" s="117">
        <f>'Input Data'!T55</f>
        <v>35587910</v>
      </c>
      <c r="F7" s="162" t="s">
        <v>132</v>
      </c>
      <c r="G7" s="100" t="s">
        <v>1</v>
      </c>
      <c r="H7" s="56"/>
      <c r="I7" s="169"/>
      <c r="J7" s="57"/>
      <c r="K7" s="59"/>
      <c r="L7" s="10"/>
      <c r="M7" s="10"/>
      <c r="N7" s="10"/>
      <c r="O7" s="40"/>
      <c r="P7" s="59"/>
      <c r="Q7" s="10"/>
      <c r="R7" s="10"/>
      <c r="S7" s="105"/>
      <c r="T7" s="143"/>
      <c r="U7" s="10"/>
      <c r="V7" s="198" t="s">
        <v>99</v>
      </c>
      <c r="W7" s="16"/>
      <c r="X7" s="16"/>
      <c r="Y7" s="17"/>
    </row>
    <row r="8" spans="2:26" x14ac:dyDescent="0.25">
      <c r="B8" s="196"/>
      <c r="C8" s="100" t="s">
        <v>113</v>
      </c>
      <c r="D8" s="116">
        <f>'Input Data'!C64/1000</f>
        <v>7.2859999999999994E-2</v>
      </c>
      <c r="F8" s="162" t="s">
        <v>92</v>
      </c>
      <c r="G8" s="100" t="s">
        <v>2</v>
      </c>
      <c r="H8" s="56"/>
      <c r="I8" s="169"/>
      <c r="J8" s="57"/>
      <c r="K8" s="59"/>
      <c r="L8" s="10"/>
      <c r="M8" s="10"/>
      <c r="N8" s="10"/>
      <c r="O8" s="40"/>
      <c r="P8" s="59"/>
      <c r="Q8" s="10"/>
      <c r="R8" s="10"/>
      <c r="S8" s="105"/>
      <c r="T8" s="143"/>
      <c r="U8" s="10"/>
      <c r="V8" s="199"/>
      <c r="W8" t="s">
        <v>100</v>
      </c>
      <c r="Y8" s="40">
        <f>K18</f>
        <v>0</v>
      </c>
      <c r="Z8" t="s">
        <v>110</v>
      </c>
    </row>
    <row r="9" spans="2:26" x14ac:dyDescent="0.25">
      <c r="B9" s="196"/>
      <c r="C9" s="100" t="s">
        <v>129</v>
      </c>
      <c r="D9" s="4">
        <f>D7*D8</f>
        <v>2592935.1225999999</v>
      </c>
      <c r="G9" s="100" t="s">
        <v>3</v>
      </c>
      <c r="H9" s="56"/>
      <c r="I9" s="169"/>
      <c r="J9" s="57"/>
      <c r="K9" s="59"/>
      <c r="L9" s="10"/>
      <c r="M9" s="10"/>
      <c r="N9" s="10"/>
      <c r="O9" s="40"/>
      <c r="P9" s="59"/>
      <c r="Q9" s="10"/>
      <c r="R9" s="10"/>
      <c r="S9" s="105"/>
      <c r="T9" s="143"/>
      <c r="U9" s="10"/>
      <c r="V9" s="199"/>
      <c r="W9" t="s">
        <v>98</v>
      </c>
      <c r="Y9" s="40">
        <f>L18</f>
        <v>0</v>
      </c>
      <c r="Z9" t="s">
        <v>32</v>
      </c>
    </row>
    <row r="10" spans="2:26" x14ac:dyDescent="0.25">
      <c r="B10" s="196"/>
      <c r="C10" s="100" t="s">
        <v>130</v>
      </c>
      <c r="E10" s="4">
        <f>D9/2</f>
        <v>1296467.5612999999</v>
      </c>
      <c r="F10" s="162" t="s">
        <v>143</v>
      </c>
      <c r="G10" s="100" t="s">
        <v>4</v>
      </c>
      <c r="H10" s="113">
        <f>'Input Data'!J26</f>
        <v>0</v>
      </c>
      <c r="I10" s="169">
        <f>E17</f>
        <v>-7.0000000000000001E-3</v>
      </c>
      <c r="J10" s="57">
        <f t="shared" ref="J10:J17" si="0">H10*I10</f>
        <v>0</v>
      </c>
      <c r="K10" s="112">
        <f>'Input Data'!Z9</f>
        <v>0</v>
      </c>
      <c r="L10" s="10">
        <f t="shared" ref="L10:L17" si="1">-K10/2</f>
        <v>0</v>
      </c>
      <c r="M10" s="10">
        <f t="shared" ref="M10:M17" si="2">-K10/2</f>
        <v>0</v>
      </c>
      <c r="N10" s="10"/>
      <c r="O10" s="40">
        <f t="shared" ref="O10:O17" si="3">M10+N10</f>
        <v>0</v>
      </c>
      <c r="P10" s="59">
        <f t="shared" ref="P10:P17" si="4">O10-J10</f>
        <v>0</v>
      </c>
      <c r="Q10" s="10">
        <f t="shared" ref="Q10:Q17" si="5">P10+Q9</f>
        <v>0</v>
      </c>
      <c r="R10" s="115">
        <f>'Input Data'!$C$93/100/12</f>
        <v>0</v>
      </c>
      <c r="S10" s="105"/>
      <c r="T10" s="143"/>
      <c r="U10" s="10"/>
      <c r="V10" s="199"/>
      <c r="W10" t="s">
        <v>70</v>
      </c>
      <c r="X10" s="10">
        <f>M18</f>
        <v>0</v>
      </c>
      <c r="Y10" s="19"/>
      <c r="Z10" t="s">
        <v>111</v>
      </c>
    </row>
    <row r="11" spans="2:26" x14ac:dyDescent="0.25">
      <c r="B11" s="196"/>
      <c r="C11" s="100" t="s">
        <v>115</v>
      </c>
      <c r="E11" s="4"/>
      <c r="F11" s="162" t="s">
        <v>145</v>
      </c>
      <c r="G11" s="100" t="s">
        <v>5</v>
      </c>
      <c r="H11" s="113">
        <f>'Input Data'!J27</f>
        <v>0</v>
      </c>
      <c r="I11" s="169">
        <f>I10</f>
        <v>-7.0000000000000001E-3</v>
      </c>
      <c r="J11" s="57">
        <f t="shared" si="0"/>
        <v>0</v>
      </c>
      <c r="K11" s="112">
        <f>'Input Data'!Z10</f>
        <v>0</v>
      </c>
      <c r="L11" s="10">
        <f t="shared" si="1"/>
        <v>0</v>
      </c>
      <c r="M11" s="10">
        <f t="shared" si="2"/>
        <v>0</v>
      </c>
      <c r="N11" s="10"/>
      <c r="O11" s="40">
        <f t="shared" si="3"/>
        <v>0</v>
      </c>
      <c r="P11" s="59">
        <f t="shared" si="4"/>
        <v>0</v>
      </c>
      <c r="Q11" s="10">
        <f t="shared" si="5"/>
        <v>0</v>
      </c>
      <c r="R11" s="115">
        <f>'Input Data'!$C$93/100/12</f>
        <v>0</v>
      </c>
      <c r="S11" s="105">
        <f>Q10*R11</f>
        <v>0</v>
      </c>
      <c r="T11" s="143"/>
      <c r="U11" s="10"/>
      <c r="V11" s="199"/>
      <c r="W11" t="s">
        <v>71</v>
      </c>
      <c r="X11" s="36"/>
      <c r="Y11" s="19"/>
      <c r="Z11" t="s">
        <v>175</v>
      </c>
    </row>
    <row r="12" spans="2:26" x14ac:dyDescent="0.25">
      <c r="B12" s="196"/>
      <c r="C12" s="100" t="s">
        <v>116</v>
      </c>
      <c r="E12" s="4"/>
      <c r="F12" s="162" t="str">
        <f>F11</f>
        <v>(No variance in this year)</v>
      </c>
      <c r="G12" s="100" t="s">
        <v>6</v>
      </c>
      <c r="H12" s="113">
        <f>'Input Data'!J28</f>
        <v>0</v>
      </c>
      <c r="I12" s="169">
        <f t="shared" ref="I12:I13" si="6">I11</f>
        <v>-7.0000000000000001E-3</v>
      </c>
      <c r="J12" s="57">
        <f t="shared" si="0"/>
        <v>0</v>
      </c>
      <c r="K12" s="112">
        <f>'Input Data'!Z11</f>
        <v>0</v>
      </c>
      <c r="L12" s="10">
        <f t="shared" si="1"/>
        <v>0</v>
      </c>
      <c r="M12" s="10">
        <f t="shared" si="2"/>
        <v>0</v>
      </c>
      <c r="N12" s="10"/>
      <c r="O12" s="40">
        <f t="shared" si="3"/>
        <v>0</v>
      </c>
      <c r="P12" s="59">
        <f t="shared" si="4"/>
        <v>0</v>
      </c>
      <c r="Q12" s="10">
        <f t="shared" si="5"/>
        <v>0</v>
      </c>
      <c r="R12" s="115">
        <f>'Input Data'!$C$94/100/12</f>
        <v>0</v>
      </c>
      <c r="S12" s="105">
        <f t="shared" ref="S12" si="7">Q11*R12</f>
        <v>0</v>
      </c>
      <c r="T12" s="143"/>
      <c r="U12" s="10"/>
      <c r="V12" s="199"/>
      <c r="W12" t="s">
        <v>33</v>
      </c>
      <c r="Y12" s="40">
        <f>X11+X10</f>
        <v>0</v>
      </c>
      <c r="Z12" t="s">
        <v>112</v>
      </c>
    </row>
    <row r="13" spans="2:26" x14ac:dyDescent="0.25">
      <c r="B13" s="196"/>
      <c r="C13" s="61" t="s">
        <v>161</v>
      </c>
      <c r="E13" s="24">
        <f>SUM(E10:E12)</f>
        <v>1296467.5612999999</v>
      </c>
      <c r="G13" s="100" t="s">
        <v>7</v>
      </c>
      <c r="H13" s="113">
        <f>'Input Data'!J29</f>
        <v>0</v>
      </c>
      <c r="I13" s="169">
        <f t="shared" si="6"/>
        <v>-7.0000000000000001E-3</v>
      </c>
      <c r="J13" s="57">
        <f t="shared" si="0"/>
        <v>0</v>
      </c>
      <c r="K13" s="112">
        <f>'Input Data'!Z12</f>
        <v>0</v>
      </c>
      <c r="L13" s="10">
        <f t="shared" si="1"/>
        <v>0</v>
      </c>
      <c r="M13" s="10">
        <f t="shared" si="2"/>
        <v>0</v>
      </c>
      <c r="N13" s="10"/>
      <c r="O13" s="40">
        <f t="shared" si="3"/>
        <v>0</v>
      </c>
      <c r="P13" s="59">
        <f t="shared" si="4"/>
        <v>0</v>
      </c>
      <c r="Q13" s="10">
        <f t="shared" si="5"/>
        <v>0</v>
      </c>
      <c r="R13" s="115">
        <f>'Input Data'!$C$94/100/12</f>
        <v>0</v>
      </c>
      <c r="S13" s="105">
        <f>Q12*R13</f>
        <v>0</v>
      </c>
      <c r="T13" s="143"/>
      <c r="U13" s="10"/>
      <c r="V13" s="199"/>
      <c r="W13" t="s">
        <v>34</v>
      </c>
      <c r="Y13" s="65">
        <f>J18</f>
        <v>0</v>
      </c>
      <c r="Z13" t="s">
        <v>162</v>
      </c>
    </row>
    <row r="14" spans="2:26" x14ac:dyDescent="0.25">
      <c r="B14" s="196"/>
      <c r="C14" s="100"/>
      <c r="G14" s="100" t="s">
        <v>8</v>
      </c>
      <c r="H14" s="113">
        <f>'Input Data'!J30</f>
        <v>0</v>
      </c>
      <c r="I14" s="169">
        <f>I13</f>
        <v>-7.0000000000000001E-3</v>
      </c>
      <c r="J14" s="57">
        <f t="shared" si="0"/>
        <v>0</v>
      </c>
      <c r="K14" s="112">
        <f>'Input Data'!Z13</f>
        <v>0</v>
      </c>
      <c r="L14" s="10">
        <f t="shared" si="1"/>
        <v>0</v>
      </c>
      <c r="M14" s="10">
        <f t="shared" si="2"/>
        <v>0</v>
      </c>
      <c r="N14" s="10"/>
      <c r="O14" s="40">
        <f t="shared" si="3"/>
        <v>0</v>
      </c>
      <c r="P14" s="59">
        <f t="shared" si="4"/>
        <v>0</v>
      </c>
      <c r="Q14" s="10">
        <f t="shared" si="5"/>
        <v>0</v>
      </c>
      <c r="R14" s="115">
        <f>'Input Data'!$C$94/100/12</f>
        <v>0</v>
      </c>
      <c r="S14" s="105">
        <f t="shared" ref="S14:S17" si="8">Q13*R14</f>
        <v>0</v>
      </c>
      <c r="T14" s="143"/>
      <c r="U14" s="10"/>
      <c r="V14" s="199"/>
      <c r="W14" t="s">
        <v>18</v>
      </c>
      <c r="Y14" s="78">
        <f>Y12-Y13</f>
        <v>0</v>
      </c>
      <c r="Z14" t="s">
        <v>220</v>
      </c>
    </row>
    <row r="15" spans="2:26" x14ac:dyDescent="0.25">
      <c r="B15" s="196"/>
      <c r="C15" s="100" t="s">
        <v>114</v>
      </c>
      <c r="D15" s="117">
        <f>'Input Data'!H38</f>
        <v>185090366</v>
      </c>
      <c r="F15" s="162" t="s">
        <v>93</v>
      </c>
      <c r="G15" s="100" t="s">
        <v>9</v>
      </c>
      <c r="H15" s="113">
        <f>'Input Data'!J31</f>
        <v>0</v>
      </c>
      <c r="I15" s="169">
        <f>I14</f>
        <v>-7.0000000000000001E-3</v>
      </c>
      <c r="J15" s="57">
        <f t="shared" si="0"/>
        <v>0</v>
      </c>
      <c r="K15" s="112">
        <f>'Input Data'!Z14</f>
        <v>0</v>
      </c>
      <c r="L15" s="10">
        <f t="shared" si="1"/>
        <v>0</v>
      </c>
      <c r="M15" s="10">
        <f t="shared" si="2"/>
        <v>0</v>
      </c>
      <c r="N15" s="10"/>
      <c r="O15" s="40">
        <f t="shared" si="3"/>
        <v>0</v>
      </c>
      <c r="P15" s="59">
        <f t="shared" si="4"/>
        <v>0</v>
      </c>
      <c r="Q15" s="10">
        <f t="shared" si="5"/>
        <v>0</v>
      </c>
      <c r="R15" s="115">
        <f>'Input Data'!$C$95/100/12</f>
        <v>0</v>
      </c>
      <c r="S15" s="105">
        <f t="shared" si="8"/>
        <v>0</v>
      </c>
      <c r="T15" s="143"/>
      <c r="U15" s="10"/>
      <c r="V15" s="199"/>
      <c r="W15" t="s">
        <v>35</v>
      </c>
      <c r="Y15" s="40">
        <f>S18+T31</f>
        <v>0</v>
      </c>
      <c r="Z15" t="s">
        <v>221</v>
      </c>
    </row>
    <row r="16" spans="2:26" x14ac:dyDescent="0.25">
      <c r="B16" s="196"/>
      <c r="C16" s="61"/>
      <c r="D16" s="4"/>
      <c r="G16" s="100" t="s">
        <v>10</v>
      </c>
      <c r="H16" s="113">
        <f>'Input Data'!J32</f>
        <v>0</v>
      </c>
      <c r="I16" s="169">
        <f>I15</f>
        <v>-7.0000000000000001E-3</v>
      </c>
      <c r="J16" s="57">
        <f t="shared" si="0"/>
        <v>0</v>
      </c>
      <c r="K16" s="112">
        <f>'Input Data'!Z15</f>
        <v>0</v>
      </c>
      <c r="L16" s="10">
        <f t="shared" si="1"/>
        <v>0</v>
      </c>
      <c r="M16" s="10">
        <f t="shared" si="2"/>
        <v>0</v>
      </c>
      <c r="N16" s="10"/>
      <c r="O16" s="40">
        <f t="shared" si="3"/>
        <v>0</v>
      </c>
      <c r="P16" s="59">
        <f t="shared" si="4"/>
        <v>0</v>
      </c>
      <c r="Q16" s="10">
        <f t="shared" si="5"/>
        <v>0</v>
      </c>
      <c r="R16" s="115">
        <f>'Input Data'!$C$95/100/12</f>
        <v>0</v>
      </c>
      <c r="S16" s="105">
        <f t="shared" si="8"/>
        <v>0</v>
      </c>
      <c r="T16" s="143"/>
      <c r="U16" s="10"/>
      <c r="V16" s="200"/>
      <c r="W16" s="21"/>
      <c r="X16" s="21"/>
      <c r="Y16" s="22"/>
    </row>
    <row r="17" spans="2:26" x14ac:dyDescent="0.25">
      <c r="B17" s="196"/>
      <c r="C17" s="61" t="s">
        <v>164</v>
      </c>
      <c r="E17" s="167">
        <f>ROUND(-E13/D15,4)</f>
        <v>-7.0000000000000001E-3</v>
      </c>
      <c r="G17" s="100" t="s">
        <v>11</v>
      </c>
      <c r="H17" s="113">
        <f>'Input Data'!J33</f>
        <v>0</v>
      </c>
      <c r="I17" s="169">
        <f>I16</f>
        <v>-7.0000000000000001E-3</v>
      </c>
      <c r="J17" s="57">
        <f t="shared" si="0"/>
        <v>0</v>
      </c>
      <c r="K17" s="112">
        <f>'Input Data'!Z16</f>
        <v>0</v>
      </c>
      <c r="L17" s="10">
        <f t="shared" si="1"/>
        <v>0</v>
      </c>
      <c r="M17" s="10">
        <f t="shared" si="2"/>
        <v>0</v>
      </c>
      <c r="N17" s="10"/>
      <c r="O17" s="40">
        <f t="shared" si="3"/>
        <v>0</v>
      </c>
      <c r="P17" s="59">
        <f t="shared" si="4"/>
        <v>0</v>
      </c>
      <c r="Q17" s="10">
        <f t="shared" si="5"/>
        <v>0</v>
      </c>
      <c r="R17" s="115">
        <f>'Input Data'!$C$95/100/12</f>
        <v>0</v>
      </c>
      <c r="S17" s="105">
        <f t="shared" si="8"/>
        <v>0</v>
      </c>
      <c r="T17" s="143"/>
      <c r="U17" s="10"/>
    </row>
    <row r="18" spans="2:26" ht="15.75" thickBot="1" x14ac:dyDescent="0.3">
      <c r="B18" s="197"/>
      <c r="G18" s="118" t="s">
        <v>14</v>
      </c>
      <c r="H18" s="119">
        <f>SUM(H6:H17)</f>
        <v>0</v>
      </c>
      <c r="I18" s="120"/>
      <c r="J18" s="121">
        <f t="shared" ref="J18:P18" si="9">SUM(J6:J17)</f>
        <v>0</v>
      </c>
      <c r="K18" s="122">
        <f t="shared" si="9"/>
        <v>0</v>
      </c>
      <c r="L18" s="123">
        <f t="shared" si="9"/>
        <v>0</v>
      </c>
      <c r="M18" s="123">
        <f t="shared" si="9"/>
        <v>0</v>
      </c>
      <c r="N18" s="123">
        <f t="shared" si="9"/>
        <v>0</v>
      </c>
      <c r="O18" s="121">
        <f t="shared" si="9"/>
        <v>0</v>
      </c>
      <c r="P18" s="122">
        <f t="shared" si="9"/>
        <v>0</v>
      </c>
      <c r="Q18" s="124"/>
      <c r="R18" s="120"/>
      <c r="S18" s="123">
        <f>SUM(S6:S17)</f>
        <v>0</v>
      </c>
      <c r="T18" s="165"/>
      <c r="U18" s="11"/>
    </row>
    <row r="19" spans="2:26" x14ac:dyDescent="0.25">
      <c r="B19" s="195">
        <v>2025</v>
      </c>
      <c r="C19" s="136"/>
      <c r="D19" s="136"/>
      <c r="E19" s="136"/>
      <c r="F19" s="164"/>
      <c r="G19" s="100" t="s">
        <v>0</v>
      </c>
      <c r="H19" s="113">
        <f>'Input Data'!K22</f>
        <v>0</v>
      </c>
      <c r="I19" s="169">
        <f>I17</f>
        <v>-7.0000000000000001E-3</v>
      </c>
      <c r="J19" s="57">
        <f t="shared" ref="J19:J30" si="10">H19*I19</f>
        <v>0</v>
      </c>
      <c r="K19" s="112">
        <f>'Input Data'!AC5</f>
        <v>0</v>
      </c>
      <c r="L19" s="10">
        <f t="shared" ref="L19:L30" si="11">-K19/2</f>
        <v>0</v>
      </c>
      <c r="M19" s="10">
        <f t="shared" ref="M19:M30" si="12">-K19/2</f>
        <v>0</v>
      </c>
      <c r="N19" s="10"/>
      <c r="O19" s="40">
        <f t="shared" ref="O19:O30" si="13">M19+N19</f>
        <v>0</v>
      </c>
      <c r="P19" s="59">
        <f t="shared" ref="P19:P30" si="14">O19-J19</f>
        <v>0</v>
      </c>
      <c r="Q19" s="10">
        <f>P19</f>
        <v>0</v>
      </c>
      <c r="R19" s="115">
        <f>'Input Data'!$C$96/100/12</f>
        <v>0</v>
      </c>
      <c r="S19" s="105"/>
      <c r="T19" s="143">
        <f>$P$18*R19</f>
        <v>0</v>
      </c>
      <c r="U19" s="10"/>
    </row>
    <row r="20" spans="2:26" x14ac:dyDescent="0.25">
      <c r="B20" s="196"/>
      <c r="C20" s="100" t="s">
        <v>86</v>
      </c>
      <c r="D20" s="117">
        <f>'Input Data'!U55</f>
        <v>38285611.944166668</v>
      </c>
      <c r="F20" s="162" t="s">
        <v>133</v>
      </c>
      <c r="G20" s="100" t="s">
        <v>1</v>
      </c>
      <c r="H20" s="113">
        <f>'Input Data'!K23</f>
        <v>0</v>
      </c>
      <c r="I20" s="169">
        <f>I19</f>
        <v>-7.0000000000000001E-3</v>
      </c>
      <c r="J20" s="57">
        <f t="shared" si="10"/>
        <v>0</v>
      </c>
      <c r="K20" s="112">
        <f>'Input Data'!AC6</f>
        <v>0</v>
      </c>
      <c r="L20" s="10">
        <f t="shared" si="11"/>
        <v>0</v>
      </c>
      <c r="M20" s="10">
        <f t="shared" si="12"/>
        <v>0</v>
      </c>
      <c r="N20" s="10"/>
      <c r="O20" s="40">
        <f>M20+N20</f>
        <v>0</v>
      </c>
      <c r="P20" s="59">
        <f t="shared" si="14"/>
        <v>0</v>
      </c>
      <c r="Q20" s="10">
        <f t="shared" ref="Q20:Q30" si="15">P20+Q19</f>
        <v>0</v>
      </c>
      <c r="R20" s="115">
        <f>'Input Data'!$C$96/100/12</f>
        <v>0</v>
      </c>
      <c r="S20" s="105">
        <f>Q19*R20</f>
        <v>0</v>
      </c>
      <c r="T20" s="143">
        <f t="shared" ref="T20:T30" si="16">$P$18*R20</f>
        <v>0</v>
      </c>
      <c r="U20" s="10"/>
      <c r="V20" s="198" t="s">
        <v>99</v>
      </c>
      <c r="W20" s="16"/>
      <c r="X20" s="16"/>
      <c r="Y20" s="17"/>
    </row>
    <row r="21" spans="2:26" x14ac:dyDescent="0.25">
      <c r="B21" s="196"/>
      <c r="C21" s="100" t="s">
        <v>113</v>
      </c>
      <c r="D21" s="116">
        <f>'Input Data'!C65/1000</f>
        <v>0</v>
      </c>
      <c r="F21" s="162" t="s">
        <v>94</v>
      </c>
      <c r="G21" s="100" t="s">
        <v>2</v>
      </c>
      <c r="H21" s="113">
        <f>'Input Data'!K24</f>
        <v>0</v>
      </c>
      <c r="I21" s="169">
        <f>I20</f>
        <v>-7.0000000000000001E-3</v>
      </c>
      <c r="J21" s="57">
        <f t="shared" si="10"/>
        <v>0</v>
      </c>
      <c r="K21" s="112">
        <f>'Input Data'!AC7</f>
        <v>0</v>
      </c>
      <c r="L21" s="10">
        <f t="shared" si="11"/>
        <v>0</v>
      </c>
      <c r="M21" s="10">
        <f t="shared" si="12"/>
        <v>0</v>
      </c>
      <c r="N21" s="10"/>
      <c r="O21" s="40">
        <f t="shared" si="13"/>
        <v>0</v>
      </c>
      <c r="P21" s="59">
        <f>O21-J21</f>
        <v>0</v>
      </c>
      <c r="Q21" s="10">
        <f t="shared" si="15"/>
        <v>0</v>
      </c>
      <c r="R21" s="115">
        <f>'Input Data'!$C$96/100/12</f>
        <v>0</v>
      </c>
      <c r="S21" s="105">
        <f t="shared" ref="S21:S30" si="17">Q20*R21</f>
        <v>0</v>
      </c>
      <c r="T21" s="143">
        <f t="shared" si="16"/>
        <v>0</v>
      </c>
      <c r="U21" s="10"/>
      <c r="V21" s="199"/>
      <c r="W21" t="s">
        <v>15</v>
      </c>
      <c r="Y21" s="40">
        <f>K31</f>
        <v>0</v>
      </c>
      <c r="Z21" t="s">
        <v>110</v>
      </c>
    </row>
    <row r="22" spans="2:26" x14ac:dyDescent="0.25">
      <c r="B22" s="196"/>
      <c r="C22" s="100" t="s">
        <v>129</v>
      </c>
      <c r="D22" s="4">
        <f>D20*D21</f>
        <v>0</v>
      </c>
      <c r="G22" s="100" t="s">
        <v>3</v>
      </c>
      <c r="H22" s="113">
        <f>'Input Data'!K25</f>
        <v>0</v>
      </c>
      <c r="I22" s="169">
        <f>I21</f>
        <v>-7.0000000000000001E-3</v>
      </c>
      <c r="J22" s="57">
        <f t="shared" si="10"/>
        <v>0</v>
      </c>
      <c r="K22" s="112">
        <f>'Input Data'!AC8</f>
        <v>0</v>
      </c>
      <c r="L22" s="10">
        <f t="shared" si="11"/>
        <v>0</v>
      </c>
      <c r="M22" s="10">
        <f t="shared" si="12"/>
        <v>0</v>
      </c>
      <c r="N22" s="10"/>
      <c r="O22" s="40">
        <f t="shared" si="13"/>
        <v>0</v>
      </c>
      <c r="P22" s="59">
        <f t="shared" si="14"/>
        <v>0</v>
      </c>
      <c r="Q22" s="10">
        <f t="shared" si="15"/>
        <v>0</v>
      </c>
      <c r="R22" s="115">
        <f>'Input Data'!$C$97/100/12</f>
        <v>0</v>
      </c>
      <c r="S22" s="105">
        <f t="shared" si="17"/>
        <v>0</v>
      </c>
      <c r="T22" s="143">
        <f t="shared" si="16"/>
        <v>0</v>
      </c>
      <c r="U22" s="10"/>
      <c r="V22" s="199"/>
      <c r="W22" t="s">
        <v>98</v>
      </c>
      <c r="Y22" s="40">
        <f>L31</f>
        <v>0</v>
      </c>
      <c r="Z22" t="s">
        <v>32</v>
      </c>
    </row>
    <row r="23" spans="2:26" x14ac:dyDescent="0.25">
      <c r="B23" s="196"/>
      <c r="C23" s="100" t="s">
        <v>130</v>
      </c>
      <c r="E23" s="4">
        <f>D22/2</f>
        <v>0</v>
      </c>
      <c r="F23" s="162" t="s">
        <v>143</v>
      </c>
      <c r="G23" s="100" t="s">
        <v>4</v>
      </c>
      <c r="H23" s="113">
        <f>'Input Data'!K26</f>
        <v>0</v>
      </c>
      <c r="I23" s="169">
        <f>E30</f>
        <v>0</v>
      </c>
      <c r="J23" s="57">
        <f t="shared" si="10"/>
        <v>0</v>
      </c>
      <c r="K23" s="112">
        <f>'Input Data'!AC9</f>
        <v>0</v>
      </c>
      <c r="L23" s="10">
        <f t="shared" si="11"/>
        <v>0</v>
      </c>
      <c r="M23" s="10">
        <f t="shared" si="12"/>
        <v>0</v>
      </c>
      <c r="N23" s="10">
        <f>($E$26)/12</f>
        <v>36434.119239437503</v>
      </c>
      <c r="O23" s="40">
        <f t="shared" si="13"/>
        <v>36434.119239437503</v>
      </c>
      <c r="P23" s="59">
        <f>O23-J23</f>
        <v>36434.119239437503</v>
      </c>
      <c r="Q23" s="10">
        <f t="shared" si="15"/>
        <v>36434.119239437503</v>
      </c>
      <c r="R23" s="115">
        <f>'Input Data'!$C$97/100/12</f>
        <v>0</v>
      </c>
      <c r="S23" s="105">
        <f t="shared" si="17"/>
        <v>0</v>
      </c>
      <c r="T23" s="143">
        <f t="shared" si="16"/>
        <v>0</v>
      </c>
      <c r="U23" s="10"/>
      <c r="V23" s="199"/>
      <c r="W23" t="s">
        <v>70</v>
      </c>
      <c r="X23" s="10">
        <f>M31</f>
        <v>0</v>
      </c>
      <c r="Y23" s="19"/>
      <c r="Z23" t="s">
        <v>111</v>
      </c>
    </row>
    <row r="24" spans="2:26" x14ac:dyDescent="0.25">
      <c r="B24" s="196"/>
      <c r="C24" s="100" t="s">
        <v>115</v>
      </c>
      <c r="E24" s="4"/>
      <c r="F24" s="162" t="s">
        <v>145</v>
      </c>
      <c r="G24" s="100" t="s">
        <v>5</v>
      </c>
      <c r="H24" s="113">
        <f>'Input Data'!K27</f>
        <v>0</v>
      </c>
      <c r="I24" s="169">
        <f>I23</f>
        <v>0</v>
      </c>
      <c r="J24" s="57">
        <f t="shared" si="10"/>
        <v>0</v>
      </c>
      <c r="K24" s="112">
        <f>'Input Data'!AC10</f>
        <v>0</v>
      </c>
      <c r="L24" s="10">
        <f t="shared" si="11"/>
        <v>0</v>
      </c>
      <c r="M24" s="10">
        <f t="shared" si="12"/>
        <v>0</v>
      </c>
      <c r="N24" s="10">
        <f>($E$26)/12</f>
        <v>36434.119239437503</v>
      </c>
      <c r="O24" s="40">
        <f t="shared" si="13"/>
        <v>36434.119239437503</v>
      </c>
      <c r="P24" s="59">
        <f t="shared" si="14"/>
        <v>36434.119239437503</v>
      </c>
      <c r="Q24" s="10">
        <f t="shared" si="15"/>
        <v>72868.238478875006</v>
      </c>
      <c r="R24" s="115">
        <f>'Input Data'!$C$97/100/12</f>
        <v>0</v>
      </c>
      <c r="S24" s="105">
        <f t="shared" si="17"/>
        <v>0</v>
      </c>
      <c r="T24" s="143">
        <f t="shared" si="16"/>
        <v>0</v>
      </c>
      <c r="U24" s="10"/>
      <c r="V24" s="199"/>
      <c r="W24" t="s">
        <v>71</v>
      </c>
      <c r="X24" s="36">
        <f>N31</f>
        <v>291472.95391550002</v>
      </c>
      <c r="Y24" s="19"/>
      <c r="Z24" t="s">
        <v>175</v>
      </c>
    </row>
    <row r="25" spans="2:26" x14ac:dyDescent="0.25">
      <c r="B25" s="196"/>
      <c r="C25" s="100" t="s">
        <v>116</v>
      </c>
      <c r="E25" s="4"/>
      <c r="F25" s="162" t="str">
        <f>F24</f>
        <v>(No variance in this year)</v>
      </c>
      <c r="G25" s="100" t="s">
        <v>6</v>
      </c>
      <c r="H25" s="113">
        <f>'Input Data'!K28</f>
        <v>0</v>
      </c>
      <c r="I25" s="169">
        <f t="shared" ref="I25:I30" si="18">I24</f>
        <v>0</v>
      </c>
      <c r="J25" s="57">
        <f t="shared" si="10"/>
        <v>0</v>
      </c>
      <c r="K25" s="112">
        <f>'Input Data'!AC11</f>
        <v>0</v>
      </c>
      <c r="L25" s="10">
        <f t="shared" si="11"/>
        <v>0</v>
      </c>
      <c r="M25" s="10">
        <f t="shared" si="12"/>
        <v>0</v>
      </c>
      <c r="N25" s="10">
        <f t="shared" ref="N25:N37" si="19">($E$26)/12</f>
        <v>36434.119239437503</v>
      </c>
      <c r="O25" s="40">
        <f t="shared" si="13"/>
        <v>36434.119239437503</v>
      </c>
      <c r="P25" s="59">
        <f t="shared" si="14"/>
        <v>36434.119239437503</v>
      </c>
      <c r="Q25" s="10">
        <f t="shared" si="15"/>
        <v>109302.3577183125</v>
      </c>
      <c r="R25" s="115">
        <f>'Input Data'!$C$98/100/12</f>
        <v>0</v>
      </c>
      <c r="S25" s="105">
        <f t="shared" si="17"/>
        <v>0</v>
      </c>
      <c r="T25" s="143">
        <f t="shared" si="16"/>
        <v>0</v>
      </c>
      <c r="U25" s="10"/>
      <c r="V25" s="199"/>
      <c r="W25" t="s">
        <v>33</v>
      </c>
      <c r="Y25" s="40">
        <f>X24+X23</f>
        <v>291472.95391550002</v>
      </c>
      <c r="Z25" t="s">
        <v>112</v>
      </c>
    </row>
    <row r="26" spans="2:26" x14ac:dyDescent="0.25">
      <c r="B26" s="196"/>
      <c r="C26" s="141" t="s">
        <v>126</v>
      </c>
      <c r="E26" s="4">
        <f>-'2023-24 Overcollection'!P9-'2023-24 Overcollection'!P10</f>
        <v>437209.43087325001</v>
      </c>
      <c r="F26" s="162" t="s">
        <v>146</v>
      </c>
      <c r="G26" s="100" t="s">
        <v>7</v>
      </c>
      <c r="H26" s="113">
        <f>'Input Data'!K29</f>
        <v>0</v>
      </c>
      <c r="I26" s="169">
        <f t="shared" si="18"/>
        <v>0</v>
      </c>
      <c r="J26" s="57">
        <f t="shared" si="10"/>
        <v>0</v>
      </c>
      <c r="K26" s="112">
        <f>'Input Data'!AC12</f>
        <v>0</v>
      </c>
      <c r="L26" s="10">
        <f t="shared" si="11"/>
        <v>0</v>
      </c>
      <c r="M26" s="10">
        <f t="shared" si="12"/>
        <v>0</v>
      </c>
      <c r="N26" s="10">
        <f t="shared" si="19"/>
        <v>36434.119239437503</v>
      </c>
      <c r="O26" s="40">
        <f t="shared" si="13"/>
        <v>36434.119239437503</v>
      </c>
      <c r="P26" s="59">
        <f t="shared" si="14"/>
        <v>36434.119239437503</v>
      </c>
      <c r="Q26" s="10">
        <f t="shared" si="15"/>
        <v>145736.47695775001</v>
      </c>
      <c r="R26" s="115">
        <f>'Input Data'!$C$98/100/12</f>
        <v>0</v>
      </c>
      <c r="S26" s="105">
        <f>Q25*R26</f>
        <v>0</v>
      </c>
      <c r="T26" s="143">
        <f t="shared" si="16"/>
        <v>0</v>
      </c>
      <c r="U26" s="10"/>
      <c r="V26" s="199"/>
      <c r="W26" t="s">
        <v>34</v>
      </c>
      <c r="Y26" s="65">
        <f>J31</f>
        <v>0</v>
      </c>
      <c r="Z26" t="s">
        <v>162</v>
      </c>
    </row>
    <row r="27" spans="2:26" x14ac:dyDescent="0.25">
      <c r="B27" s="196"/>
      <c r="C27" s="61" t="s">
        <v>161</v>
      </c>
      <c r="E27" s="24">
        <f>SUM(E23:E26)</f>
        <v>437209.43087325001</v>
      </c>
      <c r="G27" s="100" t="s">
        <v>8</v>
      </c>
      <c r="H27" s="113">
        <f>'Input Data'!K30</f>
        <v>0</v>
      </c>
      <c r="I27" s="169">
        <f t="shared" si="18"/>
        <v>0</v>
      </c>
      <c r="J27" s="57">
        <f t="shared" si="10"/>
        <v>0</v>
      </c>
      <c r="K27" s="112">
        <f>'Input Data'!AC13</f>
        <v>0</v>
      </c>
      <c r="L27" s="10">
        <f t="shared" si="11"/>
        <v>0</v>
      </c>
      <c r="M27" s="10">
        <f t="shared" si="12"/>
        <v>0</v>
      </c>
      <c r="N27" s="10">
        <f t="shared" si="19"/>
        <v>36434.119239437503</v>
      </c>
      <c r="O27" s="40">
        <f t="shared" si="13"/>
        <v>36434.119239437503</v>
      </c>
      <c r="P27" s="59">
        <f t="shared" si="14"/>
        <v>36434.119239437503</v>
      </c>
      <c r="Q27" s="10">
        <f t="shared" si="15"/>
        <v>182170.59619718752</v>
      </c>
      <c r="R27" s="115">
        <f>'Input Data'!$C$98/100/12</f>
        <v>0</v>
      </c>
      <c r="S27" s="105">
        <f t="shared" si="17"/>
        <v>0</v>
      </c>
      <c r="T27" s="143">
        <f t="shared" si="16"/>
        <v>0</v>
      </c>
      <c r="U27" s="10"/>
      <c r="V27" s="199"/>
      <c r="W27" t="s">
        <v>18</v>
      </c>
      <c r="Y27" s="78">
        <f>Y25-Y26</f>
        <v>291472.95391550002</v>
      </c>
      <c r="Z27" t="s">
        <v>209</v>
      </c>
    </row>
    <row r="28" spans="2:26" x14ac:dyDescent="0.25">
      <c r="B28" s="196"/>
      <c r="C28" s="18"/>
      <c r="G28" s="100" t="s">
        <v>9</v>
      </c>
      <c r="H28" s="113">
        <f>'Input Data'!K31</f>
        <v>0</v>
      </c>
      <c r="I28" s="169">
        <f t="shared" si="18"/>
        <v>0</v>
      </c>
      <c r="J28" s="57">
        <f t="shared" si="10"/>
        <v>0</v>
      </c>
      <c r="K28" s="112">
        <f>'Input Data'!AC14</f>
        <v>0</v>
      </c>
      <c r="L28" s="10">
        <f t="shared" si="11"/>
        <v>0</v>
      </c>
      <c r="M28" s="10">
        <f t="shared" si="12"/>
        <v>0</v>
      </c>
      <c r="N28" s="10">
        <f t="shared" si="19"/>
        <v>36434.119239437503</v>
      </c>
      <c r="O28" s="40">
        <f t="shared" si="13"/>
        <v>36434.119239437503</v>
      </c>
      <c r="P28" s="59">
        <f t="shared" si="14"/>
        <v>36434.119239437503</v>
      </c>
      <c r="Q28" s="10">
        <f t="shared" si="15"/>
        <v>218604.71543662503</v>
      </c>
      <c r="R28" s="115">
        <f>'Input Data'!$C$99/100/12</f>
        <v>0</v>
      </c>
      <c r="S28" s="105">
        <f t="shared" si="17"/>
        <v>0</v>
      </c>
      <c r="T28" s="143">
        <f t="shared" si="16"/>
        <v>0</v>
      </c>
      <c r="U28" s="10"/>
      <c r="V28" s="199"/>
      <c r="W28" t="s">
        <v>35</v>
      </c>
      <c r="Y28" s="40">
        <f>S31+T44</f>
        <v>0</v>
      </c>
      <c r="Z28" t="s">
        <v>210</v>
      </c>
    </row>
    <row r="29" spans="2:26" x14ac:dyDescent="0.25">
      <c r="B29" s="196"/>
      <c r="C29" s="18" t="s">
        <v>114</v>
      </c>
      <c r="D29" s="117">
        <f>'Input Data'!I38</f>
        <v>0</v>
      </c>
      <c r="F29" s="162" t="s">
        <v>95</v>
      </c>
      <c r="G29" s="100" t="s">
        <v>10</v>
      </c>
      <c r="H29" s="113">
        <f>'Input Data'!K32</f>
        <v>0</v>
      </c>
      <c r="I29" s="169">
        <f t="shared" si="18"/>
        <v>0</v>
      </c>
      <c r="J29" s="57">
        <f t="shared" si="10"/>
        <v>0</v>
      </c>
      <c r="K29" s="112">
        <f>'Input Data'!AC15</f>
        <v>0</v>
      </c>
      <c r="L29" s="10">
        <f t="shared" si="11"/>
        <v>0</v>
      </c>
      <c r="M29" s="10">
        <f t="shared" si="12"/>
        <v>0</v>
      </c>
      <c r="N29" s="10">
        <f t="shared" si="19"/>
        <v>36434.119239437503</v>
      </c>
      <c r="O29" s="40">
        <f t="shared" si="13"/>
        <v>36434.119239437503</v>
      </c>
      <c r="P29" s="59">
        <f t="shared" si="14"/>
        <v>36434.119239437503</v>
      </c>
      <c r="Q29" s="10">
        <f t="shared" si="15"/>
        <v>255038.83467606254</v>
      </c>
      <c r="R29" s="115">
        <f>'Input Data'!$C$99/100/12</f>
        <v>0</v>
      </c>
      <c r="S29" s="105">
        <f t="shared" si="17"/>
        <v>0</v>
      </c>
      <c r="T29" s="143">
        <f t="shared" si="16"/>
        <v>0</v>
      </c>
      <c r="U29" s="10"/>
      <c r="V29" s="200"/>
      <c r="W29" s="21"/>
      <c r="X29" s="21"/>
      <c r="Y29" s="22"/>
    </row>
    <row r="30" spans="2:26" x14ac:dyDescent="0.25">
      <c r="B30" s="196"/>
      <c r="C30" s="61" t="s">
        <v>165</v>
      </c>
      <c r="E30" s="23">
        <f>IFERROR(ROUND(-E27/D29,4),0)</f>
        <v>0</v>
      </c>
      <c r="G30" s="100" t="s">
        <v>11</v>
      </c>
      <c r="H30" s="113">
        <f>'Input Data'!K33</f>
        <v>0</v>
      </c>
      <c r="I30" s="169">
        <f t="shared" si="18"/>
        <v>0</v>
      </c>
      <c r="J30" s="57">
        <f t="shared" si="10"/>
        <v>0</v>
      </c>
      <c r="K30" s="112">
        <f>'Input Data'!AC16</f>
        <v>0</v>
      </c>
      <c r="L30" s="10">
        <f t="shared" si="11"/>
        <v>0</v>
      </c>
      <c r="M30" s="10">
        <f t="shared" si="12"/>
        <v>0</v>
      </c>
      <c r="N30" s="10">
        <f t="shared" si="19"/>
        <v>36434.119239437503</v>
      </c>
      <c r="O30" s="40">
        <f t="shared" si="13"/>
        <v>36434.119239437503</v>
      </c>
      <c r="P30" s="59">
        <f t="shared" si="14"/>
        <v>36434.119239437503</v>
      </c>
      <c r="Q30" s="10">
        <f t="shared" si="15"/>
        <v>291472.95391550002</v>
      </c>
      <c r="R30" s="115">
        <f>'Input Data'!$C$99/100/12</f>
        <v>0</v>
      </c>
      <c r="S30" s="105">
        <f t="shared" si="17"/>
        <v>0</v>
      </c>
      <c r="T30" s="143">
        <f t="shared" si="16"/>
        <v>0</v>
      </c>
      <c r="U30" s="10"/>
    </row>
    <row r="31" spans="2:26" ht="15.75" thickBot="1" x14ac:dyDescent="0.3">
      <c r="B31" s="197"/>
      <c r="C31" s="137"/>
      <c r="D31" s="137"/>
      <c r="E31" s="137"/>
      <c r="F31" s="163"/>
      <c r="G31" s="118" t="s">
        <v>14</v>
      </c>
      <c r="H31" s="119">
        <f>SUM(H19:H30)</f>
        <v>0</v>
      </c>
      <c r="I31" s="120"/>
      <c r="J31" s="121">
        <f t="shared" ref="J31:P31" si="20">SUM(J19:J30)</f>
        <v>0</v>
      </c>
      <c r="K31" s="122">
        <f t="shared" si="20"/>
        <v>0</v>
      </c>
      <c r="L31" s="123">
        <f t="shared" si="20"/>
        <v>0</v>
      </c>
      <c r="M31" s="123">
        <f t="shared" si="20"/>
        <v>0</v>
      </c>
      <c r="N31" s="123">
        <f t="shared" si="20"/>
        <v>291472.95391550002</v>
      </c>
      <c r="O31" s="121">
        <f t="shared" si="20"/>
        <v>291472.95391550002</v>
      </c>
      <c r="P31" s="122">
        <f>SUM(P19:P30)</f>
        <v>291472.95391550002</v>
      </c>
      <c r="Q31" s="124"/>
      <c r="R31" s="120"/>
      <c r="S31" s="123">
        <f>SUM(S19:S30)</f>
        <v>0</v>
      </c>
      <c r="T31" s="165">
        <f>SUM(T19:T30)</f>
        <v>0</v>
      </c>
      <c r="U31" s="11"/>
    </row>
    <row r="32" spans="2:26" x14ac:dyDescent="0.25">
      <c r="B32" s="195">
        <v>2026</v>
      </c>
      <c r="C32" s="136"/>
      <c r="D32" s="136"/>
      <c r="E32" s="136"/>
      <c r="F32" s="164"/>
      <c r="G32" s="100" t="s">
        <v>0</v>
      </c>
      <c r="H32" s="113">
        <f>'Input Data'!L22</f>
        <v>0</v>
      </c>
      <c r="I32" s="169">
        <f>I30</f>
        <v>0</v>
      </c>
      <c r="J32" s="57">
        <f t="shared" ref="J32:J43" si="21">H32*I32</f>
        <v>0</v>
      </c>
      <c r="K32" s="112">
        <f>'Input Data'!AF5</f>
        <v>0</v>
      </c>
      <c r="L32" s="10">
        <f t="shared" ref="L32:L56" si="22">-K32/2</f>
        <v>0</v>
      </c>
      <c r="M32" s="10">
        <f t="shared" ref="M32:M43" si="23">-K32/2</f>
        <v>0</v>
      </c>
      <c r="N32" s="10">
        <f>($E$26)/12</f>
        <v>36434.119239437503</v>
      </c>
      <c r="O32" s="40">
        <f t="shared" ref="O32:O43" si="24">M32+N32</f>
        <v>36434.119239437503</v>
      </c>
      <c r="P32" s="59">
        <f t="shared" ref="P32:P43" si="25">O32-J32</f>
        <v>36434.119239437503</v>
      </c>
      <c r="Q32" s="10">
        <f>P32</f>
        <v>36434.119239437503</v>
      </c>
      <c r="R32" s="115">
        <f>'Input Data'!$C$100/100/12</f>
        <v>0</v>
      </c>
      <c r="S32" s="105"/>
      <c r="T32" s="143">
        <f>$P$31*R32</f>
        <v>0</v>
      </c>
      <c r="U32" s="10"/>
    </row>
    <row r="33" spans="2:26" x14ac:dyDescent="0.25">
      <c r="B33" s="196"/>
      <c r="C33" s="100" t="s">
        <v>86</v>
      </c>
      <c r="D33" s="117">
        <f>'Input Data'!V55</f>
        <v>37480588.703333333</v>
      </c>
      <c r="F33" s="162" t="s">
        <v>134</v>
      </c>
      <c r="G33" s="100" t="s">
        <v>1</v>
      </c>
      <c r="H33" s="113">
        <f>'Input Data'!L23</f>
        <v>0</v>
      </c>
      <c r="I33" s="169">
        <f>I32</f>
        <v>0</v>
      </c>
      <c r="J33" s="57">
        <f t="shared" si="21"/>
        <v>0</v>
      </c>
      <c r="K33" s="112">
        <f>'Input Data'!AF6</f>
        <v>0</v>
      </c>
      <c r="L33" s="10">
        <f t="shared" si="22"/>
        <v>0</v>
      </c>
      <c r="M33" s="10">
        <f t="shared" si="23"/>
        <v>0</v>
      </c>
      <c r="N33" s="10">
        <f t="shared" si="19"/>
        <v>36434.119239437503</v>
      </c>
      <c r="O33" s="40">
        <f t="shared" si="24"/>
        <v>36434.119239437503</v>
      </c>
      <c r="P33" s="59">
        <f t="shared" si="25"/>
        <v>36434.119239437503</v>
      </c>
      <c r="Q33" s="10">
        <f t="shared" ref="Q33:Q43" si="26">P33+Q32</f>
        <v>72868.238478875006</v>
      </c>
      <c r="R33" s="115">
        <f>'Input Data'!$C$100/100/12</f>
        <v>0</v>
      </c>
      <c r="S33" s="105">
        <f>Q32*R33</f>
        <v>0</v>
      </c>
      <c r="T33" s="143">
        <f t="shared" ref="T33:T43" si="27">$P$31*R33</f>
        <v>0</v>
      </c>
      <c r="U33" s="10"/>
      <c r="V33" s="198" t="s">
        <v>99</v>
      </c>
      <c r="W33" s="16"/>
      <c r="X33" s="16"/>
      <c r="Y33" s="17"/>
    </row>
    <row r="34" spans="2:26" x14ac:dyDescent="0.25">
      <c r="B34" s="196"/>
      <c r="C34" s="100" t="s">
        <v>113</v>
      </c>
      <c r="D34" s="116">
        <f>'Input Data'!C66/1000</f>
        <v>0</v>
      </c>
      <c r="F34" s="162" t="s">
        <v>94</v>
      </c>
      <c r="G34" s="100" t="s">
        <v>2</v>
      </c>
      <c r="H34" s="113">
        <f>'Input Data'!L24</f>
        <v>0</v>
      </c>
      <c r="I34" s="169">
        <f>I33</f>
        <v>0</v>
      </c>
      <c r="J34" s="57">
        <f t="shared" si="21"/>
        <v>0</v>
      </c>
      <c r="K34" s="112">
        <f>'Input Data'!AF7</f>
        <v>0</v>
      </c>
      <c r="L34" s="10">
        <f t="shared" si="22"/>
        <v>0</v>
      </c>
      <c r="M34" s="10">
        <f t="shared" si="23"/>
        <v>0</v>
      </c>
      <c r="N34" s="10">
        <f t="shared" si="19"/>
        <v>36434.119239437503</v>
      </c>
      <c r="O34" s="40">
        <f t="shared" si="24"/>
        <v>36434.119239437503</v>
      </c>
      <c r="P34" s="59">
        <f t="shared" si="25"/>
        <v>36434.119239437503</v>
      </c>
      <c r="Q34" s="10">
        <f t="shared" si="26"/>
        <v>109302.3577183125</v>
      </c>
      <c r="R34" s="115">
        <f>'Input Data'!$C$100/100/12</f>
        <v>0</v>
      </c>
      <c r="S34" s="105">
        <f t="shared" ref="S34:S43" si="28">Q33*R34</f>
        <v>0</v>
      </c>
      <c r="T34" s="143">
        <f t="shared" si="27"/>
        <v>0</v>
      </c>
      <c r="U34" s="10"/>
      <c r="V34" s="199"/>
      <c r="W34" t="s">
        <v>15</v>
      </c>
      <c r="Y34" s="40">
        <f>K44</f>
        <v>0</v>
      </c>
      <c r="Z34" t="s">
        <v>110</v>
      </c>
    </row>
    <row r="35" spans="2:26" x14ac:dyDescent="0.25">
      <c r="B35" s="196"/>
      <c r="C35" s="100" t="s">
        <v>129</v>
      </c>
      <c r="D35" s="4">
        <f>D33*D34</f>
        <v>0</v>
      </c>
      <c r="G35" s="100" t="s">
        <v>3</v>
      </c>
      <c r="H35" s="113">
        <f>'Input Data'!L25</f>
        <v>0</v>
      </c>
      <c r="I35" s="169">
        <f>I34</f>
        <v>0</v>
      </c>
      <c r="J35" s="57">
        <f t="shared" si="21"/>
        <v>0</v>
      </c>
      <c r="K35" s="112">
        <f>'Input Data'!AF8</f>
        <v>0</v>
      </c>
      <c r="L35" s="10">
        <f t="shared" si="22"/>
        <v>0</v>
      </c>
      <c r="M35" s="10">
        <f t="shared" si="23"/>
        <v>0</v>
      </c>
      <c r="N35" s="10">
        <f t="shared" si="19"/>
        <v>36434.119239437503</v>
      </c>
      <c r="O35" s="40">
        <f t="shared" si="24"/>
        <v>36434.119239437503</v>
      </c>
      <c r="P35" s="59">
        <f t="shared" si="25"/>
        <v>36434.119239437503</v>
      </c>
      <c r="Q35" s="10">
        <f t="shared" si="26"/>
        <v>145736.47695775001</v>
      </c>
      <c r="R35" s="115">
        <f>'Input Data'!$C$101/100/12</f>
        <v>0</v>
      </c>
      <c r="S35" s="105">
        <f t="shared" si="28"/>
        <v>0</v>
      </c>
      <c r="T35" s="143">
        <f t="shared" si="27"/>
        <v>0</v>
      </c>
      <c r="U35" s="10"/>
      <c r="V35" s="199"/>
      <c r="W35" t="s">
        <v>98</v>
      </c>
      <c r="Y35" s="40">
        <f>L44</f>
        <v>0</v>
      </c>
      <c r="Z35" t="s">
        <v>32</v>
      </c>
    </row>
    <row r="36" spans="2:26" x14ac:dyDescent="0.25">
      <c r="B36" s="196"/>
      <c r="C36" s="100" t="s">
        <v>130</v>
      </c>
      <c r="E36" s="4">
        <f>D35/2</f>
        <v>0</v>
      </c>
      <c r="F36" s="162" t="s">
        <v>143</v>
      </c>
      <c r="G36" s="100" t="s">
        <v>4</v>
      </c>
      <c r="H36" s="113">
        <f>'Input Data'!L26</f>
        <v>0</v>
      </c>
      <c r="I36" s="169">
        <f>E43</f>
        <v>0</v>
      </c>
      <c r="J36" s="57">
        <f t="shared" si="21"/>
        <v>0</v>
      </c>
      <c r="K36" s="112">
        <f>'Input Data'!AF9</f>
        <v>0</v>
      </c>
      <c r="L36" s="10">
        <f t="shared" si="22"/>
        <v>0</v>
      </c>
      <c r="M36" s="10">
        <f t="shared" si="23"/>
        <v>0</v>
      </c>
      <c r="N36" s="10">
        <f>($E$37+$E$38+$E$39)/12</f>
        <v>0</v>
      </c>
      <c r="O36" s="40">
        <f t="shared" si="24"/>
        <v>0</v>
      </c>
      <c r="P36" s="59">
        <f t="shared" si="25"/>
        <v>0</v>
      </c>
      <c r="Q36" s="10">
        <f t="shared" si="26"/>
        <v>145736.47695775001</v>
      </c>
      <c r="R36" s="115">
        <f>'Input Data'!$C$101/100/12</f>
        <v>0</v>
      </c>
      <c r="S36" s="105">
        <f t="shared" si="28"/>
        <v>0</v>
      </c>
      <c r="T36" s="143">
        <f t="shared" si="27"/>
        <v>0</v>
      </c>
      <c r="U36" s="10"/>
      <c r="V36" s="199"/>
      <c r="W36" t="s">
        <v>70</v>
      </c>
      <c r="X36" s="10">
        <f>M44</f>
        <v>0</v>
      </c>
      <c r="Y36" s="19"/>
      <c r="Z36" t="s">
        <v>111</v>
      </c>
    </row>
    <row r="37" spans="2:26" x14ac:dyDescent="0.25">
      <c r="B37" s="196"/>
      <c r="C37" s="100" t="s">
        <v>115</v>
      </c>
      <c r="E37" s="4">
        <f>Y14</f>
        <v>0</v>
      </c>
      <c r="F37" s="162" t="s">
        <v>154</v>
      </c>
      <c r="G37" s="100" t="s">
        <v>5</v>
      </c>
      <c r="H37" s="113">
        <f>'Input Data'!L27</f>
        <v>0</v>
      </c>
      <c r="I37" s="169">
        <f>I36</f>
        <v>0</v>
      </c>
      <c r="J37" s="57">
        <f t="shared" si="21"/>
        <v>0</v>
      </c>
      <c r="K37" s="112">
        <f>'Input Data'!AF10</f>
        <v>0</v>
      </c>
      <c r="L37" s="10">
        <f t="shared" si="22"/>
        <v>0</v>
      </c>
      <c r="M37" s="10">
        <f t="shared" si="23"/>
        <v>0</v>
      </c>
      <c r="N37" s="10">
        <f t="shared" ref="N37:N49" si="29">($E$37+$E$38+$E$39)/12</f>
        <v>0</v>
      </c>
      <c r="O37" s="40">
        <f t="shared" si="24"/>
        <v>0</v>
      </c>
      <c r="P37" s="59">
        <f t="shared" si="25"/>
        <v>0</v>
      </c>
      <c r="Q37" s="10">
        <f t="shared" si="26"/>
        <v>145736.47695775001</v>
      </c>
      <c r="R37" s="115">
        <f>'Input Data'!$C$101/100/12</f>
        <v>0</v>
      </c>
      <c r="S37" s="105">
        <f t="shared" si="28"/>
        <v>0</v>
      </c>
      <c r="T37" s="143">
        <f t="shared" si="27"/>
        <v>0</v>
      </c>
      <c r="U37" s="10"/>
      <c r="V37" s="199"/>
      <c r="W37" t="s">
        <v>71</v>
      </c>
      <c r="X37" s="36">
        <f>N44</f>
        <v>145736.47695775001</v>
      </c>
      <c r="Y37" s="19"/>
      <c r="Z37" t="s">
        <v>175</v>
      </c>
    </row>
    <row r="38" spans="2:26" x14ac:dyDescent="0.25">
      <c r="B38" s="196"/>
      <c r="C38" s="100" t="s">
        <v>116</v>
      </c>
      <c r="E38" s="4">
        <f>Y15</f>
        <v>0</v>
      </c>
      <c r="F38" s="162" t="s">
        <v>155</v>
      </c>
      <c r="G38" s="100" t="s">
        <v>6</v>
      </c>
      <c r="H38" s="113">
        <f>'Input Data'!L28</f>
        <v>0</v>
      </c>
      <c r="I38" s="169">
        <f t="shared" ref="I38:I43" si="30">I37</f>
        <v>0</v>
      </c>
      <c r="J38" s="57">
        <f t="shared" si="21"/>
        <v>0</v>
      </c>
      <c r="K38" s="112">
        <f>'Input Data'!AF11</f>
        <v>0</v>
      </c>
      <c r="L38" s="10">
        <f t="shared" si="22"/>
        <v>0</v>
      </c>
      <c r="M38" s="10">
        <f t="shared" si="23"/>
        <v>0</v>
      </c>
      <c r="N38" s="10">
        <f t="shared" si="29"/>
        <v>0</v>
      </c>
      <c r="O38" s="40">
        <f t="shared" si="24"/>
        <v>0</v>
      </c>
      <c r="P38" s="59">
        <f t="shared" si="25"/>
        <v>0</v>
      </c>
      <c r="Q38" s="10">
        <f t="shared" si="26"/>
        <v>145736.47695775001</v>
      </c>
      <c r="R38" s="115">
        <f>'Input Data'!$C$102/100/12</f>
        <v>0</v>
      </c>
      <c r="S38" s="105">
        <f t="shared" si="28"/>
        <v>0</v>
      </c>
      <c r="T38" s="143">
        <f t="shared" si="27"/>
        <v>0</v>
      </c>
      <c r="U38" s="10"/>
      <c r="V38" s="199"/>
      <c r="W38" t="s">
        <v>33</v>
      </c>
      <c r="Y38" s="40">
        <f>X37+X36</f>
        <v>145736.47695775001</v>
      </c>
      <c r="Z38" t="s">
        <v>112</v>
      </c>
    </row>
    <row r="39" spans="2:26" x14ac:dyDescent="0.25">
      <c r="B39" s="196"/>
      <c r="C39" s="141" t="s">
        <v>127</v>
      </c>
      <c r="E39" s="4">
        <f>-'2023-24 Overcollection'!P22-'2023-24 Overcollection'!P23</f>
        <v>0</v>
      </c>
      <c r="F39" s="162" t="s">
        <v>147</v>
      </c>
      <c r="G39" s="100" t="s">
        <v>7</v>
      </c>
      <c r="H39" s="113">
        <f>'Input Data'!L29</f>
        <v>0</v>
      </c>
      <c r="I39" s="169">
        <f t="shared" si="30"/>
        <v>0</v>
      </c>
      <c r="J39" s="57">
        <f t="shared" si="21"/>
        <v>0</v>
      </c>
      <c r="K39" s="112">
        <f>'Input Data'!AF12</f>
        <v>0</v>
      </c>
      <c r="L39" s="10">
        <f t="shared" si="22"/>
        <v>0</v>
      </c>
      <c r="M39" s="10">
        <f t="shared" si="23"/>
        <v>0</v>
      </c>
      <c r="N39" s="10">
        <f t="shared" si="29"/>
        <v>0</v>
      </c>
      <c r="O39" s="40">
        <f t="shared" si="24"/>
        <v>0</v>
      </c>
      <c r="P39" s="59">
        <f t="shared" si="25"/>
        <v>0</v>
      </c>
      <c r="Q39" s="10">
        <f t="shared" si="26"/>
        <v>145736.47695775001</v>
      </c>
      <c r="R39" s="115">
        <f>'Input Data'!$C$102/100/12</f>
        <v>0</v>
      </c>
      <c r="S39" s="105">
        <f t="shared" si="28"/>
        <v>0</v>
      </c>
      <c r="T39" s="143">
        <f t="shared" si="27"/>
        <v>0</v>
      </c>
      <c r="U39" s="10"/>
      <c r="V39" s="199"/>
      <c r="W39" t="s">
        <v>34</v>
      </c>
      <c r="Y39" s="65">
        <f>J44</f>
        <v>0</v>
      </c>
      <c r="Z39" t="s">
        <v>162</v>
      </c>
    </row>
    <row r="40" spans="2:26" x14ac:dyDescent="0.25">
      <c r="B40" s="196"/>
      <c r="C40" s="61" t="s">
        <v>161</v>
      </c>
      <c r="E40" s="24">
        <f>SUM(E36:E39)</f>
        <v>0</v>
      </c>
      <c r="G40" s="100" t="s">
        <v>8</v>
      </c>
      <c r="H40" s="113">
        <f>'Input Data'!L30</f>
        <v>0</v>
      </c>
      <c r="I40" s="169">
        <f t="shared" si="30"/>
        <v>0</v>
      </c>
      <c r="J40" s="57">
        <f t="shared" si="21"/>
        <v>0</v>
      </c>
      <c r="K40" s="112">
        <f>'Input Data'!AF13</f>
        <v>0</v>
      </c>
      <c r="L40" s="10">
        <f t="shared" si="22"/>
        <v>0</v>
      </c>
      <c r="M40" s="10">
        <f t="shared" si="23"/>
        <v>0</v>
      </c>
      <c r="N40" s="10">
        <f t="shared" si="29"/>
        <v>0</v>
      </c>
      <c r="O40" s="40">
        <f t="shared" si="24"/>
        <v>0</v>
      </c>
      <c r="P40" s="59">
        <f t="shared" si="25"/>
        <v>0</v>
      </c>
      <c r="Q40" s="10">
        <f t="shared" si="26"/>
        <v>145736.47695775001</v>
      </c>
      <c r="R40" s="115">
        <f>'Input Data'!$C$102/100/12</f>
        <v>0</v>
      </c>
      <c r="S40" s="105">
        <f t="shared" si="28"/>
        <v>0</v>
      </c>
      <c r="T40" s="143">
        <f t="shared" si="27"/>
        <v>0</v>
      </c>
      <c r="U40" s="10"/>
      <c r="V40" s="199"/>
      <c r="W40" t="s">
        <v>18</v>
      </c>
      <c r="Y40" s="78">
        <f>Y38-Y39</f>
        <v>145736.47695775001</v>
      </c>
      <c r="Z40" t="s">
        <v>211</v>
      </c>
    </row>
    <row r="41" spans="2:26" x14ac:dyDescent="0.25">
      <c r="B41" s="196"/>
      <c r="C41" s="18"/>
      <c r="G41" s="100" t="s">
        <v>9</v>
      </c>
      <c r="H41" s="113">
        <f>'Input Data'!L31</f>
        <v>0</v>
      </c>
      <c r="I41" s="169">
        <f t="shared" si="30"/>
        <v>0</v>
      </c>
      <c r="J41" s="57">
        <f t="shared" si="21"/>
        <v>0</v>
      </c>
      <c r="K41" s="112">
        <f>'Input Data'!AF14</f>
        <v>0</v>
      </c>
      <c r="L41" s="10">
        <f t="shared" si="22"/>
        <v>0</v>
      </c>
      <c r="M41" s="10">
        <f t="shared" si="23"/>
        <v>0</v>
      </c>
      <c r="N41" s="10">
        <f t="shared" si="29"/>
        <v>0</v>
      </c>
      <c r="O41" s="40">
        <f t="shared" si="24"/>
        <v>0</v>
      </c>
      <c r="P41" s="59">
        <f t="shared" si="25"/>
        <v>0</v>
      </c>
      <c r="Q41" s="10">
        <f t="shared" si="26"/>
        <v>145736.47695775001</v>
      </c>
      <c r="R41" s="115">
        <f>'Input Data'!$C$103/100/12</f>
        <v>0</v>
      </c>
      <c r="S41" s="105">
        <f t="shared" si="28"/>
        <v>0</v>
      </c>
      <c r="T41" s="143">
        <f t="shared" si="27"/>
        <v>0</v>
      </c>
      <c r="U41" s="10"/>
      <c r="V41" s="199"/>
      <c r="W41" t="s">
        <v>35</v>
      </c>
      <c r="Y41" s="40">
        <f>S44+T57</f>
        <v>0</v>
      </c>
      <c r="Z41" t="s">
        <v>212</v>
      </c>
    </row>
    <row r="42" spans="2:26" x14ac:dyDescent="0.25">
      <c r="B42" s="196"/>
      <c r="C42" s="18" t="s">
        <v>114</v>
      </c>
      <c r="D42" s="117">
        <f>'Input Data'!J38</f>
        <v>0</v>
      </c>
      <c r="F42" s="162" t="s">
        <v>222</v>
      </c>
      <c r="G42" s="100" t="s">
        <v>10</v>
      </c>
      <c r="H42" s="113">
        <f>'Input Data'!L32</f>
        <v>0</v>
      </c>
      <c r="I42" s="169">
        <f t="shared" si="30"/>
        <v>0</v>
      </c>
      <c r="J42" s="57">
        <f t="shared" si="21"/>
        <v>0</v>
      </c>
      <c r="K42" s="112">
        <f>'Input Data'!AF15</f>
        <v>0</v>
      </c>
      <c r="L42" s="10">
        <f t="shared" si="22"/>
        <v>0</v>
      </c>
      <c r="M42" s="10">
        <f t="shared" si="23"/>
        <v>0</v>
      </c>
      <c r="N42" s="10">
        <f t="shared" si="29"/>
        <v>0</v>
      </c>
      <c r="O42" s="40">
        <f t="shared" si="24"/>
        <v>0</v>
      </c>
      <c r="P42" s="59">
        <f t="shared" si="25"/>
        <v>0</v>
      </c>
      <c r="Q42" s="10">
        <f t="shared" si="26"/>
        <v>145736.47695775001</v>
      </c>
      <c r="R42" s="115">
        <f>'Input Data'!$C$103/100/12</f>
        <v>0</v>
      </c>
      <c r="S42" s="105">
        <f t="shared" si="28"/>
        <v>0</v>
      </c>
      <c r="T42" s="143">
        <f t="shared" si="27"/>
        <v>0</v>
      </c>
      <c r="U42" s="10"/>
      <c r="V42" s="200"/>
      <c r="W42" s="21"/>
      <c r="X42" s="21"/>
      <c r="Y42" s="22"/>
    </row>
    <row r="43" spans="2:26" x14ac:dyDescent="0.25">
      <c r="B43" s="196"/>
      <c r="C43" s="61" t="s">
        <v>166</v>
      </c>
      <c r="E43" s="23">
        <f>IFERROR(ROUND(-E40/D42,4),0)</f>
        <v>0</v>
      </c>
      <c r="G43" s="100" t="s">
        <v>11</v>
      </c>
      <c r="H43" s="113">
        <f>'Input Data'!L33</f>
        <v>0</v>
      </c>
      <c r="I43" s="169">
        <f t="shared" si="30"/>
        <v>0</v>
      </c>
      <c r="J43" s="57">
        <f t="shared" si="21"/>
        <v>0</v>
      </c>
      <c r="K43" s="112">
        <f>'Input Data'!AF16</f>
        <v>0</v>
      </c>
      <c r="L43" s="10">
        <f t="shared" si="22"/>
        <v>0</v>
      </c>
      <c r="M43" s="10">
        <f t="shared" si="23"/>
        <v>0</v>
      </c>
      <c r="N43" s="10">
        <f t="shared" si="29"/>
        <v>0</v>
      </c>
      <c r="O43" s="40">
        <f t="shared" si="24"/>
        <v>0</v>
      </c>
      <c r="P43" s="59">
        <f t="shared" si="25"/>
        <v>0</v>
      </c>
      <c r="Q43" s="10">
        <f t="shared" si="26"/>
        <v>145736.47695775001</v>
      </c>
      <c r="R43" s="115">
        <f>'Input Data'!$C$103/100/12</f>
        <v>0</v>
      </c>
      <c r="S43" s="105">
        <f t="shared" si="28"/>
        <v>0</v>
      </c>
      <c r="T43" s="143">
        <f t="shared" si="27"/>
        <v>0</v>
      </c>
      <c r="U43" s="10"/>
    </row>
    <row r="44" spans="2:26" ht="15.75" thickBot="1" x14ac:dyDescent="0.3">
      <c r="B44" s="197"/>
      <c r="C44" s="137"/>
      <c r="D44" s="137"/>
      <c r="E44" s="137"/>
      <c r="F44" s="163"/>
      <c r="G44" s="118" t="s">
        <v>14</v>
      </c>
      <c r="H44" s="119">
        <f>SUM(H32:H43)</f>
        <v>0</v>
      </c>
      <c r="I44" s="120"/>
      <c r="J44" s="121">
        <f t="shared" ref="J44:P44" si="31">SUM(J32:J43)</f>
        <v>0</v>
      </c>
      <c r="K44" s="122">
        <f t="shared" si="31"/>
        <v>0</v>
      </c>
      <c r="L44" s="123">
        <f t="shared" si="31"/>
        <v>0</v>
      </c>
      <c r="M44" s="123">
        <f t="shared" si="31"/>
        <v>0</v>
      </c>
      <c r="N44" s="123">
        <f t="shared" si="31"/>
        <v>145736.47695775001</v>
      </c>
      <c r="O44" s="121">
        <f t="shared" si="31"/>
        <v>145736.47695775001</v>
      </c>
      <c r="P44" s="122">
        <f t="shared" si="31"/>
        <v>145736.47695775001</v>
      </c>
      <c r="Q44" s="124"/>
      <c r="R44" s="120"/>
      <c r="S44" s="123">
        <f>SUM(S32:S43)</f>
        <v>0</v>
      </c>
      <c r="T44" s="165">
        <f>SUM(T32:T43)</f>
        <v>0</v>
      </c>
      <c r="U44" s="11"/>
    </row>
    <row r="45" spans="2:26" x14ac:dyDescent="0.25">
      <c r="B45" s="195">
        <v>2027</v>
      </c>
      <c r="C45" s="136"/>
      <c r="D45" s="136"/>
      <c r="E45" s="136"/>
      <c r="F45" s="164"/>
      <c r="G45" s="100" t="s">
        <v>0</v>
      </c>
      <c r="H45" s="113">
        <f>'Input Data'!M22</f>
        <v>0</v>
      </c>
      <c r="I45" s="169">
        <f>I43</f>
        <v>0</v>
      </c>
      <c r="J45" s="57">
        <f t="shared" ref="J45:J56" si="32">H45*I45</f>
        <v>0</v>
      </c>
      <c r="K45" s="112">
        <f>'Input Data'!AI5</f>
        <v>0</v>
      </c>
      <c r="L45" s="10">
        <f t="shared" si="22"/>
        <v>0</v>
      </c>
      <c r="M45" s="10">
        <f t="shared" ref="M45:M56" si="33">-K45/2</f>
        <v>0</v>
      </c>
      <c r="N45" s="10">
        <f t="shared" si="29"/>
        <v>0</v>
      </c>
      <c r="O45" s="40">
        <f t="shared" ref="O45:O56" si="34">M45+N45</f>
        <v>0</v>
      </c>
      <c r="P45" s="59">
        <f t="shared" ref="P45:P56" si="35">O45-J45</f>
        <v>0</v>
      </c>
      <c r="Q45" s="10">
        <f>P45</f>
        <v>0</v>
      </c>
      <c r="R45" s="115">
        <f>'Input Data'!$C$104/100/12</f>
        <v>0</v>
      </c>
      <c r="S45" s="105"/>
      <c r="T45" s="143">
        <f>$P$44*R45</f>
        <v>0</v>
      </c>
      <c r="U45" s="10"/>
    </row>
    <row r="46" spans="2:26" x14ac:dyDescent="0.25">
      <c r="B46" s="196"/>
      <c r="C46" s="100" t="s">
        <v>86</v>
      </c>
      <c r="D46" s="117">
        <f>'Input Data'!W55</f>
        <v>36030205.555</v>
      </c>
      <c r="F46" s="162" t="s">
        <v>149</v>
      </c>
      <c r="G46" s="100" t="s">
        <v>1</v>
      </c>
      <c r="H46" s="113">
        <f>'Input Data'!M23</f>
        <v>0</v>
      </c>
      <c r="I46" s="169">
        <f>I45</f>
        <v>0</v>
      </c>
      <c r="J46" s="57">
        <f t="shared" si="32"/>
        <v>0</v>
      </c>
      <c r="K46" s="112">
        <f>'Input Data'!AI6</f>
        <v>0</v>
      </c>
      <c r="L46" s="10">
        <f t="shared" si="22"/>
        <v>0</v>
      </c>
      <c r="M46" s="10">
        <f t="shared" si="33"/>
        <v>0</v>
      </c>
      <c r="N46" s="10">
        <f t="shared" si="29"/>
        <v>0</v>
      </c>
      <c r="O46" s="40">
        <f t="shared" si="34"/>
        <v>0</v>
      </c>
      <c r="P46" s="59">
        <f t="shared" si="35"/>
        <v>0</v>
      </c>
      <c r="Q46" s="10">
        <f t="shared" ref="Q46:Q56" si="36">P46+Q45</f>
        <v>0</v>
      </c>
      <c r="R46" s="115">
        <f>'Input Data'!$C$104/100/12</f>
        <v>0</v>
      </c>
      <c r="S46" s="105">
        <f>Q45*R46</f>
        <v>0</v>
      </c>
      <c r="T46" s="143">
        <f t="shared" ref="T46:T56" si="37">$P$44*R46</f>
        <v>0</v>
      </c>
      <c r="U46" s="10"/>
      <c r="V46" s="198" t="s">
        <v>99</v>
      </c>
      <c r="W46" s="16"/>
      <c r="X46" s="16"/>
      <c r="Y46" s="17"/>
    </row>
    <row r="47" spans="2:26" x14ac:dyDescent="0.25">
      <c r="B47" s="196"/>
      <c r="C47" s="100" t="s">
        <v>113</v>
      </c>
      <c r="D47" s="116">
        <f>'Input Data'!C67/1000</f>
        <v>0</v>
      </c>
      <c r="F47" s="162" t="s">
        <v>150</v>
      </c>
      <c r="G47" s="100" t="s">
        <v>2</v>
      </c>
      <c r="H47" s="113">
        <f>'Input Data'!M24</f>
        <v>0</v>
      </c>
      <c r="I47" s="169">
        <f>I46</f>
        <v>0</v>
      </c>
      <c r="J47" s="57">
        <f t="shared" si="32"/>
        <v>0</v>
      </c>
      <c r="K47" s="112">
        <f>'Input Data'!AI7</f>
        <v>0</v>
      </c>
      <c r="L47" s="10">
        <f t="shared" si="22"/>
        <v>0</v>
      </c>
      <c r="M47" s="10">
        <f t="shared" si="33"/>
        <v>0</v>
      </c>
      <c r="N47" s="10">
        <f t="shared" si="29"/>
        <v>0</v>
      </c>
      <c r="O47" s="40">
        <f t="shared" si="34"/>
        <v>0</v>
      </c>
      <c r="P47" s="59">
        <f t="shared" si="35"/>
        <v>0</v>
      </c>
      <c r="Q47" s="10">
        <f t="shared" si="36"/>
        <v>0</v>
      </c>
      <c r="R47" s="115">
        <f>'Input Data'!$C$104/100/12</f>
        <v>0</v>
      </c>
      <c r="S47" s="105">
        <f t="shared" ref="S47:S56" si="38">Q46*R47</f>
        <v>0</v>
      </c>
      <c r="T47" s="143">
        <f t="shared" si="37"/>
        <v>0</v>
      </c>
      <c r="U47" s="10"/>
      <c r="V47" s="199"/>
      <c r="W47" t="s">
        <v>15</v>
      </c>
      <c r="Y47" s="40">
        <f>K57</f>
        <v>0</v>
      </c>
      <c r="Z47" t="s">
        <v>110</v>
      </c>
    </row>
    <row r="48" spans="2:26" x14ac:dyDescent="0.25">
      <c r="B48" s="196"/>
      <c r="C48" s="100" t="s">
        <v>129</v>
      </c>
      <c r="D48" s="4">
        <f>D46*D47</f>
        <v>0</v>
      </c>
      <c r="G48" s="100" t="s">
        <v>3</v>
      </c>
      <c r="H48" s="113">
        <f>'Input Data'!M25</f>
        <v>0</v>
      </c>
      <c r="I48" s="169">
        <f>I47</f>
        <v>0</v>
      </c>
      <c r="J48" s="57">
        <f t="shared" si="32"/>
        <v>0</v>
      </c>
      <c r="K48" s="112">
        <f>'Input Data'!AI8</f>
        <v>0</v>
      </c>
      <c r="L48" s="10">
        <f t="shared" si="22"/>
        <v>0</v>
      </c>
      <c r="M48" s="10">
        <f t="shared" si="33"/>
        <v>0</v>
      </c>
      <c r="N48" s="10">
        <f t="shared" si="29"/>
        <v>0</v>
      </c>
      <c r="O48" s="40">
        <f t="shared" si="34"/>
        <v>0</v>
      </c>
      <c r="P48" s="59">
        <f t="shared" si="35"/>
        <v>0</v>
      </c>
      <c r="Q48" s="10">
        <f t="shared" si="36"/>
        <v>0</v>
      </c>
      <c r="R48" s="115">
        <f>'Input Data'!$C$105/100/12</f>
        <v>0</v>
      </c>
      <c r="S48" s="105">
        <f t="shared" si="38"/>
        <v>0</v>
      </c>
      <c r="T48" s="143">
        <f t="shared" si="37"/>
        <v>0</v>
      </c>
      <c r="U48" s="10"/>
      <c r="V48" s="199"/>
      <c r="W48" t="s">
        <v>98</v>
      </c>
      <c r="Y48" s="40">
        <f>L57</f>
        <v>0</v>
      </c>
      <c r="Z48" t="s">
        <v>32</v>
      </c>
    </row>
    <row r="49" spans="2:26" x14ac:dyDescent="0.25">
      <c r="B49" s="196"/>
      <c r="C49" s="100" t="s">
        <v>130</v>
      </c>
      <c r="E49" s="4">
        <f>D48/2</f>
        <v>0</v>
      </c>
      <c r="F49" s="162" t="s">
        <v>143</v>
      </c>
      <c r="G49" s="100" t="s">
        <v>4</v>
      </c>
      <c r="H49" s="113">
        <f>'Input Data'!M26</f>
        <v>0</v>
      </c>
      <c r="I49" s="169">
        <f>E55</f>
        <v>0</v>
      </c>
      <c r="J49" s="57">
        <f t="shared" si="32"/>
        <v>0</v>
      </c>
      <c r="K49" s="112">
        <f>'Input Data'!AI9</f>
        <v>0</v>
      </c>
      <c r="L49" s="10">
        <f t="shared" si="22"/>
        <v>0</v>
      </c>
      <c r="M49" s="10">
        <f t="shared" si="33"/>
        <v>0</v>
      </c>
      <c r="N49" s="10">
        <f>($E$50+$E$51)/12</f>
        <v>24289.412826291667</v>
      </c>
      <c r="O49" s="40">
        <f t="shared" si="34"/>
        <v>24289.412826291667</v>
      </c>
      <c r="P49" s="59">
        <f t="shared" si="35"/>
        <v>24289.412826291667</v>
      </c>
      <c r="Q49" s="10">
        <f t="shared" si="36"/>
        <v>24289.412826291667</v>
      </c>
      <c r="R49" s="115">
        <f>'Input Data'!$C$105/100/12</f>
        <v>0</v>
      </c>
      <c r="S49" s="105">
        <f t="shared" si="38"/>
        <v>0</v>
      </c>
      <c r="T49" s="143">
        <f>$P$44*R49</f>
        <v>0</v>
      </c>
      <c r="U49" s="10"/>
      <c r="V49" s="199"/>
      <c r="W49" t="s">
        <v>70</v>
      </c>
      <c r="X49" s="10">
        <f>M57</f>
        <v>0</v>
      </c>
      <c r="Y49" s="19"/>
      <c r="Z49" t="s">
        <v>111</v>
      </c>
    </row>
    <row r="50" spans="2:26" x14ac:dyDescent="0.25">
      <c r="B50" s="196"/>
      <c r="C50" s="100" t="s">
        <v>115</v>
      </c>
      <c r="E50" s="4">
        <f>Y27</f>
        <v>291472.95391550002</v>
      </c>
      <c r="F50" s="162" t="s">
        <v>177</v>
      </c>
      <c r="G50" s="100" t="s">
        <v>5</v>
      </c>
      <c r="H50" s="113">
        <f>'Input Data'!M27</f>
        <v>0</v>
      </c>
      <c r="I50" s="169">
        <f>I49</f>
        <v>0</v>
      </c>
      <c r="J50" s="57">
        <f t="shared" si="32"/>
        <v>0</v>
      </c>
      <c r="K50" s="112">
        <f>'Input Data'!AI10</f>
        <v>0</v>
      </c>
      <c r="L50" s="10">
        <f t="shared" si="22"/>
        <v>0</v>
      </c>
      <c r="M50" s="10">
        <f t="shared" si="33"/>
        <v>0</v>
      </c>
      <c r="N50" s="10">
        <f t="shared" ref="N50:N61" si="39">($E$50+$E$51)/12</f>
        <v>24289.412826291667</v>
      </c>
      <c r="O50" s="40">
        <f t="shared" si="34"/>
        <v>24289.412826291667</v>
      </c>
      <c r="P50" s="59">
        <f t="shared" si="35"/>
        <v>24289.412826291667</v>
      </c>
      <c r="Q50" s="10">
        <f t="shared" si="36"/>
        <v>48578.825652583335</v>
      </c>
      <c r="R50" s="115">
        <f>'Input Data'!$C$105/100/12</f>
        <v>0</v>
      </c>
      <c r="S50" s="105">
        <f t="shared" si="38"/>
        <v>0</v>
      </c>
      <c r="T50" s="143">
        <f t="shared" si="37"/>
        <v>0</v>
      </c>
      <c r="U50" s="10"/>
      <c r="V50" s="199"/>
      <c r="W50" t="s">
        <v>71</v>
      </c>
      <c r="X50" s="36">
        <f>N57</f>
        <v>194315.30261033334</v>
      </c>
      <c r="Y50" s="19"/>
      <c r="Z50" t="s">
        <v>175</v>
      </c>
    </row>
    <row r="51" spans="2:26" x14ac:dyDescent="0.25">
      <c r="B51" s="196"/>
      <c r="C51" s="100" t="s">
        <v>116</v>
      </c>
      <c r="E51" s="4">
        <f>Y28</f>
        <v>0</v>
      </c>
      <c r="F51" s="162" t="s">
        <v>178</v>
      </c>
      <c r="G51" s="100" t="s">
        <v>6</v>
      </c>
      <c r="H51" s="113">
        <f>'Input Data'!M28</f>
        <v>0</v>
      </c>
      <c r="I51" s="169">
        <f t="shared" ref="I51:I56" si="40">I50</f>
        <v>0</v>
      </c>
      <c r="J51" s="57">
        <f t="shared" si="32"/>
        <v>0</v>
      </c>
      <c r="K51" s="112">
        <f>'Input Data'!AI11</f>
        <v>0</v>
      </c>
      <c r="L51" s="10">
        <f t="shared" si="22"/>
        <v>0</v>
      </c>
      <c r="M51" s="10">
        <f t="shared" si="33"/>
        <v>0</v>
      </c>
      <c r="N51" s="10">
        <f t="shared" si="39"/>
        <v>24289.412826291667</v>
      </c>
      <c r="O51" s="40">
        <f t="shared" si="34"/>
        <v>24289.412826291667</v>
      </c>
      <c r="P51" s="59">
        <f t="shared" si="35"/>
        <v>24289.412826291667</v>
      </c>
      <c r="Q51" s="10">
        <f t="shared" si="36"/>
        <v>72868.238478875006</v>
      </c>
      <c r="R51" s="115">
        <f>'Input Data'!$C$106/100/12</f>
        <v>0</v>
      </c>
      <c r="S51" s="105">
        <f t="shared" si="38"/>
        <v>0</v>
      </c>
      <c r="T51" s="143">
        <f t="shared" si="37"/>
        <v>0</v>
      </c>
      <c r="U51" s="10"/>
      <c r="V51" s="199"/>
      <c r="W51" t="s">
        <v>33</v>
      </c>
      <c r="Y51" s="40">
        <f>X50+X49</f>
        <v>194315.30261033334</v>
      </c>
      <c r="Z51" t="s">
        <v>112</v>
      </c>
    </row>
    <row r="52" spans="2:26" x14ac:dyDescent="0.25">
      <c r="B52" s="196"/>
      <c r="C52" s="61" t="s">
        <v>161</v>
      </c>
      <c r="E52" s="24">
        <f>SUM(E49:E51)</f>
        <v>291472.95391550002</v>
      </c>
      <c r="G52" s="100" t="s">
        <v>7</v>
      </c>
      <c r="H52" s="113">
        <f>'Input Data'!M29</f>
        <v>0</v>
      </c>
      <c r="I52" s="169">
        <f t="shared" si="40"/>
        <v>0</v>
      </c>
      <c r="J52" s="57">
        <f t="shared" si="32"/>
        <v>0</v>
      </c>
      <c r="K52" s="112">
        <f>'Input Data'!AI12</f>
        <v>0</v>
      </c>
      <c r="L52" s="10">
        <f t="shared" si="22"/>
        <v>0</v>
      </c>
      <c r="M52" s="10">
        <f t="shared" si="33"/>
        <v>0</v>
      </c>
      <c r="N52" s="10">
        <f t="shared" si="39"/>
        <v>24289.412826291667</v>
      </c>
      <c r="O52" s="40">
        <f t="shared" si="34"/>
        <v>24289.412826291667</v>
      </c>
      <c r="P52" s="59">
        <f t="shared" si="35"/>
        <v>24289.412826291667</v>
      </c>
      <c r="Q52" s="10">
        <f t="shared" si="36"/>
        <v>97157.65130516667</v>
      </c>
      <c r="R52" s="115">
        <f>'Input Data'!$C$106/100/12</f>
        <v>0</v>
      </c>
      <c r="S52" s="105">
        <f t="shared" si="38"/>
        <v>0</v>
      </c>
      <c r="T52" s="143">
        <f t="shared" si="37"/>
        <v>0</v>
      </c>
      <c r="U52" s="10"/>
      <c r="V52" s="199"/>
      <c r="W52" t="s">
        <v>34</v>
      </c>
      <c r="Y52" s="65">
        <f>J57</f>
        <v>0</v>
      </c>
      <c r="Z52" t="s">
        <v>162</v>
      </c>
    </row>
    <row r="53" spans="2:26" x14ac:dyDescent="0.25">
      <c r="B53" s="196"/>
      <c r="G53" s="100" t="s">
        <v>8</v>
      </c>
      <c r="H53" s="113">
        <f>'Input Data'!M30</f>
        <v>0</v>
      </c>
      <c r="I53" s="169">
        <f t="shared" si="40"/>
        <v>0</v>
      </c>
      <c r="J53" s="57">
        <f t="shared" si="32"/>
        <v>0</v>
      </c>
      <c r="K53" s="112">
        <f>'Input Data'!AI13</f>
        <v>0</v>
      </c>
      <c r="L53" s="10">
        <f t="shared" si="22"/>
        <v>0</v>
      </c>
      <c r="M53" s="10">
        <f t="shared" si="33"/>
        <v>0</v>
      </c>
      <c r="N53" s="10">
        <f t="shared" si="39"/>
        <v>24289.412826291667</v>
      </c>
      <c r="O53" s="40">
        <f t="shared" si="34"/>
        <v>24289.412826291667</v>
      </c>
      <c r="P53" s="59">
        <f t="shared" si="35"/>
        <v>24289.412826291667</v>
      </c>
      <c r="Q53" s="10">
        <f t="shared" si="36"/>
        <v>121447.06413145833</v>
      </c>
      <c r="R53" s="115">
        <f>'Input Data'!$C$106/100/12</f>
        <v>0</v>
      </c>
      <c r="S53" s="105">
        <f t="shared" si="38"/>
        <v>0</v>
      </c>
      <c r="T53" s="143">
        <f t="shared" si="37"/>
        <v>0</v>
      </c>
      <c r="U53" s="10"/>
      <c r="V53" s="199"/>
      <c r="W53" t="s">
        <v>18</v>
      </c>
      <c r="Y53" s="78">
        <f>Y51-Y52</f>
        <v>194315.30261033334</v>
      </c>
      <c r="Z53" t="s">
        <v>213</v>
      </c>
    </row>
    <row r="54" spans="2:26" x14ac:dyDescent="0.25">
      <c r="B54" s="196"/>
      <c r="C54" s="18" t="s">
        <v>114</v>
      </c>
      <c r="D54" s="117">
        <f>'Input Data'!K38</f>
        <v>0</v>
      </c>
      <c r="F54" s="162" t="s">
        <v>151</v>
      </c>
      <c r="G54" s="100" t="s">
        <v>9</v>
      </c>
      <c r="H54" s="113">
        <f>'Input Data'!M31</f>
        <v>0</v>
      </c>
      <c r="I54" s="169">
        <f t="shared" si="40"/>
        <v>0</v>
      </c>
      <c r="J54" s="57">
        <f t="shared" si="32"/>
        <v>0</v>
      </c>
      <c r="K54" s="112">
        <f>'Input Data'!AI14</f>
        <v>0</v>
      </c>
      <c r="L54" s="10">
        <f t="shared" si="22"/>
        <v>0</v>
      </c>
      <c r="M54" s="10">
        <f t="shared" si="33"/>
        <v>0</v>
      </c>
      <c r="N54" s="10">
        <f t="shared" si="39"/>
        <v>24289.412826291667</v>
      </c>
      <c r="O54" s="40">
        <f t="shared" si="34"/>
        <v>24289.412826291667</v>
      </c>
      <c r="P54" s="59">
        <f t="shared" si="35"/>
        <v>24289.412826291667</v>
      </c>
      <c r="Q54" s="10">
        <f t="shared" si="36"/>
        <v>145736.47695775001</v>
      </c>
      <c r="R54" s="115">
        <f>'Input Data'!$C$107/100/12</f>
        <v>0</v>
      </c>
      <c r="S54" s="105">
        <f t="shared" si="38"/>
        <v>0</v>
      </c>
      <c r="T54" s="143">
        <f t="shared" si="37"/>
        <v>0</v>
      </c>
      <c r="U54" s="10"/>
      <c r="V54" s="199"/>
      <c r="W54" t="s">
        <v>35</v>
      </c>
      <c r="Y54" s="40">
        <f>S57+T70</f>
        <v>0</v>
      </c>
      <c r="Z54" t="s">
        <v>214</v>
      </c>
    </row>
    <row r="55" spans="2:26" x14ac:dyDescent="0.25">
      <c r="B55" s="196"/>
      <c r="C55" s="61" t="s">
        <v>163</v>
      </c>
      <c r="E55" s="23">
        <f>IFERROR(ROUND(-E52/D54,4),0)</f>
        <v>0</v>
      </c>
      <c r="G55" s="100" t="s">
        <v>10</v>
      </c>
      <c r="H55" s="113">
        <f>'Input Data'!M32</f>
        <v>0</v>
      </c>
      <c r="I55" s="169">
        <f t="shared" si="40"/>
        <v>0</v>
      </c>
      <c r="J55" s="57">
        <f t="shared" si="32"/>
        <v>0</v>
      </c>
      <c r="K55" s="112">
        <f>'Input Data'!AI15</f>
        <v>0</v>
      </c>
      <c r="L55" s="10">
        <f t="shared" si="22"/>
        <v>0</v>
      </c>
      <c r="M55" s="10">
        <f t="shared" si="33"/>
        <v>0</v>
      </c>
      <c r="N55" s="10">
        <f t="shared" si="39"/>
        <v>24289.412826291667</v>
      </c>
      <c r="O55" s="40">
        <f t="shared" si="34"/>
        <v>24289.412826291667</v>
      </c>
      <c r="P55" s="59">
        <f t="shared" si="35"/>
        <v>24289.412826291667</v>
      </c>
      <c r="Q55" s="10">
        <f t="shared" si="36"/>
        <v>170025.88978404168</v>
      </c>
      <c r="R55" s="115">
        <f>'Input Data'!$C$107/100/12</f>
        <v>0</v>
      </c>
      <c r="S55" s="105">
        <f t="shared" si="38"/>
        <v>0</v>
      </c>
      <c r="T55" s="143">
        <f t="shared" si="37"/>
        <v>0</v>
      </c>
      <c r="U55" s="10"/>
      <c r="V55" s="200"/>
      <c r="W55" s="21"/>
      <c r="X55" s="21"/>
      <c r="Y55" s="22"/>
    </row>
    <row r="56" spans="2:26" x14ac:dyDescent="0.25">
      <c r="B56" s="196"/>
      <c r="G56" s="100" t="s">
        <v>11</v>
      </c>
      <c r="H56" s="113">
        <f>'Input Data'!M33</f>
        <v>0</v>
      </c>
      <c r="I56" s="169">
        <f t="shared" si="40"/>
        <v>0</v>
      </c>
      <c r="J56" s="57">
        <f t="shared" si="32"/>
        <v>0</v>
      </c>
      <c r="K56" s="112">
        <f>'Input Data'!AI16</f>
        <v>0</v>
      </c>
      <c r="L56" s="10">
        <f t="shared" si="22"/>
        <v>0</v>
      </c>
      <c r="M56" s="10">
        <f t="shared" si="33"/>
        <v>0</v>
      </c>
      <c r="N56" s="10">
        <f t="shared" si="39"/>
        <v>24289.412826291667</v>
      </c>
      <c r="O56" s="40">
        <f t="shared" si="34"/>
        <v>24289.412826291667</v>
      </c>
      <c r="P56" s="59">
        <f t="shared" si="35"/>
        <v>24289.412826291667</v>
      </c>
      <c r="Q56" s="10">
        <f t="shared" si="36"/>
        <v>194315.30261033334</v>
      </c>
      <c r="R56" s="115">
        <f>'Input Data'!$C$107/100/12</f>
        <v>0</v>
      </c>
      <c r="S56" s="105">
        <f t="shared" si="38"/>
        <v>0</v>
      </c>
      <c r="T56" s="143">
        <f t="shared" si="37"/>
        <v>0</v>
      </c>
      <c r="U56" s="10"/>
    </row>
    <row r="57" spans="2:26" ht="15.75" thickBot="1" x14ac:dyDescent="0.3">
      <c r="B57" s="197"/>
      <c r="C57" s="137"/>
      <c r="D57" s="137"/>
      <c r="E57" s="137"/>
      <c r="F57" s="163"/>
      <c r="G57" s="118" t="s">
        <v>14</v>
      </c>
      <c r="H57" s="119">
        <f>SUM(H45:H56)</f>
        <v>0</v>
      </c>
      <c r="I57" s="120"/>
      <c r="J57" s="121">
        <f t="shared" ref="J57:P57" si="41">SUM(J45:J56)</f>
        <v>0</v>
      </c>
      <c r="K57" s="122">
        <f t="shared" si="41"/>
        <v>0</v>
      </c>
      <c r="L57" s="123">
        <f t="shared" si="41"/>
        <v>0</v>
      </c>
      <c r="M57" s="123">
        <f t="shared" si="41"/>
        <v>0</v>
      </c>
      <c r="N57" s="123">
        <f t="shared" si="41"/>
        <v>194315.30261033334</v>
      </c>
      <c r="O57" s="121">
        <f t="shared" si="41"/>
        <v>194315.30261033334</v>
      </c>
      <c r="P57" s="122">
        <f t="shared" si="41"/>
        <v>194315.30261033334</v>
      </c>
      <c r="Q57" s="124"/>
      <c r="R57" s="120"/>
      <c r="S57" s="123">
        <f>SUM(S45:S56)</f>
        <v>0</v>
      </c>
      <c r="T57" s="165">
        <f>SUM(T45:T56)</f>
        <v>0</v>
      </c>
      <c r="U57" s="11"/>
    </row>
    <row r="58" spans="2:26" x14ac:dyDescent="0.25">
      <c r="B58" s="195">
        <v>2028</v>
      </c>
      <c r="C58" s="136"/>
      <c r="D58" s="136"/>
      <c r="E58" s="136"/>
      <c r="F58" s="164"/>
      <c r="G58" s="100" t="s">
        <v>0</v>
      </c>
      <c r="H58" s="113">
        <f>'Input Data'!N22</f>
        <v>0</v>
      </c>
      <c r="I58" s="169">
        <f>I56</f>
        <v>0</v>
      </c>
      <c r="J58" s="57">
        <f t="shared" ref="J58:J69" si="42">H58*I58</f>
        <v>0</v>
      </c>
      <c r="K58" s="112">
        <f>'Input Data'!AL5</f>
        <v>0</v>
      </c>
      <c r="L58" s="10">
        <f t="shared" ref="L58:L70" si="43">-K58/2</f>
        <v>0</v>
      </c>
      <c r="M58" s="10">
        <f t="shared" ref="M58:M69" si="44">-K58/2</f>
        <v>0</v>
      </c>
      <c r="N58" s="10">
        <f t="shared" si="39"/>
        <v>24289.412826291667</v>
      </c>
      <c r="O58" s="40">
        <f t="shared" ref="O58:O69" si="45">M58+N58</f>
        <v>24289.412826291667</v>
      </c>
      <c r="P58" s="59">
        <f t="shared" ref="P58:P69" si="46">O58-J58</f>
        <v>24289.412826291667</v>
      </c>
      <c r="Q58" s="10">
        <f>P58</f>
        <v>24289.412826291667</v>
      </c>
      <c r="R58" s="115">
        <f>'Input Data'!$C$108/100/12</f>
        <v>0</v>
      </c>
      <c r="S58" s="105"/>
      <c r="T58" s="143">
        <f>$P$57*R58</f>
        <v>0</v>
      </c>
      <c r="U58" s="10"/>
    </row>
    <row r="59" spans="2:26" x14ac:dyDescent="0.25">
      <c r="B59" s="196"/>
      <c r="C59" s="100" t="s">
        <v>86</v>
      </c>
      <c r="D59" s="117">
        <f>'Input Data'!X55</f>
        <v>33508151.109999999</v>
      </c>
      <c r="F59" s="162" t="s">
        <v>203</v>
      </c>
      <c r="G59" s="100" t="s">
        <v>1</v>
      </c>
      <c r="H59" s="113">
        <f>'Input Data'!N23</f>
        <v>0</v>
      </c>
      <c r="I59" s="169">
        <f>I58</f>
        <v>0</v>
      </c>
      <c r="J59" s="57">
        <f t="shared" si="42"/>
        <v>0</v>
      </c>
      <c r="K59" s="112">
        <f>'Input Data'!AL6</f>
        <v>0</v>
      </c>
      <c r="L59" s="10">
        <f t="shared" si="43"/>
        <v>0</v>
      </c>
      <c r="M59" s="10">
        <f t="shared" si="44"/>
        <v>0</v>
      </c>
      <c r="N59" s="10">
        <f t="shared" si="39"/>
        <v>24289.412826291667</v>
      </c>
      <c r="O59" s="40">
        <f t="shared" si="45"/>
        <v>24289.412826291667</v>
      </c>
      <c r="P59" s="59">
        <f t="shared" si="46"/>
        <v>24289.412826291667</v>
      </c>
      <c r="Q59" s="10">
        <f t="shared" ref="Q59:Q69" si="47">P59+Q58</f>
        <v>48578.825652583335</v>
      </c>
      <c r="R59" s="115">
        <f>'Input Data'!$C$108/100/12</f>
        <v>0</v>
      </c>
      <c r="S59" s="105">
        <f>Q58*R59</f>
        <v>0</v>
      </c>
      <c r="T59" s="143">
        <f t="shared" ref="T59:T69" si="48">$P$57*R59</f>
        <v>0</v>
      </c>
      <c r="U59" s="10"/>
      <c r="V59" s="198" t="s">
        <v>99</v>
      </c>
      <c r="W59" s="16"/>
      <c r="X59" s="16"/>
      <c r="Y59" s="17"/>
    </row>
    <row r="60" spans="2:26" x14ac:dyDescent="0.25">
      <c r="B60" s="196"/>
      <c r="C60" s="100" t="s">
        <v>113</v>
      </c>
      <c r="D60" s="116">
        <f>'Input Data'!C68/1000</f>
        <v>0</v>
      </c>
      <c r="F60" s="162" t="s">
        <v>204</v>
      </c>
      <c r="G60" s="100" t="s">
        <v>2</v>
      </c>
      <c r="H60" s="113">
        <f>'Input Data'!N24</f>
        <v>0</v>
      </c>
      <c r="I60" s="169">
        <f>I59</f>
        <v>0</v>
      </c>
      <c r="J60" s="57">
        <f t="shared" si="42"/>
        <v>0</v>
      </c>
      <c r="K60" s="112">
        <f>'Input Data'!AL7</f>
        <v>0</v>
      </c>
      <c r="L60" s="10">
        <f t="shared" si="43"/>
        <v>0</v>
      </c>
      <c r="M60" s="10">
        <f t="shared" si="44"/>
        <v>0</v>
      </c>
      <c r="N60" s="10">
        <f t="shared" si="39"/>
        <v>24289.412826291667</v>
      </c>
      <c r="O60" s="40">
        <f t="shared" si="45"/>
        <v>24289.412826291667</v>
      </c>
      <c r="P60" s="59">
        <f t="shared" si="46"/>
        <v>24289.412826291667</v>
      </c>
      <c r="Q60" s="10">
        <f t="shared" si="47"/>
        <v>72868.238478875006</v>
      </c>
      <c r="R60" s="115">
        <f>'Input Data'!$C$108/100/12</f>
        <v>0</v>
      </c>
      <c r="S60" s="105">
        <f t="shared" ref="S60:S69" si="49">Q59*R60</f>
        <v>0</v>
      </c>
      <c r="T60" s="143">
        <f t="shared" si="48"/>
        <v>0</v>
      </c>
      <c r="U60" s="10"/>
      <c r="V60" s="199"/>
      <c r="W60" t="s">
        <v>15</v>
      </c>
      <c r="Y60" s="40">
        <f>K70</f>
        <v>0</v>
      </c>
      <c r="Z60" t="s">
        <v>110</v>
      </c>
    </row>
    <row r="61" spans="2:26" x14ac:dyDescent="0.25">
      <c r="B61" s="196"/>
      <c r="C61" s="100" t="s">
        <v>129</v>
      </c>
      <c r="D61" s="4">
        <f>D59*D60</f>
        <v>0</v>
      </c>
      <c r="G61" s="100" t="s">
        <v>3</v>
      </c>
      <c r="H61" s="113">
        <f>'Input Data'!N25</f>
        <v>0</v>
      </c>
      <c r="I61" s="169">
        <f>I60</f>
        <v>0</v>
      </c>
      <c r="J61" s="57">
        <f t="shared" si="42"/>
        <v>0</v>
      </c>
      <c r="K61" s="112">
        <f>'Input Data'!AL8</f>
        <v>0</v>
      </c>
      <c r="L61" s="10">
        <f t="shared" si="43"/>
        <v>0</v>
      </c>
      <c r="M61" s="10">
        <f t="shared" si="44"/>
        <v>0</v>
      </c>
      <c r="N61" s="10">
        <f t="shared" si="39"/>
        <v>24289.412826291667</v>
      </c>
      <c r="O61" s="40">
        <f t="shared" si="45"/>
        <v>24289.412826291667</v>
      </c>
      <c r="P61" s="59">
        <f t="shared" si="46"/>
        <v>24289.412826291667</v>
      </c>
      <c r="Q61" s="10">
        <f t="shared" si="47"/>
        <v>97157.65130516667</v>
      </c>
      <c r="R61" s="115">
        <f>'Input Data'!$C$109/100/12</f>
        <v>0</v>
      </c>
      <c r="S61" s="105">
        <f t="shared" si="49"/>
        <v>0</v>
      </c>
      <c r="T61" s="143">
        <f t="shared" si="48"/>
        <v>0</v>
      </c>
      <c r="U61" s="10"/>
      <c r="V61" s="199"/>
      <c r="W61" t="s">
        <v>98</v>
      </c>
      <c r="Y61" s="40">
        <f>L70</f>
        <v>0</v>
      </c>
      <c r="Z61" t="s">
        <v>32</v>
      </c>
    </row>
    <row r="62" spans="2:26" x14ac:dyDescent="0.25">
      <c r="B62" s="196"/>
      <c r="C62" s="100" t="s">
        <v>130</v>
      </c>
      <c r="E62" s="4">
        <f>D61/2</f>
        <v>0</v>
      </c>
      <c r="F62" s="162" t="s">
        <v>143</v>
      </c>
      <c r="G62" s="100" t="s">
        <v>4</v>
      </c>
      <c r="H62" s="113">
        <f>'Input Data'!N26</f>
        <v>0</v>
      </c>
      <c r="I62" s="169">
        <f>E68</f>
        <v>0</v>
      </c>
      <c r="J62" s="57">
        <f t="shared" si="42"/>
        <v>0</v>
      </c>
      <c r="K62" s="112">
        <f>'Input Data'!AL9</f>
        <v>0</v>
      </c>
      <c r="L62" s="10">
        <f t="shared" si="43"/>
        <v>0</v>
      </c>
      <c r="M62" s="10">
        <f t="shared" si="44"/>
        <v>0</v>
      </c>
      <c r="N62" s="10">
        <f>($E$63+$E$64)/12</f>
        <v>12144.706413145834</v>
      </c>
      <c r="O62" s="40">
        <f t="shared" si="45"/>
        <v>12144.706413145834</v>
      </c>
      <c r="P62" s="59">
        <f t="shared" si="46"/>
        <v>12144.706413145834</v>
      </c>
      <c r="Q62" s="10">
        <f t="shared" si="47"/>
        <v>109302.3577183125</v>
      </c>
      <c r="R62" s="115">
        <f>'Input Data'!$C$109/100/12</f>
        <v>0</v>
      </c>
      <c r="S62" s="105">
        <f t="shared" si="49"/>
        <v>0</v>
      </c>
      <c r="T62" s="143">
        <f t="shared" si="48"/>
        <v>0</v>
      </c>
      <c r="U62" s="10"/>
      <c r="V62" s="199"/>
      <c r="W62" t="s">
        <v>70</v>
      </c>
      <c r="X62" s="10">
        <f>M70</f>
        <v>0</v>
      </c>
      <c r="Y62" s="19"/>
      <c r="Z62" t="s">
        <v>111</v>
      </c>
    </row>
    <row r="63" spans="2:26" x14ac:dyDescent="0.25">
      <c r="B63" s="196"/>
      <c r="C63" s="100" t="s">
        <v>115</v>
      </c>
      <c r="E63" s="4">
        <f>Y40</f>
        <v>145736.47695775001</v>
      </c>
      <c r="F63" s="162" t="s">
        <v>205</v>
      </c>
      <c r="G63" s="100" t="s">
        <v>5</v>
      </c>
      <c r="H63" s="113">
        <f>'Input Data'!N27</f>
        <v>0</v>
      </c>
      <c r="I63" s="169">
        <f>I62</f>
        <v>0</v>
      </c>
      <c r="J63" s="57">
        <f t="shared" si="42"/>
        <v>0</v>
      </c>
      <c r="K63" s="112">
        <f>'Input Data'!AL10</f>
        <v>0</v>
      </c>
      <c r="L63" s="10">
        <f t="shared" si="43"/>
        <v>0</v>
      </c>
      <c r="M63" s="10">
        <f t="shared" si="44"/>
        <v>0</v>
      </c>
      <c r="N63" s="10">
        <f t="shared" ref="N63:N69" si="50">($E$63+$E$64)/12</f>
        <v>12144.706413145834</v>
      </c>
      <c r="O63" s="40">
        <f t="shared" si="45"/>
        <v>12144.706413145834</v>
      </c>
      <c r="P63" s="59">
        <f t="shared" si="46"/>
        <v>12144.706413145834</v>
      </c>
      <c r="Q63" s="10">
        <f t="shared" si="47"/>
        <v>121447.06413145833</v>
      </c>
      <c r="R63" s="115">
        <f>'Input Data'!$C$109/100/12</f>
        <v>0</v>
      </c>
      <c r="S63" s="105">
        <f t="shared" si="49"/>
        <v>0</v>
      </c>
      <c r="T63" s="143">
        <f t="shared" si="48"/>
        <v>0</v>
      </c>
      <c r="U63" s="10"/>
      <c r="V63" s="199"/>
      <c r="W63" t="s">
        <v>71</v>
      </c>
      <c r="X63" s="36">
        <f>N70</f>
        <v>194315.3026103334</v>
      </c>
      <c r="Y63" s="19"/>
      <c r="Z63" t="s">
        <v>175</v>
      </c>
    </row>
    <row r="64" spans="2:26" x14ac:dyDescent="0.25">
      <c r="B64" s="196"/>
      <c r="C64" s="100" t="s">
        <v>116</v>
      </c>
      <c r="E64" s="4">
        <f>Y41</f>
        <v>0</v>
      </c>
      <c r="F64" s="162" t="s">
        <v>206</v>
      </c>
      <c r="G64" s="100" t="s">
        <v>6</v>
      </c>
      <c r="H64" s="113">
        <f>'Input Data'!N28</f>
        <v>0</v>
      </c>
      <c r="I64" s="169">
        <f t="shared" ref="I64:I69" si="51">I63</f>
        <v>0</v>
      </c>
      <c r="J64" s="57">
        <f t="shared" si="42"/>
        <v>0</v>
      </c>
      <c r="K64" s="112">
        <f>'Input Data'!AL11</f>
        <v>0</v>
      </c>
      <c r="L64" s="10">
        <f t="shared" si="43"/>
        <v>0</v>
      </c>
      <c r="M64" s="10">
        <f t="shared" si="44"/>
        <v>0</v>
      </c>
      <c r="N64" s="10">
        <f t="shared" si="50"/>
        <v>12144.706413145834</v>
      </c>
      <c r="O64" s="40">
        <f t="shared" si="45"/>
        <v>12144.706413145834</v>
      </c>
      <c r="P64" s="59">
        <f t="shared" si="46"/>
        <v>12144.706413145834</v>
      </c>
      <c r="Q64" s="10">
        <f t="shared" si="47"/>
        <v>133591.77054460417</v>
      </c>
      <c r="R64" s="115">
        <f>'Input Data'!$C$110/100/12</f>
        <v>0</v>
      </c>
      <c r="S64" s="105">
        <f t="shared" si="49"/>
        <v>0</v>
      </c>
      <c r="T64" s="143">
        <f t="shared" si="48"/>
        <v>0</v>
      </c>
      <c r="U64" s="10"/>
      <c r="V64" s="199"/>
      <c r="W64" t="s">
        <v>33</v>
      </c>
      <c r="Y64" s="40">
        <f>X63+X62</f>
        <v>194315.3026103334</v>
      </c>
      <c r="Z64" t="s">
        <v>112</v>
      </c>
    </row>
    <row r="65" spans="2:26" x14ac:dyDescent="0.25">
      <c r="B65" s="196"/>
      <c r="C65" s="61" t="s">
        <v>161</v>
      </c>
      <c r="E65" s="24">
        <f>SUM(E62:E64)</f>
        <v>145736.47695775001</v>
      </c>
      <c r="G65" s="100" t="s">
        <v>7</v>
      </c>
      <c r="H65" s="113">
        <f>'Input Data'!N29</f>
        <v>0</v>
      </c>
      <c r="I65" s="169">
        <f t="shared" si="51"/>
        <v>0</v>
      </c>
      <c r="J65" s="57">
        <f t="shared" si="42"/>
        <v>0</v>
      </c>
      <c r="K65" s="112">
        <f>'Input Data'!AL12</f>
        <v>0</v>
      </c>
      <c r="L65" s="10">
        <f t="shared" si="43"/>
        <v>0</v>
      </c>
      <c r="M65" s="10">
        <f t="shared" si="44"/>
        <v>0</v>
      </c>
      <c r="N65" s="10">
        <f t="shared" si="50"/>
        <v>12144.706413145834</v>
      </c>
      <c r="O65" s="40">
        <f t="shared" si="45"/>
        <v>12144.706413145834</v>
      </c>
      <c r="P65" s="59">
        <f t="shared" si="46"/>
        <v>12144.706413145834</v>
      </c>
      <c r="Q65" s="10">
        <f t="shared" si="47"/>
        <v>145736.47695775001</v>
      </c>
      <c r="R65" s="115">
        <f>'Input Data'!$C$110/100/12</f>
        <v>0</v>
      </c>
      <c r="S65" s="105">
        <f t="shared" si="49"/>
        <v>0</v>
      </c>
      <c r="T65" s="143">
        <f t="shared" si="48"/>
        <v>0</v>
      </c>
      <c r="U65" s="10"/>
      <c r="V65" s="199"/>
      <c r="W65" t="s">
        <v>34</v>
      </c>
      <c r="Y65" s="65">
        <f>J70</f>
        <v>0</v>
      </c>
      <c r="Z65" t="s">
        <v>162</v>
      </c>
    </row>
    <row r="66" spans="2:26" x14ac:dyDescent="0.25">
      <c r="B66" s="196"/>
      <c r="G66" s="100" t="s">
        <v>8</v>
      </c>
      <c r="H66" s="113">
        <f>'Input Data'!N30</f>
        <v>0</v>
      </c>
      <c r="I66" s="169">
        <f t="shared" si="51"/>
        <v>0</v>
      </c>
      <c r="J66" s="57">
        <f t="shared" si="42"/>
        <v>0</v>
      </c>
      <c r="K66" s="112">
        <f>'Input Data'!AL13</f>
        <v>0</v>
      </c>
      <c r="L66" s="10">
        <f t="shared" si="43"/>
        <v>0</v>
      </c>
      <c r="M66" s="10">
        <f t="shared" si="44"/>
        <v>0</v>
      </c>
      <c r="N66" s="10">
        <f t="shared" si="50"/>
        <v>12144.706413145834</v>
      </c>
      <c r="O66" s="40">
        <f t="shared" si="45"/>
        <v>12144.706413145834</v>
      </c>
      <c r="P66" s="59">
        <f t="shared" si="46"/>
        <v>12144.706413145834</v>
      </c>
      <c r="Q66" s="10">
        <f t="shared" si="47"/>
        <v>157881.18337089586</v>
      </c>
      <c r="R66" s="115">
        <f>'Input Data'!$C$110/100/12</f>
        <v>0</v>
      </c>
      <c r="S66" s="105">
        <f t="shared" si="49"/>
        <v>0</v>
      </c>
      <c r="T66" s="143">
        <f t="shared" si="48"/>
        <v>0</v>
      </c>
      <c r="U66" s="10"/>
      <c r="V66" s="199"/>
      <c r="W66" t="s">
        <v>18</v>
      </c>
      <c r="Y66" s="78">
        <f>Y64-Y65</f>
        <v>194315.3026103334</v>
      </c>
      <c r="Z66" t="s">
        <v>215</v>
      </c>
    </row>
    <row r="67" spans="2:26" x14ac:dyDescent="0.25">
      <c r="B67" s="196"/>
      <c r="C67" s="18" t="s">
        <v>114</v>
      </c>
      <c r="D67" s="117">
        <f>'Input Data'!L38</f>
        <v>0</v>
      </c>
      <c r="F67" s="162" t="s">
        <v>207</v>
      </c>
      <c r="G67" s="100" t="s">
        <v>9</v>
      </c>
      <c r="H67" s="113">
        <f>'Input Data'!N31</f>
        <v>0</v>
      </c>
      <c r="I67" s="169">
        <f t="shared" si="51"/>
        <v>0</v>
      </c>
      <c r="J67" s="57">
        <f t="shared" si="42"/>
        <v>0</v>
      </c>
      <c r="K67" s="112">
        <f>'Input Data'!AL14</f>
        <v>0</v>
      </c>
      <c r="L67" s="10">
        <f t="shared" si="43"/>
        <v>0</v>
      </c>
      <c r="M67" s="10">
        <f t="shared" si="44"/>
        <v>0</v>
      </c>
      <c r="N67" s="10">
        <f t="shared" si="50"/>
        <v>12144.706413145834</v>
      </c>
      <c r="O67" s="40">
        <f t="shared" si="45"/>
        <v>12144.706413145834</v>
      </c>
      <c r="P67" s="59">
        <f t="shared" si="46"/>
        <v>12144.706413145834</v>
      </c>
      <c r="Q67" s="10">
        <f t="shared" si="47"/>
        <v>170025.8897840417</v>
      </c>
      <c r="R67" s="115">
        <f>'Input Data'!$C$111/100/12</f>
        <v>0</v>
      </c>
      <c r="S67" s="105">
        <f t="shared" si="49"/>
        <v>0</v>
      </c>
      <c r="T67" s="143">
        <f t="shared" si="48"/>
        <v>0</v>
      </c>
      <c r="U67" s="10"/>
      <c r="V67" s="199"/>
      <c r="W67" t="s">
        <v>35</v>
      </c>
      <c r="Y67" s="40">
        <f>S70+T83</f>
        <v>0</v>
      </c>
      <c r="Z67" t="s">
        <v>216</v>
      </c>
    </row>
    <row r="68" spans="2:26" x14ac:dyDescent="0.25">
      <c r="B68" s="196"/>
      <c r="C68" s="61" t="s">
        <v>202</v>
      </c>
      <c r="E68" s="23">
        <f>IFERROR(ROUND(-E65/D67,4),0)</f>
        <v>0</v>
      </c>
      <c r="G68" s="100" t="s">
        <v>10</v>
      </c>
      <c r="H68" s="113">
        <f>'Input Data'!N32</f>
        <v>0</v>
      </c>
      <c r="I68" s="169">
        <f t="shared" si="51"/>
        <v>0</v>
      </c>
      <c r="J68" s="57">
        <f t="shared" si="42"/>
        <v>0</v>
      </c>
      <c r="K68" s="112">
        <f>'Input Data'!AL15</f>
        <v>0</v>
      </c>
      <c r="L68" s="10">
        <f t="shared" si="43"/>
        <v>0</v>
      </c>
      <c r="M68" s="10">
        <f t="shared" si="44"/>
        <v>0</v>
      </c>
      <c r="N68" s="10">
        <f t="shared" si="50"/>
        <v>12144.706413145834</v>
      </c>
      <c r="O68" s="40">
        <f t="shared" si="45"/>
        <v>12144.706413145834</v>
      </c>
      <c r="P68" s="59">
        <f t="shared" si="46"/>
        <v>12144.706413145834</v>
      </c>
      <c r="Q68" s="10">
        <f t="shared" si="47"/>
        <v>182170.59619718755</v>
      </c>
      <c r="R68" s="115">
        <f>'Input Data'!$C$111/100/12</f>
        <v>0</v>
      </c>
      <c r="S68" s="105">
        <f t="shared" si="49"/>
        <v>0</v>
      </c>
      <c r="T68" s="143">
        <f t="shared" si="48"/>
        <v>0</v>
      </c>
      <c r="U68" s="10"/>
      <c r="V68" s="200"/>
      <c r="W68" s="21"/>
      <c r="X68" s="21"/>
      <c r="Y68" s="22"/>
    </row>
    <row r="69" spans="2:26" x14ac:dyDescent="0.25">
      <c r="B69" s="196"/>
      <c r="G69" s="100" t="s">
        <v>11</v>
      </c>
      <c r="H69" s="113">
        <f>'Input Data'!N33</f>
        <v>0</v>
      </c>
      <c r="I69" s="169">
        <f t="shared" si="51"/>
        <v>0</v>
      </c>
      <c r="J69" s="57">
        <f t="shared" si="42"/>
        <v>0</v>
      </c>
      <c r="K69" s="112">
        <f>'Input Data'!AL16</f>
        <v>0</v>
      </c>
      <c r="L69" s="10">
        <f t="shared" si="43"/>
        <v>0</v>
      </c>
      <c r="M69" s="10">
        <f t="shared" si="44"/>
        <v>0</v>
      </c>
      <c r="N69" s="10">
        <f t="shared" si="50"/>
        <v>12144.706413145834</v>
      </c>
      <c r="O69" s="40">
        <f t="shared" si="45"/>
        <v>12144.706413145834</v>
      </c>
      <c r="P69" s="59">
        <f t="shared" si="46"/>
        <v>12144.706413145834</v>
      </c>
      <c r="Q69" s="10">
        <f t="shared" si="47"/>
        <v>194315.3026103334</v>
      </c>
      <c r="R69" s="115">
        <f>'Input Data'!$C$111/100/12</f>
        <v>0</v>
      </c>
      <c r="S69" s="105">
        <f t="shared" si="49"/>
        <v>0</v>
      </c>
      <c r="T69" s="143">
        <f t="shared" si="48"/>
        <v>0</v>
      </c>
      <c r="U69" s="10"/>
    </row>
    <row r="70" spans="2:26" ht="15.75" thickBot="1" x14ac:dyDescent="0.3">
      <c r="B70" s="197"/>
      <c r="C70" s="137"/>
      <c r="D70" s="137"/>
      <c r="E70" s="137"/>
      <c r="F70" s="163"/>
      <c r="G70" s="118" t="s">
        <v>14</v>
      </c>
      <c r="H70" s="119">
        <f>SUM(H58:H69)</f>
        <v>0</v>
      </c>
      <c r="I70" s="120"/>
      <c r="J70" s="121">
        <f t="shared" ref="J70:P70" si="52">SUM(J58:J69)</f>
        <v>0</v>
      </c>
      <c r="K70" s="122">
        <f t="shared" si="52"/>
        <v>0</v>
      </c>
      <c r="L70" s="123">
        <f t="shared" si="52"/>
        <v>0</v>
      </c>
      <c r="M70" s="123">
        <f t="shared" si="52"/>
        <v>0</v>
      </c>
      <c r="N70" s="123">
        <f t="shared" si="52"/>
        <v>194315.3026103334</v>
      </c>
      <c r="O70" s="121">
        <f t="shared" si="52"/>
        <v>194315.3026103334</v>
      </c>
      <c r="P70" s="122">
        <f t="shared" si="52"/>
        <v>194315.3026103334</v>
      </c>
      <c r="Q70" s="124"/>
      <c r="R70" s="120"/>
      <c r="S70" s="123">
        <f>SUM(S58:S69)</f>
        <v>0</v>
      </c>
      <c r="T70" s="165">
        <f>SUM(T58:T69)</f>
        <v>0</v>
      </c>
      <c r="U70" s="11"/>
    </row>
    <row r="71" spans="2:26" x14ac:dyDescent="0.25">
      <c r="X71" s="1"/>
    </row>
  </sheetData>
  <mergeCells count="12">
    <mergeCell ref="B32:B44"/>
    <mergeCell ref="V33:V42"/>
    <mergeCell ref="B45:B57"/>
    <mergeCell ref="V46:V55"/>
    <mergeCell ref="B58:B70"/>
    <mergeCell ref="V59:V68"/>
    <mergeCell ref="G2:T2"/>
    <mergeCell ref="C5:E5"/>
    <mergeCell ref="B6:B18"/>
    <mergeCell ref="V7:V16"/>
    <mergeCell ref="B19:B31"/>
    <mergeCell ref="V20:V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733B4-B975-4182-B711-F37424238257}">
  <sheetPr>
    <tabColor theme="2"/>
  </sheetPr>
  <dimension ref="B1:Q43"/>
  <sheetViews>
    <sheetView workbookViewId="0">
      <selection activeCell="D11" sqref="D11"/>
    </sheetView>
  </sheetViews>
  <sheetFormatPr defaultRowHeight="15" x14ac:dyDescent="0.25"/>
  <cols>
    <col min="3" max="3" width="11.28515625" bestFit="1" customWidth="1"/>
    <col min="4" max="4" width="11.5703125" bestFit="1" customWidth="1"/>
    <col min="5" max="7" width="12.28515625" bestFit="1" customWidth="1"/>
    <col min="8" max="8" width="11.5703125" customWidth="1"/>
    <col min="9" max="9" width="8.42578125" bestFit="1" customWidth="1"/>
    <col min="10" max="10" width="11" customWidth="1"/>
    <col min="11" max="11" width="9.7109375" bestFit="1" customWidth="1"/>
    <col min="14" max="14" width="33.5703125" bestFit="1" customWidth="1"/>
    <col min="15" max="15" width="11.140625" customWidth="1"/>
    <col min="16" max="16" width="13" customWidth="1"/>
    <col min="17" max="17" width="43" bestFit="1" customWidth="1"/>
  </cols>
  <sheetData>
    <row r="1" spans="2:17" ht="15.75" thickBot="1" x14ac:dyDescent="0.3"/>
    <row r="2" spans="2:17" ht="15.75" x14ac:dyDescent="0.25">
      <c r="C2" s="207" t="s">
        <v>119</v>
      </c>
      <c r="D2" s="208"/>
      <c r="E2" s="208"/>
      <c r="F2" s="208"/>
      <c r="G2" s="208"/>
      <c r="H2" s="208"/>
      <c r="I2" s="208"/>
      <c r="J2" s="208"/>
      <c r="K2" s="209"/>
    </row>
    <row r="3" spans="2:17" ht="45" x14ac:dyDescent="0.25">
      <c r="C3" s="61"/>
      <c r="D3" s="75" t="s">
        <v>15</v>
      </c>
      <c r="E3" s="76" t="s">
        <v>117</v>
      </c>
      <c r="F3" s="76" t="s">
        <v>70</v>
      </c>
      <c r="G3" s="74" t="s">
        <v>33</v>
      </c>
      <c r="H3" s="73" t="s">
        <v>120</v>
      </c>
      <c r="I3" s="73" t="s">
        <v>22</v>
      </c>
      <c r="J3" s="73" t="s">
        <v>21</v>
      </c>
      <c r="K3" s="77" t="s">
        <v>91</v>
      </c>
    </row>
    <row r="4" spans="2:17" ht="15.75" thickBot="1" x14ac:dyDescent="0.3">
      <c r="C4" s="63"/>
      <c r="D4" s="109" t="s">
        <v>23</v>
      </c>
      <c r="E4" s="110" t="s">
        <v>137</v>
      </c>
      <c r="F4" s="110" t="s">
        <v>138</v>
      </c>
      <c r="G4" s="108" t="s">
        <v>139</v>
      </c>
      <c r="H4" s="107" t="s">
        <v>140</v>
      </c>
      <c r="I4" s="107" t="s">
        <v>26</v>
      </c>
      <c r="J4" s="107" t="s">
        <v>141</v>
      </c>
      <c r="K4" s="111"/>
    </row>
    <row r="5" spans="2:17" x14ac:dyDescent="0.25">
      <c r="B5" s="195">
        <v>2023</v>
      </c>
      <c r="C5" t="s">
        <v>0</v>
      </c>
      <c r="D5" s="59"/>
      <c r="E5" s="10">
        <f t="shared" ref="E5:E16" si="0">-D5/2</f>
        <v>0</v>
      </c>
      <c r="F5" s="10">
        <f t="shared" ref="F5:F16" si="1">-D5/2</f>
        <v>0</v>
      </c>
      <c r="G5" s="40">
        <f t="shared" ref="G5:G29" si="2">F5</f>
        <v>0</v>
      </c>
      <c r="H5" s="10">
        <f>G5</f>
        <v>0</v>
      </c>
      <c r="I5" s="60">
        <f>'Input Data'!$C$88/100/12</f>
        <v>3.9416666666666671E-3</v>
      </c>
      <c r="J5" s="105">
        <f t="shared" ref="J5:J10" si="3">H5*I5</f>
        <v>0</v>
      </c>
      <c r="K5" s="62"/>
      <c r="L5" s="10"/>
    </row>
    <row r="6" spans="2:17" x14ac:dyDescent="0.25">
      <c r="B6" s="196"/>
      <c r="C6" t="s">
        <v>1</v>
      </c>
      <c r="D6" s="59"/>
      <c r="E6" s="10">
        <f t="shared" si="0"/>
        <v>0</v>
      </c>
      <c r="F6" s="10">
        <f t="shared" si="1"/>
        <v>0</v>
      </c>
      <c r="G6" s="40">
        <f t="shared" si="2"/>
        <v>0</v>
      </c>
      <c r="H6" s="10">
        <f t="shared" ref="H6:H16" si="4">H5+G6</f>
        <v>0</v>
      </c>
      <c r="I6" s="60">
        <f>'Input Data'!$C$88/100/12</f>
        <v>3.9416666666666671E-3</v>
      </c>
      <c r="J6" s="105">
        <f t="shared" si="3"/>
        <v>0</v>
      </c>
      <c r="K6" s="62"/>
      <c r="L6" s="10"/>
      <c r="M6" s="138" t="s">
        <v>99</v>
      </c>
      <c r="N6" s="16"/>
      <c r="O6" s="16"/>
      <c r="P6" s="17"/>
    </row>
    <row r="7" spans="2:17" x14ac:dyDescent="0.25">
      <c r="B7" s="196"/>
      <c r="C7" t="s">
        <v>2</v>
      </c>
      <c r="D7" s="59"/>
      <c r="E7" s="10">
        <f t="shared" si="0"/>
        <v>0</v>
      </c>
      <c r="F7" s="10">
        <f t="shared" si="1"/>
        <v>0</v>
      </c>
      <c r="G7" s="40">
        <f t="shared" si="2"/>
        <v>0</v>
      </c>
      <c r="H7" s="10">
        <f t="shared" si="4"/>
        <v>0</v>
      </c>
      <c r="I7" s="60">
        <f>'Input Data'!$C$88/100/12</f>
        <v>3.9416666666666671E-3</v>
      </c>
      <c r="J7" s="105">
        <f t="shared" si="3"/>
        <v>0</v>
      </c>
      <c r="K7" s="62"/>
      <c r="L7" s="10"/>
      <c r="M7" s="79"/>
      <c r="N7" t="s">
        <v>100</v>
      </c>
      <c r="P7" s="40">
        <f>D17</f>
        <v>847416.91</v>
      </c>
      <c r="Q7" t="s">
        <v>110</v>
      </c>
    </row>
    <row r="8" spans="2:17" x14ac:dyDescent="0.25">
      <c r="B8" s="196"/>
      <c r="C8" t="s">
        <v>3</v>
      </c>
      <c r="D8" s="59"/>
      <c r="E8" s="10">
        <f t="shared" si="0"/>
        <v>0</v>
      </c>
      <c r="F8" s="10">
        <f t="shared" si="1"/>
        <v>0</v>
      </c>
      <c r="G8" s="40">
        <f t="shared" si="2"/>
        <v>0</v>
      </c>
      <c r="H8" s="10">
        <f t="shared" si="4"/>
        <v>0</v>
      </c>
      <c r="I8" s="60">
        <f>'Input Data'!$C$89/100/12</f>
        <v>4.15E-3</v>
      </c>
      <c r="J8" s="105">
        <f t="shared" si="3"/>
        <v>0</v>
      </c>
      <c r="K8" s="62"/>
      <c r="L8" s="10"/>
      <c r="M8" s="79"/>
      <c r="N8" t="s">
        <v>98</v>
      </c>
      <c r="P8" s="40">
        <f>E17</f>
        <v>-423708.45500000002</v>
      </c>
      <c r="Q8" t="s">
        <v>32</v>
      </c>
    </row>
    <row r="9" spans="2:17" x14ac:dyDescent="0.25">
      <c r="B9" s="196"/>
      <c r="C9" t="s">
        <v>4</v>
      </c>
      <c r="D9" s="59"/>
      <c r="E9" s="10">
        <f t="shared" si="0"/>
        <v>0</v>
      </c>
      <c r="F9" s="10">
        <f t="shared" si="1"/>
        <v>0</v>
      </c>
      <c r="G9" s="40">
        <f t="shared" si="2"/>
        <v>0</v>
      </c>
      <c r="H9" s="10">
        <f t="shared" si="4"/>
        <v>0</v>
      </c>
      <c r="I9" s="60">
        <f>'Input Data'!$C$89/100/12</f>
        <v>4.15E-3</v>
      </c>
      <c r="J9" s="105">
        <f t="shared" si="3"/>
        <v>0</v>
      </c>
      <c r="K9" s="62"/>
      <c r="L9" s="10"/>
      <c r="M9" s="79"/>
      <c r="N9" t="s">
        <v>121</v>
      </c>
      <c r="P9" s="40">
        <f>F17</f>
        <v>-423708.45500000002</v>
      </c>
      <c r="Q9" t="s">
        <v>122</v>
      </c>
    </row>
    <row r="10" spans="2:17" x14ac:dyDescent="0.25">
      <c r="B10" s="196"/>
      <c r="C10" t="s">
        <v>5</v>
      </c>
      <c r="D10" s="59"/>
      <c r="E10" s="10">
        <f t="shared" si="0"/>
        <v>0</v>
      </c>
      <c r="F10" s="10">
        <f t="shared" si="1"/>
        <v>0</v>
      </c>
      <c r="G10" s="40">
        <f t="shared" si="2"/>
        <v>0</v>
      </c>
      <c r="H10" s="10">
        <f t="shared" si="4"/>
        <v>0</v>
      </c>
      <c r="I10" s="60">
        <f>'Input Data'!$C$89/100/12</f>
        <v>4.15E-3</v>
      </c>
      <c r="J10" s="105">
        <f t="shared" si="3"/>
        <v>0</v>
      </c>
      <c r="K10" s="62"/>
      <c r="L10" s="10"/>
      <c r="M10" s="80"/>
      <c r="N10" s="21" t="s">
        <v>19</v>
      </c>
      <c r="O10" s="21"/>
      <c r="P10" s="65">
        <f>J17+K30</f>
        <v>-13500.975873250001</v>
      </c>
      <c r="Q10" t="s">
        <v>123</v>
      </c>
    </row>
    <row r="11" spans="2:17" x14ac:dyDescent="0.25">
      <c r="B11" s="196"/>
      <c r="C11" t="s">
        <v>6</v>
      </c>
      <c r="D11" s="112">
        <f>'Input Data'!W11</f>
        <v>256400.04</v>
      </c>
      <c r="E11" s="10">
        <f>-D11/2</f>
        <v>-128200.02</v>
      </c>
      <c r="F11" s="10">
        <f t="shared" si="1"/>
        <v>-128200.02</v>
      </c>
      <c r="G11" s="40">
        <f t="shared" si="2"/>
        <v>-128200.02</v>
      </c>
      <c r="H11" s="10">
        <f t="shared" si="4"/>
        <v>-128200.02</v>
      </c>
      <c r="I11" s="114">
        <f>'Input Data'!$C$90/100/12</f>
        <v>4.15E-3</v>
      </c>
      <c r="J11" s="105">
        <f>H10*I11</f>
        <v>0</v>
      </c>
      <c r="K11" s="62"/>
      <c r="L11" s="10"/>
    </row>
    <row r="12" spans="2:17" x14ac:dyDescent="0.25">
      <c r="B12" s="196"/>
      <c r="C12" t="s">
        <v>7</v>
      </c>
      <c r="D12" s="112">
        <f>'Input Data'!W12</f>
        <v>388490.9</v>
      </c>
      <c r="E12" s="10">
        <f t="shared" si="0"/>
        <v>-194245.45</v>
      </c>
      <c r="F12" s="10">
        <f t="shared" si="1"/>
        <v>-194245.45</v>
      </c>
      <c r="G12" s="40">
        <f t="shared" si="2"/>
        <v>-194245.45</v>
      </c>
      <c r="H12" s="10">
        <f t="shared" si="4"/>
        <v>-322445.47000000003</v>
      </c>
      <c r="I12" s="114">
        <f>'Input Data'!$C$90/100/12</f>
        <v>4.15E-3</v>
      </c>
      <c r="J12" s="105">
        <f t="shared" ref="J12:J16" si="5">H11*I12</f>
        <v>-532.03008299999999</v>
      </c>
      <c r="K12" s="62"/>
      <c r="L12" s="10"/>
    </row>
    <row r="13" spans="2:17" x14ac:dyDescent="0.25">
      <c r="B13" s="196"/>
      <c r="C13" t="s">
        <v>8</v>
      </c>
      <c r="D13" s="112">
        <f>'Input Data'!W13</f>
        <v>202525.97</v>
      </c>
      <c r="E13" s="10">
        <f t="shared" si="0"/>
        <v>-101262.985</v>
      </c>
      <c r="F13" s="10">
        <f t="shared" si="1"/>
        <v>-101262.985</v>
      </c>
      <c r="G13" s="40">
        <f t="shared" si="2"/>
        <v>-101262.985</v>
      </c>
      <c r="H13" s="10">
        <f t="shared" si="4"/>
        <v>-423708.45500000002</v>
      </c>
      <c r="I13" s="114">
        <f>'Input Data'!$C$90/100/12</f>
        <v>4.15E-3</v>
      </c>
      <c r="J13" s="105">
        <f t="shared" si="5"/>
        <v>-1338.1487005000001</v>
      </c>
      <c r="K13" s="62"/>
      <c r="L13" s="10"/>
    </row>
    <row r="14" spans="2:17" x14ac:dyDescent="0.25">
      <c r="B14" s="196"/>
      <c r="C14" t="s">
        <v>9</v>
      </c>
      <c r="D14" s="112">
        <f>'Input Data'!W14</f>
        <v>0</v>
      </c>
      <c r="E14" s="10">
        <f t="shared" si="0"/>
        <v>0</v>
      </c>
      <c r="F14" s="10">
        <f t="shared" si="1"/>
        <v>0</v>
      </c>
      <c r="G14" s="40">
        <f t="shared" si="2"/>
        <v>0</v>
      </c>
      <c r="H14" s="10">
        <f t="shared" si="4"/>
        <v>-423708.45500000002</v>
      </c>
      <c r="I14" s="114">
        <f>'Input Data'!$C$91/100/12</f>
        <v>4.5750000000000001E-3</v>
      </c>
      <c r="J14" s="105">
        <f t="shared" si="5"/>
        <v>-1938.4661816250002</v>
      </c>
      <c r="K14" s="62"/>
      <c r="L14" s="10"/>
    </row>
    <row r="15" spans="2:17" x14ac:dyDescent="0.25">
      <c r="B15" s="196"/>
      <c r="C15" t="s">
        <v>10</v>
      </c>
      <c r="D15" s="112">
        <f>'Input Data'!W15</f>
        <v>0</v>
      </c>
      <c r="E15" s="10">
        <f t="shared" si="0"/>
        <v>0</v>
      </c>
      <c r="F15" s="10">
        <f t="shared" si="1"/>
        <v>0</v>
      </c>
      <c r="G15" s="40">
        <f t="shared" si="2"/>
        <v>0</v>
      </c>
      <c r="H15" s="10">
        <f t="shared" si="4"/>
        <v>-423708.45500000002</v>
      </c>
      <c r="I15" s="114">
        <f>'Input Data'!$C$91/100/12</f>
        <v>4.5750000000000001E-3</v>
      </c>
      <c r="J15" s="105">
        <f t="shared" si="5"/>
        <v>-1938.4661816250002</v>
      </c>
      <c r="K15" s="62"/>
      <c r="L15" s="10"/>
    </row>
    <row r="16" spans="2:17" x14ac:dyDescent="0.25">
      <c r="B16" s="196"/>
      <c r="C16" t="s">
        <v>11</v>
      </c>
      <c r="D16" s="112">
        <f>'Input Data'!W16</f>
        <v>0</v>
      </c>
      <c r="E16" s="10">
        <f t="shared" si="0"/>
        <v>0</v>
      </c>
      <c r="F16" s="10">
        <f t="shared" si="1"/>
        <v>0</v>
      </c>
      <c r="G16" s="40">
        <f t="shared" si="2"/>
        <v>0</v>
      </c>
      <c r="H16" s="10">
        <f t="shared" si="4"/>
        <v>-423708.45500000002</v>
      </c>
      <c r="I16" s="114">
        <f>'Input Data'!$C$91/100/12</f>
        <v>4.5750000000000001E-3</v>
      </c>
      <c r="J16" s="105">
        <f t="shared" si="5"/>
        <v>-1938.4661816250002</v>
      </c>
      <c r="K16" s="62"/>
      <c r="L16" s="10"/>
    </row>
    <row r="17" spans="2:17" ht="15.75" thickBot="1" x14ac:dyDescent="0.3">
      <c r="B17" s="197"/>
      <c r="C17" s="120" t="s">
        <v>14</v>
      </c>
      <c r="D17" s="122">
        <f>SUM(D5:D16)</f>
        <v>847416.91</v>
      </c>
      <c r="E17" s="123">
        <f>SUM(E5:E16)</f>
        <v>-423708.45500000002</v>
      </c>
      <c r="F17" s="123">
        <f>SUM(F5:F16)</f>
        <v>-423708.45500000002</v>
      </c>
      <c r="G17" s="121">
        <f>SUM(G5:G16)</f>
        <v>-423708.45500000002</v>
      </c>
      <c r="H17" s="124"/>
      <c r="I17" s="120"/>
      <c r="J17" s="123">
        <f>SUM(J5:J16)</f>
        <v>-7685.5773283750004</v>
      </c>
      <c r="K17" s="125">
        <f>SUM(K5:K16)</f>
        <v>0</v>
      </c>
      <c r="L17" s="11"/>
    </row>
    <row r="18" spans="2:17" x14ac:dyDescent="0.25">
      <c r="B18" s="195">
        <v>2024</v>
      </c>
      <c r="C18" s="101" t="s">
        <v>0</v>
      </c>
      <c r="D18" s="112">
        <f>'Input Data'!Z5</f>
        <v>0</v>
      </c>
      <c r="E18" s="102">
        <f t="shared" ref="E18:E29" si="6">-D18/2</f>
        <v>0</v>
      </c>
      <c r="F18" s="102">
        <f t="shared" ref="F18:F29" si="7">-D18/2</f>
        <v>0</v>
      </c>
      <c r="G18" s="103">
        <f t="shared" si="2"/>
        <v>0</v>
      </c>
      <c r="H18" s="102">
        <f>G18</f>
        <v>0</v>
      </c>
      <c r="I18" s="168">
        <f>'Input Data'!$C$92/100/12</f>
        <v>4.5750000000000001E-3</v>
      </c>
      <c r="J18" s="104"/>
      <c r="K18" s="62">
        <f>$H$16*I18</f>
        <v>-1938.4661816250002</v>
      </c>
      <c r="L18" s="10"/>
    </row>
    <row r="19" spans="2:17" x14ac:dyDescent="0.25">
      <c r="B19" s="196"/>
      <c r="C19" s="100" t="s">
        <v>1</v>
      </c>
      <c r="D19" s="112">
        <f>'Input Data'!Z6</f>
        <v>0</v>
      </c>
      <c r="E19" s="10">
        <f t="shared" si="6"/>
        <v>0</v>
      </c>
      <c r="F19" s="10">
        <f t="shared" si="7"/>
        <v>0</v>
      </c>
      <c r="G19" s="40">
        <f t="shared" si="2"/>
        <v>0</v>
      </c>
      <c r="H19" s="10">
        <f t="shared" ref="H19:H29" si="8">H18+G19</f>
        <v>0</v>
      </c>
      <c r="I19" s="114">
        <f>'Input Data'!$C$92/100/12</f>
        <v>4.5750000000000001E-3</v>
      </c>
      <c r="J19" s="105">
        <f>H18*I19</f>
        <v>0</v>
      </c>
      <c r="K19" s="62">
        <f t="shared" ref="K19:K29" si="9">$H$16*I19</f>
        <v>-1938.4661816250002</v>
      </c>
      <c r="L19" s="10"/>
      <c r="M19" s="138" t="s">
        <v>99</v>
      </c>
      <c r="N19" s="16"/>
      <c r="O19" s="16"/>
      <c r="P19" s="17"/>
    </row>
    <row r="20" spans="2:17" x14ac:dyDescent="0.25">
      <c r="B20" s="196"/>
      <c r="C20" s="100" t="s">
        <v>2</v>
      </c>
      <c r="D20" s="112">
        <f>'Input Data'!Z7</f>
        <v>0</v>
      </c>
      <c r="E20" s="10">
        <f t="shared" si="6"/>
        <v>0</v>
      </c>
      <c r="F20" s="10">
        <f t="shared" si="7"/>
        <v>0</v>
      </c>
      <c r="G20" s="40">
        <f t="shared" si="2"/>
        <v>0</v>
      </c>
      <c r="H20" s="10">
        <f t="shared" si="8"/>
        <v>0</v>
      </c>
      <c r="I20" s="114">
        <f>'Input Data'!$C$92/100/12</f>
        <v>4.5750000000000001E-3</v>
      </c>
      <c r="J20" s="105">
        <f t="shared" ref="J20:J29" si="10">H19*I20</f>
        <v>0</v>
      </c>
      <c r="K20" s="62">
        <f t="shared" si="9"/>
        <v>-1938.4661816250002</v>
      </c>
      <c r="L20" s="10"/>
      <c r="M20" s="79"/>
      <c r="N20" t="s">
        <v>100</v>
      </c>
      <c r="P20" s="40">
        <f>D30</f>
        <v>0</v>
      </c>
      <c r="Q20" t="s">
        <v>110</v>
      </c>
    </row>
    <row r="21" spans="2:17" x14ac:dyDescent="0.25">
      <c r="B21" s="196"/>
      <c r="C21" s="100" t="s">
        <v>3</v>
      </c>
      <c r="D21" s="112">
        <f>'Input Data'!Z8</f>
        <v>0</v>
      </c>
      <c r="E21" s="10">
        <f t="shared" si="6"/>
        <v>0</v>
      </c>
      <c r="F21" s="10">
        <f t="shared" si="7"/>
        <v>0</v>
      </c>
      <c r="G21" s="40">
        <f t="shared" si="2"/>
        <v>0</v>
      </c>
      <c r="H21" s="10">
        <f t="shared" si="8"/>
        <v>0</v>
      </c>
      <c r="I21" s="114">
        <f>'Input Data'!$C$93/100/12</f>
        <v>0</v>
      </c>
      <c r="J21" s="105">
        <f t="shared" si="10"/>
        <v>0</v>
      </c>
      <c r="K21" s="62">
        <f t="shared" si="9"/>
        <v>0</v>
      </c>
      <c r="L21" s="10"/>
      <c r="M21" s="79"/>
      <c r="N21" t="s">
        <v>98</v>
      </c>
      <c r="P21" s="40">
        <f>E30</f>
        <v>0</v>
      </c>
      <c r="Q21" t="s">
        <v>32</v>
      </c>
    </row>
    <row r="22" spans="2:17" x14ac:dyDescent="0.25">
      <c r="B22" s="196"/>
      <c r="C22" s="100" t="s">
        <v>4</v>
      </c>
      <c r="D22" s="59"/>
      <c r="E22" s="10">
        <f t="shared" si="6"/>
        <v>0</v>
      </c>
      <c r="F22" s="10">
        <f t="shared" si="7"/>
        <v>0</v>
      </c>
      <c r="G22" s="40">
        <f t="shared" si="2"/>
        <v>0</v>
      </c>
      <c r="H22" s="10">
        <f t="shared" si="8"/>
        <v>0</v>
      </c>
      <c r="I22" s="114">
        <f>'Input Data'!$C$93/100/12</f>
        <v>0</v>
      </c>
      <c r="J22" s="105">
        <f t="shared" si="10"/>
        <v>0</v>
      </c>
      <c r="K22" s="62">
        <f t="shared" si="9"/>
        <v>0</v>
      </c>
      <c r="L22" s="10"/>
      <c r="M22" s="79"/>
      <c r="N22" t="s">
        <v>121</v>
      </c>
      <c r="P22" s="40">
        <f>F30</f>
        <v>0</v>
      </c>
      <c r="Q22" t="s">
        <v>124</v>
      </c>
    </row>
    <row r="23" spans="2:17" x14ac:dyDescent="0.25">
      <c r="B23" s="196"/>
      <c r="C23" s="100" t="s">
        <v>5</v>
      </c>
      <c r="D23" s="59"/>
      <c r="E23" s="10">
        <f t="shared" si="6"/>
        <v>0</v>
      </c>
      <c r="F23" s="10">
        <f t="shared" si="7"/>
        <v>0</v>
      </c>
      <c r="G23" s="40">
        <f t="shared" si="2"/>
        <v>0</v>
      </c>
      <c r="H23" s="10">
        <f t="shared" si="8"/>
        <v>0</v>
      </c>
      <c r="I23" s="114">
        <f>'Input Data'!$C$93/100/12</f>
        <v>0</v>
      </c>
      <c r="J23" s="105">
        <f t="shared" si="10"/>
        <v>0</v>
      </c>
      <c r="K23" s="62">
        <f t="shared" si="9"/>
        <v>0</v>
      </c>
      <c r="L23" s="10"/>
      <c r="M23" s="80"/>
      <c r="N23" s="21" t="s">
        <v>19</v>
      </c>
      <c r="O23" s="21"/>
      <c r="P23" s="65">
        <f>J30+K43</f>
        <v>0</v>
      </c>
      <c r="Q23" t="s">
        <v>125</v>
      </c>
    </row>
    <row r="24" spans="2:17" x14ac:dyDescent="0.25">
      <c r="B24" s="196"/>
      <c r="C24" s="100" t="s">
        <v>6</v>
      </c>
      <c r="D24" s="59"/>
      <c r="E24" s="10">
        <f t="shared" si="6"/>
        <v>0</v>
      </c>
      <c r="F24" s="10">
        <f t="shared" si="7"/>
        <v>0</v>
      </c>
      <c r="G24" s="40">
        <f t="shared" si="2"/>
        <v>0</v>
      </c>
      <c r="H24" s="10">
        <f t="shared" si="8"/>
        <v>0</v>
      </c>
      <c r="I24" s="114">
        <f>'Input Data'!$C$94/100/12</f>
        <v>0</v>
      </c>
      <c r="J24" s="105">
        <f t="shared" si="10"/>
        <v>0</v>
      </c>
      <c r="K24" s="62">
        <f t="shared" si="9"/>
        <v>0</v>
      </c>
      <c r="L24" s="10"/>
    </row>
    <row r="25" spans="2:17" x14ac:dyDescent="0.25">
      <c r="B25" s="196"/>
      <c r="C25" s="100" t="s">
        <v>7</v>
      </c>
      <c r="D25" s="59"/>
      <c r="E25" s="10">
        <f t="shared" si="6"/>
        <v>0</v>
      </c>
      <c r="F25" s="10">
        <f t="shared" si="7"/>
        <v>0</v>
      </c>
      <c r="G25" s="40">
        <f t="shared" si="2"/>
        <v>0</v>
      </c>
      <c r="H25" s="10">
        <f t="shared" si="8"/>
        <v>0</v>
      </c>
      <c r="I25" s="114">
        <f>'Input Data'!$C$94/100/12</f>
        <v>0</v>
      </c>
      <c r="J25" s="105">
        <f t="shared" si="10"/>
        <v>0</v>
      </c>
      <c r="K25" s="62">
        <f t="shared" si="9"/>
        <v>0</v>
      </c>
      <c r="L25" s="10"/>
    </row>
    <row r="26" spans="2:17" x14ac:dyDescent="0.25">
      <c r="B26" s="196"/>
      <c r="C26" s="100" t="s">
        <v>8</v>
      </c>
      <c r="D26" s="59"/>
      <c r="E26" s="10">
        <f t="shared" si="6"/>
        <v>0</v>
      </c>
      <c r="F26" s="10">
        <f t="shared" si="7"/>
        <v>0</v>
      </c>
      <c r="G26" s="40">
        <f t="shared" si="2"/>
        <v>0</v>
      </c>
      <c r="H26" s="10">
        <f t="shared" si="8"/>
        <v>0</v>
      </c>
      <c r="I26" s="114">
        <f>'Input Data'!$C$94/100/12</f>
        <v>0</v>
      </c>
      <c r="J26" s="105">
        <f t="shared" si="10"/>
        <v>0</v>
      </c>
      <c r="K26" s="62">
        <f t="shared" si="9"/>
        <v>0</v>
      </c>
      <c r="L26" s="10"/>
    </row>
    <row r="27" spans="2:17" x14ac:dyDescent="0.25">
      <c r="B27" s="196"/>
      <c r="C27" s="100" t="s">
        <v>9</v>
      </c>
      <c r="D27" s="59"/>
      <c r="E27" s="10">
        <f t="shared" si="6"/>
        <v>0</v>
      </c>
      <c r="F27" s="10">
        <f t="shared" si="7"/>
        <v>0</v>
      </c>
      <c r="G27" s="40">
        <f t="shared" si="2"/>
        <v>0</v>
      </c>
      <c r="H27" s="10">
        <f t="shared" si="8"/>
        <v>0</v>
      </c>
      <c r="I27" s="114">
        <f>'Input Data'!$C$95/100/12</f>
        <v>0</v>
      </c>
      <c r="J27" s="105">
        <f t="shared" si="10"/>
        <v>0</v>
      </c>
      <c r="K27" s="62">
        <f t="shared" si="9"/>
        <v>0</v>
      </c>
      <c r="L27" s="10"/>
    </row>
    <row r="28" spans="2:17" x14ac:dyDescent="0.25">
      <c r="B28" s="196"/>
      <c r="C28" s="100" t="s">
        <v>10</v>
      </c>
      <c r="D28" s="59"/>
      <c r="E28" s="10">
        <f t="shared" si="6"/>
        <v>0</v>
      </c>
      <c r="F28" s="10">
        <f t="shared" si="7"/>
        <v>0</v>
      </c>
      <c r="G28" s="40">
        <f t="shared" si="2"/>
        <v>0</v>
      </c>
      <c r="H28" s="10">
        <f t="shared" si="8"/>
        <v>0</v>
      </c>
      <c r="I28" s="114">
        <f>'Input Data'!$C$95/100/12</f>
        <v>0</v>
      </c>
      <c r="J28" s="105">
        <f t="shared" si="10"/>
        <v>0</v>
      </c>
      <c r="K28" s="62">
        <f t="shared" si="9"/>
        <v>0</v>
      </c>
      <c r="L28" s="10"/>
    </row>
    <row r="29" spans="2:17" x14ac:dyDescent="0.25">
      <c r="B29" s="196"/>
      <c r="C29" s="100" t="s">
        <v>11</v>
      </c>
      <c r="D29" s="59"/>
      <c r="E29" s="10">
        <f t="shared" si="6"/>
        <v>0</v>
      </c>
      <c r="F29" s="10">
        <f t="shared" si="7"/>
        <v>0</v>
      </c>
      <c r="G29" s="40">
        <f t="shared" si="2"/>
        <v>0</v>
      </c>
      <c r="H29" s="10">
        <f t="shared" si="8"/>
        <v>0</v>
      </c>
      <c r="I29" s="114">
        <f>'Input Data'!$C$95/100/12</f>
        <v>0</v>
      </c>
      <c r="J29" s="105">
        <f t="shared" si="10"/>
        <v>0</v>
      </c>
      <c r="K29" s="62">
        <f t="shared" si="9"/>
        <v>0</v>
      </c>
      <c r="L29" s="10"/>
    </row>
    <row r="30" spans="2:17" ht="15.75" thickBot="1" x14ac:dyDescent="0.3">
      <c r="B30" s="197"/>
      <c r="C30" s="118" t="s">
        <v>14</v>
      </c>
      <c r="D30" s="122">
        <f>SUM(D18:D29)</f>
        <v>0</v>
      </c>
      <c r="E30" s="123">
        <f>SUM(E18:E29)</f>
        <v>0</v>
      </c>
      <c r="F30" s="123">
        <f>SUM(F18:F29)</f>
        <v>0</v>
      </c>
      <c r="G30" s="121">
        <f>SUM(G18:G29)</f>
        <v>0</v>
      </c>
      <c r="H30" s="124"/>
      <c r="I30" s="120"/>
      <c r="J30" s="123">
        <f>SUM(J18:J29)</f>
        <v>0</v>
      </c>
      <c r="K30" s="125">
        <f>SUM(K18:K29)</f>
        <v>-5815.3985448750009</v>
      </c>
      <c r="L30" s="11"/>
    </row>
    <row r="31" spans="2:17" x14ac:dyDescent="0.25">
      <c r="B31" s="195">
        <v>2025</v>
      </c>
      <c r="C31" s="101" t="s">
        <v>0</v>
      </c>
      <c r="D31" s="59"/>
      <c r="E31" s="10"/>
      <c r="F31" s="10"/>
      <c r="G31" s="40"/>
      <c r="H31" s="10"/>
      <c r="I31" s="168">
        <f>'Input Data'!$C$96/100/12</f>
        <v>0</v>
      </c>
      <c r="J31" s="104"/>
      <c r="K31" s="62">
        <f>$H$29*I31</f>
        <v>0</v>
      </c>
    </row>
    <row r="32" spans="2:17" x14ac:dyDescent="0.25">
      <c r="B32" s="196"/>
      <c r="C32" s="100" t="s">
        <v>1</v>
      </c>
      <c r="D32" s="59"/>
      <c r="E32" s="10"/>
      <c r="F32" s="10"/>
      <c r="G32" s="40"/>
      <c r="H32" s="10"/>
      <c r="I32" s="114">
        <f>'Input Data'!$C$96/100/12</f>
        <v>0</v>
      </c>
      <c r="J32" s="105">
        <f>H31*I32</f>
        <v>0</v>
      </c>
      <c r="K32" s="62">
        <f t="shared" ref="K32:K42" si="11">$H$29*I32</f>
        <v>0</v>
      </c>
    </row>
    <row r="33" spans="2:11" x14ac:dyDescent="0.25">
      <c r="B33" s="196"/>
      <c r="C33" s="100" t="s">
        <v>2</v>
      </c>
      <c r="D33" s="59"/>
      <c r="E33" s="10"/>
      <c r="F33" s="10"/>
      <c r="G33" s="40"/>
      <c r="H33" s="10"/>
      <c r="I33" s="114">
        <f>'Input Data'!$C$96/100/12</f>
        <v>0</v>
      </c>
      <c r="J33" s="105">
        <f t="shared" ref="J33:J42" si="12">H32*I33</f>
        <v>0</v>
      </c>
      <c r="K33" s="62">
        <f t="shared" si="11"/>
        <v>0</v>
      </c>
    </row>
    <row r="34" spans="2:11" x14ac:dyDescent="0.25">
      <c r="B34" s="196"/>
      <c r="C34" s="100" t="s">
        <v>3</v>
      </c>
      <c r="D34" s="59"/>
      <c r="E34" s="10"/>
      <c r="F34" s="10"/>
      <c r="G34" s="40"/>
      <c r="H34" s="10"/>
      <c r="I34" s="114">
        <f>'Input Data'!$C$97/100/12</f>
        <v>0</v>
      </c>
      <c r="J34" s="105">
        <f t="shared" si="12"/>
        <v>0</v>
      </c>
      <c r="K34" s="62">
        <f t="shared" si="11"/>
        <v>0</v>
      </c>
    </row>
    <row r="35" spans="2:11" x14ac:dyDescent="0.25">
      <c r="B35" s="196"/>
      <c r="C35" s="100" t="s">
        <v>4</v>
      </c>
      <c r="D35" s="59"/>
      <c r="E35" s="10"/>
      <c r="F35" s="10"/>
      <c r="G35" s="40"/>
      <c r="H35" s="10"/>
      <c r="I35" s="114">
        <f>'Input Data'!$C$97/100/12</f>
        <v>0</v>
      </c>
      <c r="J35" s="105">
        <f t="shared" si="12"/>
        <v>0</v>
      </c>
      <c r="K35" s="62">
        <f t="shared" si="11"/>
        <v>0</v>
      </c>
    </row>
    <row r="36" spans="2:11" x14ac:dyDescent="0.25">
      <c r="B36" s="196"/>
      <c r="C36" s="100" t="s">
        <v>5</v>
      </c>
      <c r="D36" s="59"/>
      <c r="E36" s="10"/>
      <c r="F36" s="10"/>
      <c r="G36" s="40"/>
      <c r="H36" s="10"/>
      <c r="I36" s="114">
        <f>'Input Data'!$C$97/100/12</f>
        <v>0</v>
      </c>
      <c r="J36" s="105">
        <f t="shared" si="12"/>
        <v>0</v>
      </c>
      <c r="K36" s="62">
        <f t="shared" si="11"/>
        <v>0</v>
      </c>
    </row>
    <row r="37" spans="2:11" x14ac:dyDescent="0.25">
      <c r="B37" s="196"/>
      <c r="C37" s="100" t="s">
        <v>6</v>
      </c>
      <c r="D37" s="59"/>
      <c r="E37" s="10"/>
      <c r="F37" s="10"/>
      <c r="G37" s="40"/>
      <c r="H37" s="10"/>
      <c r="I37" s="114">
        <f>'Input Data'!$C$98/100/12</f>
        <v>0</v>
      </c>
      <c r="J37" s="105">
        <f t="shared" si="12"/>
        <v>0</v>
      </c>
      <c r="K37" s="62">
        <f t="shared" si="11"/>
        <v>0</v>
      </c>
    </row>
    <row r="38" spans="2:11" x14ac:dyDescent="0.25">
      <c r="B38" s="196"/>
      <c r="C38" s="100" t="s">
        <v>7</v>
      </c>
      <c r="D38" s="59"/>
      <c r="E38" s="10"/>
      <c r="F38" s="10"/>
      <c r="G38" s="40"/>
      <c r="H38" s="10"/>
      <c r="I38" s="114">
        <f>'Input Data'!$C$98/100/12</f>
        <v>0</v>
      </c>
      <c r="J38" s="105">
        <f t="shared" si="12"/>
        <v>0</v>
      </c>
      <c r="K38" s="62">
        <f t="shared" si="11"/>
        <v>0</v>
      </c>
    </row>
    <row r="39" spans="2:11" x14ac:dyDescent="0.25">
      <c r="B39" s="196"/>
      <c r="C39" s="100" t="s">
        <v>8</v>
      </c>
      <c r="D39" s="59"/>
      <c r="E39" s="10"/>
      <c r="F39" s="10"/>
      <c r="G39" s="40"/>
      <c r="H39" s="10"/>
      <c r="I39" s="114">
        <f>'Input Data'!$C$98/100/12</f>
        <v>0</v>
      </c>
      <c r="J39" s="105">
        <f t="shared" si="12"/>
        <v>0</v>
      </c>
      <c r="K39" s="62">
        <f t="shared" si="11"/>
        <v>0</v>
      </c>
    </row>
    <row r="40" spans="2:11" x14ac:dyDescent="0.25">
      <c r="B40" s="196"/>
      <c r="C40" s="100" t="s">
        <v>9</v>
      </c>
      <c r="D40" s="59"/>
      <c r="E40" s="10"/>
      <c r="F40" s="10"/>
      <c r="G40" s="40"/>
      <c r="H40" s="10"/>
      <c r="I40" s="114">
        <f>'Input Data'!$C$99/100/12</f>
        <v>0</v>
      </c>
      <c r="J40" s="105">
        <f t="shared" si="12"/>
        <v>0</v>
      </c>
      <c r="K40" s="62">
        <f t="shared" si="11"/>
        <v>0</v>
      </c>
    </row>
    <row r="41" spans="2:11" x14ac:dyDescent="0.25">
      <c r="B41" s="196"/>
      <c r="C41" s="100" t="s">
        <v>10</v>
      </c>
      <c r="D41" s="59"/>
      <c r="E41" s="10"/>
      <c r="F41" s="10"/>
      <c r="G41" s="40"/>
      <c r="H41" s="10"/>
      <c r="I41" s="114">
        <f>'Input Data'!$C$99/100/12</f>
        <v>0</v>
      </c>
      <c r="J41" s="105">
        <f t="shared" si="12"/>
        <v>0</v>
      </c>
      <c r="K41" s="62">
        <f t="shared" si="11"/>
        <v>0</v>
      </c>
    </row>
    <row r="42" spans="2:11" x14ac:dyDescent="0.25">
      <c r="B42" s="196"/>
      <c r="C42" s="100" t="s">
        <v>11</v>
      </c>
      <c r="D42" s="59"/>
      <c r="E42" s="10"/>
      <c r="F42" s="10"/>
      <c r="G42" s="40"/>
      <c r="H42" s="10"/>
      <c r="I42" s="114">
        <f>'Input Data'!$C$99/100/12</f>
        <v>0</v>
      </c>
      <c r="J42" s="105">
        <f t="shared" si="12"/>
        <v>0</v>
      </c>
      <c r="K42" s="62">
        <f t="shared" si="11"/>
        <v>0</v>
      </c>
    </row>
    <row r="43" spans="2:11" ht="15.75" thickBot="1" x14ac:dyDescent="0.3">
      <c r="B43" s="197"/>
      <c r="C43" s="118" t="s">
        <v>14</v>
      </c>
      <c r="D43" s="122">
        <f>SUM(D31:D42)</f>
        <v>0</v>
      </c>
      <c r="E43" s="123">
        <f>SUM(E31:E42)</f>
        <v>0</v>
      </c>
      <c r="F43" s="123">
        <f>SUM(F31:F42)</f>
        <v>0</v>
      </c>
      <c r="G43" s="121">
        <f>SUM(G31:G42)</f>
        <v>0</v>
      </c>
      <c r="H43" s="124"/>
      <c r="I43" s="120"/>
      <c r="J43" s="123">
        <f>SUM(J31:J42)</f>
        <v>0</v>
      </c>
      <c r="K43" s="125">
        <f>SUM(K31:K42)</f>
        <v>0</v>
      </c>
    </row>
  </sheetData>
  <mergeCells count="4">
    <mergeCell ref="C2:K2"/>
    <mergeCell ref="B5:B17"/>
    <mergeCell ref="B18:B30"/>
    <mergeCell ref="B31:B4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2E1A-70D9-4189-9599-003D33DA7A34}">
  <sheetPr>
    <tabColor theme="2"/>
  </sheetPr>
  <dimension ref="B1:I41"/>
  <sheetViews>
    <sheetView topLeftCell="D1" workbookViewId="0">
      <selection activeCell="H1" sqref="H1"/>
    </sheetView>
  </sheetViews>
  <sheetFormatPr defaultRowHeight="15" x14ac:dyDescent="0.25"/>
  <cols>
    <col min="2" max="2" width="32.42578125" customWidth="1"/>
    <col min="3" max="3" width="35.85546875" bestFit="1" customWidth="1"/>
    <col min="4" max="4" width="15.42578125" bestFit="1" customWidth="1"/>
    <col min="5" max="8" width="17.42578125" bestFit="1" customWidth="1"/>
    <col min="9" max="9" width="40.140625" bestFit="1" customWidth="1"/>
  </cols>
  <sheetData>
    <row r="1" spans="2:9" ht="15.75" thickBot="1" x14ac:dyDescent="0.3"/>
    <row r="2" spans="2:9" ht="15.75" x14ac:dyDescent="0.25">
      <c r="B2" s="82"/>
      <c r="C2" s="83" t="s">
        <v>97</v>
      </c>
      <c r="D2" s="84">
        <v>2024</v>
      </c>
      <c r="E2" s="85">
        <v>2025</v>
      </c>
      <c r="F2" s="85">
        <v>2026</v>
      </c>
      <c r="G2" s="85">
        <v>2027</v>
      </c>
      <c r="H2" s="86">
        <v>2028</v>
      </c>
    </row>
    <row r="3" spans="2:9" x14ac:dyDescent="0.25">
      <c r="B3" s="210" t="s">
        <v>171</v>
      </c>
      <c r="C3" s="44"/>
      <c r="D3" s="15"/>
      <c r="E3" s="16"/>
      <c r="F3" s="16"/>
      <c r="G3" s="16"/>
      <c r="H3" s="87"/>
    </row>
    <row r="4" spans="2:9" x14ac:dyDescent="0.25">
      <c r="B4" s="211"/>
      <c r="C4" s="45" t="s">
        <v>85</v>
      </c>
      <c r="D4" s="81">
        <f>'Power Purchased True-Up'!D8</f>
        <v>7.2859999999999994E-2</v>
      </c>
      <c r="E4" s="53">
        <f>'Power Purchased True-Up'!D21</f>
        <v>0</v>
      </c>
      <c r="F4" s="53">
        <f>'Power Purchased True-Up'!D34</f>
        <v>0</v>
      </c>
      <c r="G4" s="53">
        <f>'Power Purchased True-Up'!D47</f>
        <v>0</v>
      </c>
      <c r="H4" s="88">
        <f>'Power Purchased True-Up'!D60</f>
        <v>0</v>
      </c>
      <c r="I4" t="s">
        <v>82</v>
      </c>
    </row>
    <row r="5" spans="2:9" x14ac:dyDescent="0.25">
      <c r="B5" s="211"/>
      <c r="C5" s="45" t="s">
        <v>86</v>
      </c>
      <c r="D5" s="42">
        <f>'Power Purchased True-Up'!D9</f>
        <v>2592935.1225999999</v>
      </c>
      <c r="E5" s="38">
        <f>'Power Purchased True-Up'!D22</f>
        <v>0</v>
      </c>
      <c r="F5" s="38">
        <f>'Power Purchased True-Up'!D35</f>
        <v>0</v>
      </c>
      <c r="G5" s="38">
        <f>'Power Purchased True-Up'!D48</f>
        <v>0</v>
      </c>
      <c r="H5" s="89">
        <f>'Power Purchased True-Up'!D61</f>
        <v>0</v>
      </c>
      <c r="I5" t="s">
        <v>217</v>
      </c>
    </row>
    <row r="6" spans="2:9" x14ac:dyDescent="0.25">
      <c r="B6" s="211"/>
      <c r="C6" s="45"/>
      <c r="D6" s="18"/>
      <c r="E6" s="216"/>
      <c r="F6" s="216"/>
      <c r="G6" s="216"/>
      <c r="H6" s="90"/>
      <c r="I6" s="10"/>
    </row>
    <row r="7" spans="2:9" x14ac:dyDescent="0.25">
      <c r="B7" s="211"/>
      <c r="C7" s="45" t="s">
        <v>131</v>
      </c>
      <c r="D7" s="41">
        <f>'Power Purchased True-Up'!E10</f>
        <v>1296467.5612999999</v>
      </c>
      <c r="E7" s="37">
        <f>'Power Purchased True-Up'!E23</f>
        <v>0</v>
      </c>
      <c r="F7" s="37">
        <f>'Power Purchased True-Up'!E36</f>
        <v>0</v>
      </c>
      <c r="G7" s="37">
        <f>'Power Purchased True-Up'!E49</f>
        <v>0</v>
      </c>
      <c r="H7" s="126">
        <f>'Power Purchased True-Up'!E62</f>
        <v>0</v>
      </c>
      <c r="I7" t="s">
        <v>84</v>
      </c>
    </row>
    <row r="8" spans="2:9" x14ac:dyDescent="0.25">
      <c r="B8" s="211"/>
      <c r="C8" s="45" t="s">
        <v>77</v>
      </c>
      <c r="D8" s="18"/>
      <c r="E8" s="216"/>
      <c r="F8" s="219">
        <f>-D26</f>
        <v>0</v>
      </c>
      <c r="G8" s="219">
        <f>-E26</f>
        <v>291472.95391550002</v>
      </c>
      <c r="H8" s="62">
        <f>-F26</f>
        <v>145736.47695775001</v>
      </c>
      <c r="I8" t="s">
        <v>83</v>
      </c>
    </row>
    <row r="9" spans="2:9" x14ac:dyDescent="0.25">
      <c r="B9" s="211"/>
      <c r="C9" s="45" t="s">
        <v>218</v>
      </c>
      <c r="D9" s="18"/>
      <c r="E9" s="219">
        <f>'Power Purchased True-Up'!E26</f>
        <v>437209.43087325001</v>
      </c>
      <c r="F9" s="219">
        <f>'Power Purchased True-Up'!E39</f>
        <v>0</v>
      </c>
      <c r="G9" s="219"/>
      <c r="H9" s="62"/>
      <c r="I9" t="s">
        <v>80</v>
      </c>
    </row>
    <row r="10" spans="2:9" x14ac:dyDescent="0.25">
      <c r="B10" s="211"/>
      <c r="C10" s="46" t="s">
        <v>167</v>
      </c>
      <c r="D10" s="220">
        <f t="shared" ref="D10:E10" si="0">D7+D8+D9</f>
        <v>1296467.5612999999</v>
      </c>
      <c r="E10" s="220">
        <f t="shared" si="0"/>
        <v>437209.43087325001</v>
      </c>
      <c r="F10" s="220">
        <f>F7+F8+F9</f>
        <v>0</v>
      </c>
      <c r="G10" s="220">
        <f t="shared" ref="G10:H10" si="1">G7+G8+G9</f>
        <v>291472.95391550002</v>
      </c>
      <c r="H10" s="92">
        <f t="shared" si="1"/>
        <v>145736.47695775001</v>
      </c>
      <c r="I10" t="s">
        <v>136</v>
      </c>
    </row>
    <row r="11" spans="2:9" x14ac:dyDescent="0.25">
      <c r="B11" s="211"/>
      <c r="C11" s="45"/>
      <c r="D11" s="18"/>
      <c r="E11" s="216"/>
      <c r="F11" s="216"/>
      <c r="G11" s="216"/>
      <c r="H11" s="90"/>
    </row>
    <row r="12" spans="2:9" x14ac:dyDescent="0.25">
      <c r="B12" s="211"/>
      <c r="C12" s="45" t="s">
        <v>87</v>
      </c>
      <c r="D12" s="42">
        <f>'Power Purchased True-Up'!D15</f>
        <v>185090366</v>
      </c>
      <c r="E12" s="38">
        <f>'Power Purchased True-Up'!D29</f>
        <v>0</v>
      </c>
      <c r="F12" s="38">
        <f>'Power Purchased True-Up'!D42</f>
        <v>0</v>
      </c>
      <c r="G12" s="38">
        <f>'Power Purchased True-Up'!D54</f>
        <v>0</v>
      </c>
      <c r="H12" s="89">
        <f>'Power Purchased True-Up'!D67</f>
        <v>0</v>
      </c>
      <c r="I12" t="s">
        <v>81</v>
      </c>
    </row>
    <row r="13" spans="2:9" x14ac:dyDescent="0.25">
      <c r="B13" s="211"/>
      <c r="C13" s="45"/>
      <c r="D13" s="18"/>
      <c r="E13" s="216"/>
      <c r="F13" s="216"/>
      <c r="G13" s="216"/>
      <c r="H13" s="90"/>
    </row>
    <row r="14" spans="2:9" x14ac:dyDescent="0.25">
      <c r="B14" s="212"/>
      <c r="C14" s="48" t="s">
        <v>168</v>
      </c>
      <c r="D14" s="54">
        <f>-D10/D12</f>
        <v>-7.0045113061151972E-3</v>
      </c>
      <c r="E14" s="55">
        <f>IFERROR(-E10/E12,0)</f>
        <v>0</v>
      </c>
      <c r="F14" s="55">
        <f t="shared" ref="F14:H14" si="2">IFERROR(-F10/F12,0)</f>
        <v>0</v>
      </c>
      <c r="G14" s="55">
        <f t="shared" si="2"/>
        <v>0</v>
      </c>
      <c r="H14" s="93">
        <f t="shared" si="2"/>
        <v>0</v>
      </c>
      <c r="I14" t="s">
        <v>169</v>
      </c>
    </row>
    <row r="15" spans="2:9" x14ac:dyDescent="0.25">
      <c r="B15" s="210" t="s">
        <v>72</v>
      </c>
      <c r="C15" s="45"/>
      <c r="D15" s="51"/>
      <c r="E15" s="52"/>
      <c r="F15" s="52"/>
      <c r="G15" s="52"/>
      <c r="H15" s="94"/>
    </row>
    <row r="16" spans="2:9" x14ac:dyDescent="0.25">
      <c r="B16" s="211"/>
      <c r="C16" s="45" t="s">
        <v>66</v>
      </c>
      <c r="D16" s="41">
        <f>-'Power Purchased True-Up'!X10</f>
        <v>0</v>
      </c>
      <c r="E16" s="37">
        <f>-'Power Purchased True-Up'!X23</f>
        <v>0</v>
      </c>
      <c r="F16" s="37">
        <f>-'Power Purchased True-Up'!X36</f>
        <v>0</v>
      </c>
      <c r="G16" s="37">
        <f>-'Power Purchased True-Up'!X49</f>
        <v>0</v>
      </c>
      <c r="H16" s="91">
        <f>-'Power Purchased True-Up'!X62</f>
        <v>0</v>
      </c>
      <c r="I16" t="s">
        <v>80</v>
      </c>
    </row>
    <row r="17" spans="2:9" x14ac:dyDescent="0.25">
      <c r="B17" s="211"/>
      <c r="C17" s="45" t="s">
        <v>78</v>
      </c>
      <c r="D17" s="41"/>
      <c r="E17" s="37">
        <f>-'Power Purchased True-Up'!X24</f>
        <v>-291472.95391550002</v>
      </c>
      <c r="F17" s="37">
        <f>-'Power Purchased True-Up'!X37</f>
        <v>-145736.47695775001</v>
      </c>
      <c r="G17" s="37">
        <f>-'Power Purchased True-Up'!X50</f>
        <v>-194315.30261033334</v>
      </c>
      <c r="H17" s="91">
        <f>-'Power Purchased True-Up'!X63</f>
        <v>-194315.3026103334</v>
      </c>
      <c r="I17" t="s">
        <v>219</v>
      </c>
    </row>
    <row r="18" spans="2:9" x14ac:dyDescent="0.25">
      <c r="B18" s="211"/>
      <c r="C18" s="46" t="s">
        <v>79</v>
      </c>
      <c r="D18" s="41">
        <f>D16+D17</f>
        <v>0</v>
      </c>
      <c r="E18" s="37">
        <f>E16+E17</f>
        <v>-291472.95391550002</v>
      </c>
      <c r="F18" s="219">
        <f>F16+F17</f>
        <v>-145736.47695775001</v>
      </c>
      <c r="G18" s="219">
        <f>G16+G17</f>
        <v>-194315.30261033334</v>
      </c>
      <c r="H18" s="62">
        <f>H16+H17</f>
        <v>-194315.3026103334</v>
      </c>
      <c r="I18" t="s">
        <v>135</v>
      </c>
    </row>
    <row r="19" spans="2:9" x14ac:dyDescent="0.25">
      <c r="B19" s="211"/>
      <c r="C19" s="45"/>
      <c r="D19" s="41"/>
      <c r="E19" s="37"/>
      <c r="F19" s="37"/>
      <c r="G19" s="37"/>
      <c r="H19" s="91"/>
    </row>
    <row r="20" spans="2:9" x14ac:dyDescent="0.25">
      <c r="B20" s="211"/>
      <c r="C20" s="46" t="s">
        <v>65</v>
      </c>
      <c r="D20" s="41">
        <f>-'Power Purchased True-Up'!Y13</f>
        <v>0</v>
      </c>
      <c r="E20" s="37">
        <f>-'Power Purchased True-Up'!Y26</f>
        <v>0</v>
      </c>
      <c r="F20" s="37">
        <f>-'Power Purchased True-Up'!Y39</f>
        <v>0</v>
      </c>
      <c r="G20" s="37">
        <f>-'Power Purchased True-Up'!Y52</f>
        <v>0</v>
      </c>
      <c r="H20" s="91">
        <f>-'Power Purchased True-Up'!Y65</f>
        <v>0</v>
      </c>
      <c r="I20" t="s">
        <v>80</v>
      </c>
    </row>
    <row r="21" spans="2:9" x14ac:dyDescent="0.25">
      <c r="B21" s="211"/>
      <c r="C21" s="47"/>
      <c r="D21" s="20"/>
      <c r="E21" s="21"/>
      <c r="F21" s="21"/>
      <c r="G21" s="21"/>
      <c r="H21" s="95"/>
    </row>
    <row r="22" spans="2:9" x14ac:dyDescent="0.25">
      <c r="B22" s="211"/>
      <c r="C22" s="45"/>
      <c r="D22" s="18"/>
      <c r="E22" s="216"/>
      <c r="F22" s="216"/>
      <c r="G22" s="216"/>
      <c r="H22" s="90"/>
    </row>
    <row r="23" spans="2:9" x14ac:dyDescent="0.25">
      <c r="B23" s="211"/>
      <c r="C23" s="45" t="s">
        <v>18</v>
      </c>
      <c r="D23" s="42">
        <f>D18-D20</f>
        <v>0</v>
      </c>
      <c r="E23" s="38">
        <f>E18-E20</f>
        <v>-291472.95391550002</v>
      </c>
      <c r="F23" s="38">
        <f>F18-F20</f>
        <v>-145736.47695775001</v>
      </c>
      <c r="G23" s="38">
        <f>G18-G20</f>
        <v>-194315.30261033334</v>
      </c>
      <c r="H23" s="89">
        <f>H18-H20</f>
        <v>-194315.3026103334</v>
      </c>
      <c r="I23" t="s">
        <v>80</v>
      </c>
    </row>
    <row r="24" spans="2:9" x14ac:dyDescent="0.25">
      <c r="B24" s="211"/>
      <c r="C24" s="45" t="s">
        <v>35</v>
      </c>
      <c r="D24" s="42">
        <f>-'Power Purchased True-Up'!S18</f>
        <v>0</v>
      </c>
      <c r="E24" s="38">
        <f>-'Power Purchased True-Up'!S31</f>
        <v>0</v>
      </c>
      <c r="F24" s="38">
        <f>-'Power Purchased True-Up'!S44</f>
        <v>0</v>
      </c>
      <c r="G24" s="38">
        <f>-'Power Purchased True-Up'!S57</f>
        <v>0</v>
      </c>
      <c r="H24" s="89">
        <f>-'Power Purchased True-Up'!S70</f>
        <v>0</v>
      </c>
      <c r="I24" t="s">
        <v>80</v>
      </c>
    </row>
    <row r="25" spans="2:9" x14ac:dyDescent="0.25">
      <c r="B25" s="211"/>
      <c r="C25" s="45" t="s">
        <v>67</v>
      </c>
      <c r="D25" s="42">
        <f>-'Power Purchased True-Up'!T31</f>
        <v>0</v>
      </c>
      <c r="E25" s="38">
        <f>-'Power Purchased True-Up'!T44</f>
        <v>0</v>
      </c>
      <c r="F25" s="38">
        <f>-'Power Purchased True-Up'!T57</f>
        <v>0</v>
      </c>
      <c r="G25" s="38">
        <f>-'Power Purchased True-Up'!T70</f>
        <v>0</v>
      </c>
      <c r="H25" s="89">
        <f>-'Power Purchased True-Up'!P70*'Input Data'!C111/100</f>
        <v>0</v>
      </c>
      <c r="I25" t="s">
        <v>80</v>
      </c>
    </row>
    <row r="26" spans="2:9" x14ac:dyDescent="0.25">
      <c r="B26" s="211"/>
      <c r="C26" s="46" t="s">
        <v>68</v>
      </c>
      <c r="D26" s="43">
        <f>SUM(D23:D25)</f>
        <v>0</v>
      </c>
      <c r="E26" s="220">
        <f>SUM(E23:E25)</f>
        <v>-291472.95391550002</v>
      </c>
      <c r="F26" s="220">
        <f>SUM(F23:F25)</f>
        <v>-145736.47695775001</v>
      </c>
      <c r="G26" s="220">
        <f>SUM(G23:G25)</f>
        <v>-194315.30261033334</v>
      </c>
      <c r="H26" s="92">
        <f>SUM(H23:H25)</f>
        <v>-194315.3026103334</v>
      </c>
    </row>
    <row r="27" spans="2:9" ht="15.75" thickBot="1" x14ac:dyDescent="0.3">
      <c r="B27" s="213"/>
      <c r="C27" s="96"/>
      <c r="D27" s="97"/>
      <c r="E27" s="98"/>
      <c r="F27" s="98"/>
      <c r="G27" s="98"/>
      <c r="H27" s="64"/>
    </row>
    <row r="29" spans="2:9" x14ac:dyDescent="0.25">
      <c r="D29" s="140">
        <f>D2</f>
        <v>2024</v>
      </c>
      <c r="E29" s="140">
        <f>E2</f>
        <v>2025</v>
      </c>
      <c r="F29" s="140">
        <f>F2</f>
        <v>2026</v>
      </c>
      <c r="G29" s="140">
        <f>G2</f>
        <v>2027</v>
      </c>
      <c r="H29" s="140">
        <f>H2</f>
        <v>2028</v>
      </c>
    </row>
    <row r="30" spans="2:9" x14ac:dyDescent="0.25">
      <c r="B30" s="15" t="s">
        <v>170</v>
      </c>
      <c r="C30" s="16"/>
      <c r="D30" s="16"/>
      <c r="E30" s="16"/>
      <c r="F30" s="16"/>
      <c r="G30" s="16"/>
      <c r="H30" s="17"/>
    </row>
    <row r="31" spans="2:9" x14ac:dyDescent="0.25">
      <c r="B31" s="18"/>
      <c r="C31" s="221" t="str">
        <f t="shared" ref="C31:H31" si="3">C7</f>
        <v>Forecast net GA Savings</v>
      </c>
      <c r="D31" s="219">
        <f t="shared" si="3"/>
        <v>1296467.5612999999</v>
      </c>
      <c r="E31" s="219">
        <f t="shared" si="3"/>
        <v>0</v>
      </c>
      <c r="F31" s="219">
        <f t="shared" si="3"/>
        <v>0</v>
      </c>
      <c r="G31" s="219">
        <f t="shared" si="3"/>
        <v>0</v>
      </c>
      <c r="H31" s="40">
        <f t="shared" si="3"/>
        <v>0</v>
      </c>
    </row>
    <row r="32" spans="2:9" x14ac:dyDescent="0.25">
      <c r="B32" s="18"/>
      <c r="C32" s="221" t="s">
        <v>88</v>
      </c>
      <c r="D32" s="37">
        <f>-'Power Purchased True-Up'!Y12-'Power Purchased True-Up'!E10</f>
        <v>-1296467.5612999999</v>
      </c>
      <c r="E32" s="37">
        <f>-'Power Purchased True-Up'!Y25-'Power Purchased True-Up'!E23</f>
        <v>-291472.95391550002</v>
      </c>
      <c r="F32" s="37">
        <f>-'Power Purchased True-Up'!Y38-'Power Purchased True-Up'!E36</f>
        <v>-145736.47695775001</v>
      </c>
      <c r="G32" s="37">
        <f>-'Power Purchased True-Up'!Y51-'Power Purchased True-Up'!E49</f>
        <v>-194315.30261033334</v>
      </c>
      <c r="H32" s="39">
        <f>-'Power Purchased True-Up'!Y64-'Power Purchased True-Up'!E62</f>
        <v>-194315.3026103334</v>
      </c>
    </row>
    <row r="33" spans="2:8" x14ac:dyDescent="0.25">
      <c r="B33" s="18"/>
      <c r="C33" s="221" t="str">
        <f>C20</f>
        <v>Actual credited to customers</v>
      </c>
      <c r="D33" s="219">
        <f>-D20</f>
        <v>0</v>
      </c>
      <c r="E33" s="219">
        <f>-E20</f>
        <v>0</v>
      </c>
      <c r="F33" s="219">
        <f>-F20</f>
        <v>0</v>
      </c>
      <c r="G33" s="219">
        <f>-G20</f>
        <v>0</v>
      </c>
      <c r="H33" s="40">
        <f>-H20</f>
        <v>0</v>
      </c>
    </row>
    <row r="34" spans="2:8" x14ac:dyDescent="0.25">
      <c r="B34" s="18"/>
      <c r="C34" s="216" t="s">
        <v>18</v>
      </c>
      <c r="D34" s="219">
        <f>SUM(D31:D33)</f>
        <v>0</v>
      </c>
      <c r="E34" s="219">
        <f>SUM(E31:E33)</f>
        <v>-291472.95391550002</v>
      </c>
      <c r="F34" s="219">
        <f>SUM(F31:F33)</f>
        <v>-145736.47695775001</v>
      </c>
      <c r="G34" s="219">
        <f>SUM(G31:G33)</f>
        <v>-194315.30261033334</v>
      </c>
      <c r="H34" s="40">
        <f>SUM(H31:H33)</f>
        <v>-194315.3026103334</v>
      </c>
    </row>
    <row r="35" spans="2:8" x14ac:dyDescent="0.25">
      <c r="B35" s="18"/>
      <c r="C35" s="216" t="s">
        <v>90</v>
      </c>
      <c r="D35" s="37">
        <f>-'Power Purchased True-Up'!S18</f>
        <v>0</v>
      </c>
      <c r="E35" s="37">
        <f>-'Power Purchased True-Up'!S31</f>
        <v>0</v>
      </c>
      <c r="F35" s="37">
        <f>-'Power Purchased True-Up'!S44</f>
        <v>0</v>
      </c>
      <c r="G35" s="37">
        <f>-'Power Purchased True-Up'!S57</f>
        <v>0</v>
      </c>
      <c r="H35" s="39">
        <f>-'Power Purchased True-Up'!S70</f>
        <v>0</v>
      </c>
    </row>
    <row r="36" spans="2:8" x14ac:dyDescent="0.25">
      <c r="B36" s="18"/>
      <c r="C36" s="216" t="s">
        <v>156</v>
      </c>
      <c r="D36" s="37"/>
      <c r="E36" s="37">
        <f>-'Power Purchased True-Up'!T31</f>
        <v>0</v>
      </c>
      <c r="F36" s="37">
        <f>-'Power Purchased True-Up'!T44</f>
        <v>0</v>
      </c>
      <c r="G36" s="37">
        <f>-'Power Purchased True-Up'!T57</f>
        <v>0</v>
      </c>
      <c r="H36" s="39">
        <f>-'Power Purchased True-Up'!T70</f>
        <v>0</v>
      </c>
    </row>
    <row r="37" spans="2:8" x14ac:dyDescent="0.25">
      <c r="B37" s="18"/>
      <c r="C37" s="221" t="s">
        <v>71</v>
      </c>
      <c r="D37" s="219"/>
      <c r="E37" s="219"/>
      <c r="F37" s="219">
        <f>-(D34+D35+E36)</f>
        <v>0</v>
      </c>
      <c r="G37" s="219">
        <f t="shared" ref="G37:H37" si="4">-(E34+E35+F36)</f>
        <v>291472.95391550002</v>
      </c>
      <c r="H37" s="40">
        <f t="shared" si="4"/>
        <v>145736.47695775001</v>
      </c>
    </row>
    <row r="38" spans="2:8" x14ac:dyDescent="0.25">
      <c r="B38" s="20"/>
      <c r="C38" s="99" t="s">
        <v>89</v>
      </c>
      <c r="D38" s="49">
        <f>SUM(D31:D37)</f>
        <v>0</v>
      </c>
      <c r="E38" s="49">
        <f>SUM(E31:E37)</f>
        <v>-582945.90783100005</v>
      </c>
      <c r="F38" s="49">
        <f>SUM(F31:F37)</f>
        <v>-291472.95391550002</v>
      </c>
      <c r="G38" s="49">
        <f>SUM(G31:G37)</f>
        <v>-97157.651305166655</v>
      </c>
      <c r="H38" s="50">
        <f>SUM(H31:H37)</f>
        <v>-242894.12826291678</v>
      </c>
    </row>
    <row r="41" spans="2:8" x14ac:dyDescent="0.25">
      <c r="H41" s="156"/>
    </row>
  </sheetData>
  <mergeCells count="2">
    <mergeCell ref="B3:B14"/>
    <mergeCell ref="B15:B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E8A6-097D-4B1A-B33A-82DD80545A46}">
  <sheetPr>
    <tabColor theme="5"/>
  </sheetPr>
  <dimension ref="B2:AL111"/>
  <sheetViews>
    <sheetView tabSelected="1" topLeftCell="A9" zoomScale="80" zoomScaleNormal="80" workbookViewId="0">
      <selection activeCell="I22" sqref="I22"/>
    </sheetView>
  </sheetViews>
  <sheetFormatPr defaultRowHeight="15" x14ac:dyDescent="0.25"/>
  <cols>
    <col min="1" max="1" width="3.28515625" customWidth="1"/>
    <col min="2" max="2" width="12.5703125" customWidth="1"/>
    <col min="3" max="3" width="15.28515625" bestFit="1" customWidth="1"/>
    <col min="4" max="4" width="17.85546875" customWidth="1"/>
    <col min="5" max="5" width="14.28515625" bestFit="1" customWidth="1"/>
    <col min="6" max="6" width="14.28515625" customWidth="1"/>
    <col min="7" max="7" width="13.42578125" bestFit="1" customWidth="1"/>
    <col min="8" max="8" width="13.85546875" bestFit="1" customWidth="1"/>
    <col min="9" max="9" width="13.140625" customWidth="1"/>
    <col min="10" max="10" width="13.7109375" customWidth="1"/>
    <col min="11" max="11" width="13.5703125" bestFit="1" customWidth="1"/>
    <col min="12" max="12" width="14.28515625" customWidth="1"/>
    <col min="13" max="13" width="14.42578125" customWidth="1"/>
    <col min="14" max="14" width="14.5703125" customWidth="1"/>
    <col min="15" max="15" width="13.7109375" bestFit="1" customWidth="1"/>
    <col min="16" max="26" width="15.28515625" customWidth="1"/>
    <col min="27" max="27" width="12.85546875" customWidth="1"/>
    <col min="28" max="28" width="12" bestFit="1" customWidth="1"/>
    <col min="29" max="29" width="12.28515625" customWidth="1"/>
    <col min="30" max="30" width="14" customWidth="1"/>
    <col min="31" max="31" width="12" bestFit="1" customWidth="1"/>
    <col min="32" max="32" width="12.42578125" customWidth="1"/>
    <col min="33" max="33" width="13.28515625" customWidth="1"/>
    <col min="34" max="34" width="12" bestFit="1" customWidth="1"/>
    <col min="35" max="35" width="14.42578125" customWidth="1"/>
    <col min="36" max="36" width="12.85546875" customWidth="1"/>
    <col min="37" max="37" width="12" bestFit="1" customWidth="1"/>
    <col min="38" max="38" width="13.28515625" customWidth="1"/>
  </cols>
  <sheetData>
    <row r="2" spans="2:38" ht="19.5" thickBot="1" x14ac:dyDescent="0.35">
      <c r="C2" s="194" t="s">
        <v>118</v>
      </c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</row>
    <row r="3" spans="2:38" ht="15.75" thickBot="1" x14ac:dyDescent="0.3">
      <c r="B3" s="1"/>
      <c r="C3" s="193">
        <v>2017</v>
      </c>
      <c r="D3" s="179"/>
      <c r="E3" s="179"/>
      <c r="F3" s="180">
        <f>C3+1</f>
        <v>2018</v>
      </c>
      <c r="G3" s="181"/>
      <c r="H3" s="182"/>
      <c r="I3" s="179">
        <f>F3+1</f>
        <v>2019</v>
      </c>
      <c r="J3" s="179"/>
      <c r="K3" s="179"/>
      <c r="L3" s="180">
        <f>I3+1</f>
        <v>2020</v>
      </c>
      <c r="M3" s="181"/>
      <c r="N3" s="182"/>
      <c r="O3" s="179">
        <f>L3+1</f>
        <v>2021</v>
      </c>
      <c r="P3" s="179"/>
      <c r="Q3" s="179"/>
      <c r="R3" s="180">
        <f>O3+1</f>
        <v>2022</v>
      </c>
      <c r="S3" s="181"/>
      <c r="T3" s="182"/>
      <c r="U3" s="179">
        <f>R3+1</f>
        <v>2023</v>
      </c>
      <c r="V3" s="179"/>
      <c r="W3" s="183"/>
      <c r="X3" s="179">
        <v>2024</v>
      </c>
      <c r="Y3" s="179"/>
      <c r="Z3" s="179"/>
      <c r="AA3" s="180">
        <v>2025</v>
      </c>
      <c r="AB3" s="181"/>
      <c r="AC3" s="182"/>
      <c r="AD3" s="179">
        <v>2026</v>
      </c>
      <c r="AE3" s="179"/>
      <c r="AF3" s="183"/>
      <c r="AG3" s="180">
        <v>2027</v>
      </c>
      <c r="AH3" s="181"/>
      <c r="AI3" s="182"/>
      <c r="AJ3" s="179">
        <v>2028</v>
      </c>
      <c r="AK3" s="179"/>
      <c r="AL3" s="183"/>
    </row>
    <row r="4" spans="2:38" ht="30.75" thickBot="1" x14ac:dyDescent="0.3">
      <c r="B4" s="1"/>
      <c r="C4" s="128" t="s">
        <v>13</v>
      </c>
      <c r="D4" s="129" t="s">
        <v>12</v>
      </c>
      <c r="E4" s="130" t="s">
        <v>96</v>
      </c>
      <c r="F4" s="128" t="s">
        <v>13</v>
      </c>
      <c r="G4" s="129" t="s">
        <v>12</v>
      </c>
      <c r="H4" s="130" t="s">
        <v>96</v>
      </c>
      <c r="I4" s="128" t="s">
        <v>13</v>
      </c>
      <c r="J4" s="129" t="s">
        <v>12</v>
      </c>
      <c r="K4" s="130" t="s">
        <v>96</v>
      </c>
      <c r="L4" s="128" t="s">
        <v>13</v>
      </c>
      <c r="M4" s="129" t="s">
        <v>12</v>
      </c>
      <c r="N4" s="130" t="s">
        <v>96</v>
      </c>
      <c r="O4" s="128" t="s">
        <v>13</v>
      </c>
      <c r="P4" s="129" t="s">
        <v>12</v>
      </c>
      <c r="Q4" s="130" t="s">
        <v>96</v>
      </c>
      <c r="R4" s="128" t="s">
        <v>13</v>
      </c>
      <c r="S4" s="129" t="s">
        <v>12</v>
      </c>
      <c r="T4" s="130" t="s">
        <v>96</v>
      </c>
      <c r="U4" s="128" t="s">
        <v>13</v>
      </c>
      <c r="V4" s="129" t="s">
        <v>12</v>
      </c>
      <c r="W4" s="130" t="s">
        <v>96</v>
      </c>
      <c r="X4" s="128" t="s">
        <v>13</v>
      </c>
      <c r="Y4" s="129" t="s">
        <v>12</v>
      </c>
      <c r="Z4" s="130" t="s">
        <v>96</v>
      </c>
      <c r="AA4" s="128" t="s">
        <v>13</v>
      </c>
      <c r="AB4" s="129" t="s">
        <v>12</v>
      </c>
      <c r="AC4" s="130" t="s">
        <v>96</v>
      </c>
      <c r="AD4" s="128" t="s">
        <v>13</v>
      </c>
      <c r="AE4" s="129" t="s">
        <v>12</v>
      </c>
      <c r="AF4" s="130" t="s">
        <v>96</v>
      </c>
      <c r="AG4" s="128" t="s">
        <v>13</v>
      </c>
      <c r="AH4" s="129" t="s">
        <v>12</v>
      </c>
      <c r="AI4" s="130" t="s">
        <v>96</v>
      </c>
      <c r="AJ4" s="128" t="s">
        <v>13</v>
      </c>
      <c r="AK4" s="129" t="s">
        <v>12</v>
      </c>
      <c r="AL4" s="130" t="s">
        <v>96</v>
      </c>
    </row>
    <row r="5" spans="2:38" x14ac:dyDescent="0.25">
      <c r="B5" s="131" t="s">
        <v>0</v>
      </c>
      <c r="C5" s="144">
        <v>2134510</v>
      </c>
      <c r="D5" s="145">
        <v>8.2269999999999996E-2</v>
      </c>
      <c r="E5" s="5">
        <v>175606.1399999999</v>
      </c>
      <c r="F5" s="144">
        <v>2813138</v>
      </c>
      <c r="G5" s="145">
        <v>6.7360000000000003E-2</v>
      </c>
      <c r="H5" s="5">
        <v>189492.96999999997</v>
      </c>
      <c r="I5" s="144">
        <v>2196000</v>
      </c>
      <c r="J5" s="145">
        <v>8.0920000000000006E-2</v>
      </c>
      <c r="K5" s="5">
        <v>177700.31999999983</v>
      </c>
      <c r="L5" s="144">
        <v>2089120</v>
      </c>
      <c r="M5" s="145">
        <v>0.10231999999999999</v>
      </c>
      <c r="N5" s="5">
        <v>213758.76</v>
      </c>
      <c r="O5" s="144">
        <v>1805830</v>
      </c>
      <c r="P5" s="145">
        <v>8.2970000000000002E-2</v>
      </c>
      <c r="Q5" s="5">
        <v>149829.71999999997</v>
      </c>
      <c r="R5" s="144">
        <v>857320</v>
      </c>
      <c r="S5" s="145">
        <v>4.3529999999999999E-2</v>
      </c>
      <c r="T5" s="5">
        <v>37319.140000000014</v>
      </c>
      <c r="U5" s="144">
        <v>2581360</v>
      </c>
      <c r="V5" s="145">
        <v>5.3769999999999998E-2</v>
      </c>
      <c r="W5" s="5">
        <v>138799.72999999998</v>
      </c>
      <c r="X5" s="144">
        <v>1800000</v>
      </c>
      <c r="Y5" s="145">
        <v>0.08</v>
      </c>
      <c r="Z5" s="5">
        <f>X5*Y5</f>
        <v>144000</v>
      </c>
      <c r="AA5" s="144">
        <v>1800000</v>
      </c>
      <c r="AB5" s="145">
        <v>8.2500000000000004E-2</v>
      </c>
      <c r="AC5" s="5">
        <f>AA5*AB5</f>
        <v>148500</v>
      </c>
      <c r="AD5" s="144">
        <v>1800000</v>
      </c>
      <c r="AE5" s="145">
        <v>8.5000000000000006E-2</v>
      </c>
      <c r="AF5" s="5">
        <f>AD5*AE5</f>
        <v>153000</v>
      </c>
      <c r="AG5" s="144">
        <f>AD5+100000</f>
        <v>1900000</v>
      </c>
      <c r="AH5" s="145">
        <v>8.7499999999999994E-2</v>
      </c>
      <c r="AI5" s="5">
        <f>AG5*AH5</f>
        <v>166250</v>
      </c>
      <c r="AJ5" s="144">
        <f>AD5</f>
        <v>1800000</v>
      </c>
      <c r="AK5" s="145">
        <v>0.09</v>
      </c>
      <c r="AL5" s="5">
        <f>AJ5*AK5</f>
        <v>162000</v>
      </c>
    </row>
    <row r="6" spans="2:38" x14ac:dyDescent="0.25">
      <c r="B6" s="132" t="s">
        <v>1</v>
      </c>
      <c r="C6" s="144">
        <v>2975320</v>
      </c>
      <c r="D6" s="145">
        <v>8.6389999999999995E-2</v>
      </c>
      <c r="E6" s="5">
        <v>257037.8899999999</v>
      </c>
      <c r="F6" s="144">
        <v>3302320</v>
      </c>
      <c r="G6" s="145">
        <v>8.1670000000000006E-2</v>
      </c>
      <c r="H6" s="5">
        <v>269700.47999999998</v>
      </c>
      <c r="I6" s="144">
        <v>2533990</v>
      </c>
      <c r="J6" s="145">
        <v>8.8120000000000004E-2</v>
      </c>
      <c r="K6" s="5">
        <v>223295.19999999995</v>
      </c>
      <c r="L6" s="144">
        <v>1688900</v>
      </c>
      <c r="M6" s="145">
        <v>0.11330999999999999</v>
      </c>
      <c r="N6" s="5">
        <v>191369.26</v>
      </c>
      <c r="O6" s="144">
        <v>1373740</v>
      </c>
      <c r="P6" s="145">
        <v>5.042E-2</v>
      </c>
      <c r="Q6" s="5">
        <v>69263.969999999972</v>
      </c>
      <c r="R6" s="144">
        <v>640680</v>
      </c>
      <c r="S6" s="145">
        <v>5.246E-2</v>
      </c>
      <c r="T6" s="5">
        <v>33610.069999999949</v>
      </c>
      <c r="U6" s="144">
        <v>2016690</v>
      </c>
      <c r="V6" s="145">
        <v>8.2489999999999994E-2</v>
      </c>
      <c r="W6" s="5">
        <v>166356.76</v>
      </c>
      <c r="X6" s="144">
        <v>1400000</v>
      </c>
      <c r="Y6" s="145">
        <v>0.08</v>
      </c>
      <c r="Z6" s="5">
        <f t="shared" ref="Z6:Z16" si="0">X6*Y6</f>
        <v>112000</v>
      </c>
      <c r="AA6" s="144">
        <v>1400000</v>
      </c>
      <c r="AB6" s="145">
        <v>8.2500000000000004E-2</v>
      </c>
      <c r="AC6" s="5">
        <f t="shared" ref="AC6:AC16" si="1">AA6*AB6</f>
        <v>115500</v>
      </c>
      <c r="AD6" s="144">
        <v>1400000</v>
      </c>
      <c r="AE6" s="145">
        <v>8.5000000000000006E-2</v>
      </c>
      <c r="AF6" s="5">
        <f t="shared" ref="AF6:AF16" si="2">AD6*AE6</f>
        <v>119000.00000000001</v>
      </c>
      <c r="AG6" s="144">
        <f t="shared" ref="AG6:AG16" si="3">AD6+100000</f>
        <v>1500000</v>
      </c>
      <c r="AH6" s="145">
        <v>8.7499999999999994E-2</v>
      </c>
      <c r="AI6" s="5">
        <f t="shared" ref="AI6:AI16" si="4">AG6*AH6</f>
        <v>131250</v>
      </c>
      <c r="AJ6" s="144">
        <f t="shared" ref="AJ6:AJ16" si="5">AD6</f>
        <v>1400000</v>
      </c>
      <c r="AK6" s="145">
        <v>0.09</v>
      </c>
      <c r="AL6" s="5">
        <f t="shared" ref="AL6:AL16" si="6">AJ6*AK6</f>
        <v>126000</v>
      </c>
    </row>
    <row r="7" spans="2:38" x14ac:dyDescent="0.25">
      <c r="B7" s="132" t="s">
        <v>2</v>
      </c>
      <c r="C7" s="144">
        <v>3883530</v>
      </c>
      <c r="D7" s="145">
        <v>7.1349999999999997E-2</v>
      </c>
      <c r="E7" s="5">
        <v>277089.8600000001</v>
      </c>
      <c r="F7" s="144">
        <v>4336290</v>
      </c>
      <c r="G7" s="145">
        <v>9.4810000000000005E-2</v>
      </c>
      <c r="H7" s="5">
        <v>411123.65999999992</v>
      </c>
      <c r="I7" s="144">
        <v>4480180</v>
      </c>
      <c r="J7" s="145">
        <v>8.0409999999999995E-2</v>
      </c>
      <c r="K7" s="5">
        <v>360251.28</v>
      </c>
      <c r="L7" s="144">
        <v>3223950</v>
      </c>
      <c r="M7" s="145">
        <v>0.11942</v>
      </c>
      <c r="N7" s="5">
        <v>385004.1100000001</v>
      </c>
      <c r="O7" s="144">
        <v>2724430</v>
      </c>
      <c r="P7" s="145">
        <v>9.0800000000000006E-2</v>
      </c>
      <c r="Q7" s="5">
        <v>247378.25</v>
      </c>
      <c r="R7" s="144">
        <v>2937880</v>
      </c>
      <c r="S7" s="145">
        <v>5.9409999999999998E-2</v>
      </c>
      <c r="T7" s="5">
        <v>174539.44999999995</v>
      </c>
      <c r="U7" s="144">
        <v>2816580</v>
      </c>
      <c r="V7" s="145">
        <v>8.0310000000000006E-2</v>
      </c>
      <c r="W7" s="5">
        <v>226199.54000000004</v>
      </c>
      <c r="X7" s="144">
        <v>2900000</v>
      </c>
      <c r="Y7" s="145">
        <v>0.08</v>
      </c>
      <c r="Z7" s="5">
        <f t="shared" si="0"/>
        <v>232000</v>
      </c>
      <c r="AA7" s="144">
        <v>2800000</v>
      </c>
      <c r="AB7" s="145">
        <v>8.2500000000000004E-2</v>
      </c>
      <c r="AC7" s="5">
        <f t="shared" si="1"/>
        <v>231000</v>
      </c>
      <c r="AD7" s="144">
        <v>2900000</v>
      </c>
      <c r="AE7" s="145">
        <v>8.5000000000000006E-2</v>
      </c>
      <c r="AF7" s="5">
        <f t="shared" si="2"/>
        <v>246500.00000000003</v>
      </c>
      <c r="AG7" s="144">
        <f t="shared" si="3"/>
        <v>3000000</v>
      </c>
      <c r="AH7" s="145">
        <v>8.7499999999999994E-2</v>
      </c>
      <c r="AI7" s="5">
        <f t="shared" si="4"/>
        <v>262500</v>
      </c>
      <c r="AJ7" s="144">
        <f t="shared" si="5"/>
        <v>2900000</v>
      </c>
      <c r="AK7" s="145">
        <v>0.09</v>
      </c>
      <c r="AL7" s="5">
        <f t="shared" si="6"/>
        <v>261000</v>
      </c>
    </row>
    <row r="8" spans="2:38" x14ac:dyDescent="0.25">
      <c r="B8" s="132" t="s">
        <v>3</v>
      </c>
      <c r="C8" s="144">
        <v>4799720</v>
      </c>
      <c r="D8" s="145">
        <v>0.10778</v>
      </c>
      <c r="E8" s="5">
        <v>517313.81999999995</v>
      </c>
      <c r="F8" s="144">
        <v>4359310</v>
      </c>
      <c r="G8" s="145">
        <v>9.9589999999999998E-2</v>
      </c>
      <c r="H8" s="5">
        <v>434143.68000000017</v>
      </c>
      <c r="I8" s="144">
        <v>2161930</v>
      </c>
      <c r="J8" s="145">
        <v>0.12333</v>
      </c>
      <c r="K8" s="5">
        <v>266630.83000000007</v>
      </c>
      <c r="L8" s="144">
        <v>3323490</v>
      </c>
      <c r="M8" s="145">
        <v>0.15057000000000001</v>
      </c>
      <c r="N8" s="5">
        <v>500417.89000000013</v>
      </c>
      <c r="O8" s="144">
        <v>4398280</v>
      </c>
      <c r="P8" s="145">
        <v>0.10934000000000001</v>
      </c>
      <c r="Q8" s="5">
        <v>480907.93000000005</v>
      </c>
      <c r="R8" s="144">
        <v>4152090</v>
      </c>
      <c r="S8" s="145">
        <v>8.2930000000000004E-2</v>
      </c>
      <c r="T8" s="5">
        <v>344332.82999999996</v>
      </c>
      <c r="U8" s="144">
        <v>4255470</v>
      </c>
      <c r="V8" s="145">
        <v>9.8530000000000006E-2</v>
      </c>
      <c r="W8" s="5">
        <v>419291.45999999996</v>
      </c>
      <c r="X8" s="144">
        <v>4000000</v>
      </c>
      <c r="Y8" s="145">
        <v>0.08</v>
      </c>
      <c r="Z8" s="5">
        <f t="shared" si="0"/>
        <v>320000</v>
      </c>
      <c r="AA8" s="144">
        <v>4200000</v>
      </c>
      <c r="AB8" s="145">
        <v>8.2500000000000004E-2</v>
      </c>
      <c r="AC8" s="5">
        <f t="shared" si="1"/>
        <v>346500</v>
      </c>
      <c r="AD8" s="144">
        <v>4200000</v>
      </c>
      <c r="AE8" s="145">
        <v>8.5000000000000006E-2</v>
      </c>
      <c r="AF8" s="5">
        <f t="shared" si="2"/>
        <v>357000</v>
      </c>
      <c r="AG8" s="144">
        <f t="shared" si="3"/>
        <v>4300000</v>
      </c>
      <c r="AH8" s="145">
        <v>8.7499999999999994E-2</v>
      </c>
      <c r="AI8" s="5">
        <f t="shared" si="4"/>
        <v>376250</v>
      </c>
      <c r="AJ8" s="144">
        <f t="shared" si="5"/>
        <v>4200000</v>
      </c>
      <c r="AK8" s="145">
        <v>0.09</v>
      </c>
      <c r="AL8" s="5">
        <f t="shared" si="6"/>
        <v>378000</v>
      </c>
    </row>
    <row r="9" spans="2:38" x14ac:dyDescent="0.25">
      <c r="B9" s="132" t="s">
        <v>4</v>
      </c>
      <c r="C9" s="144">
        <v>5096570</v>
      </c>
      <c r="D9" s="145">
        <v>0.12307</v>
      </c>
      <c r="E9" s="5">
        <v>627234.87000000011</v>
      </c>
      <c r="F9" s="144">
        <v>5824650</v>
      </c>
      <c r="G9" s="145">
        <v>0.10791000000000001</v>
      </c>
      <c r="H9" s="5">
        <v>628537.98</v>
      </c>
      <c r="I9" s="144">
        <v>573300</v>
      </c>
      <c r="J9" s="145">
        <v>0.12604000000000001</v>
      </c>
      <c r="K9" s="5">
        <v>72258.729999999981</v>
      </c>
      <c r="L9" s="144">
        <v>4369220</v>
      </c>
      <c r="M9" s="145">
        <v>0.14718000000000001</v>
      </c>
      <c r="N9" s="5">
        <v>643061.80000000005</v>
      </c>
      <c r="O9" s="144">
        <v>3333080</v>
      </c>
      <c r="P9" s="145">
        <v>0.10054</v>
      </c>
      <c r="Q9" s="5">
        <v>335107.8600000001</v>
      </c>
      <c r="R9" s="144">
        <v>5665250</v>
      </c>
      <c r="S9" s="145">
        <v>8.4750000000000006E-2</v>
      </c>
      <c r="T9" s="5">
        <v>480129.94000000006</v>
      </c>
      <c r="U9" s="144">
        <v>5063950</v>
      </c>
      <c r="V9" s="145">
        <v>9.962E-2</v>
      </c>
      <c r="W9" s="5">
        <v>504470.69000000006</v>
      </c>
      <c r="X9" s="144">
        <v>4600000</v>
      </c>
      <c r="Y9" s="145">
        <v>0.08</v>
      </c>
      <c r="Z9" s="5">
        <f t="shared" si="0"/>
        <v>368000</v>
      </c>
      <c r="AA9" s="144">
        <v>4700000</v>
      </c>
      <c r="AB9" s="145">
        <v>8.2500000000000004E-2</v>
      </c>
      <c r="AC9" s="5">
        <f t="shared" si="1"/>
        <v>387750</v>
      </c>
      <c r="AD9" s="144">
        <v>5000000</v>
      </c>
      <c r="AE9" s="145">
        <v>8.5000000000000006E-2</v>
      </c>
      <c r="AF9" s="5">
        <f t="shared" si="2"/>
        <v>425000.00000000006</v>
      </c>
      <c r="AG9" s="144">
        <f t="shared" si="3"/>
        <v>5100000</v>
      </c>
      <c r="AH9" s="145">
        <v>8.7499999999999994E-2</v>
      </c>
      <c r="AI9" s="5">
        <f t="shared" si="4"/>
        <v>446250</v>
      </c>
      <c r="AJ9" s="144">
        <f t="shared" si="5"/>
        <v>5000000</v>
      </c>
      <c r="AK9" s="145">
        <v>0.09</v>
      </c>
      <c r="AL9" s="5">
        <f t="shared" si="6"/>
        <v>450000</v>
      </c>
    </row>
    <row r="10" spans="2:38" x14ac:dyDescent="0.25">
      <c r="B10" s="132" t="s">
        <v>5</v>
      </c>
      <c r="C10" s="144">
        <v>5673460</v>
      </c>
      <c r="D10" s="145">
        <v>0.11848</v>
      </c>
      <c r="E10" s="5">
        <v>672191.54</v>
      </c>
      <c r="F10" s="144">
        <v>5836836</v>
      </c>
      <c r="G10" s="145">
        <v>0.11896</v>
      </c>
      <c r="H10" s="5">
        <v>694350.00999999989</v>
      </c>
      <c r="I10" s="144">
        <v>2446170</v>
      </c>
      <c r="J10" s="145">
        <v>0.13728000000000001</v>
      </c>
      <c r="K10" s="5">
        <v>335810.2100000002</v>
      </c>
      <c r="L10" s="144">
        <v>4206240</v>
      </c>
      <c r="M10" s="145">
        <v>0.12839999999999999</v>
      </c>
      <c r="N10" s="5">
        <v>540081.22</v>
      </c>
      <c r="O10" s="144">
        <v>1333260</v>
      </c>
      <c r="P10" s="145">
        <v>8.6319999999999994E-2</v>
      </c>
      <c r="Q10" s="5">
        <v>115087.01000000001</v>
      </c>
      <c r="R10" s="144">
        <v>5632520</v>
      </c>
      <c r="S10" s="145">
        <v>7.868E-2</v>
      </c>
      <c r="T10" s="5">
        <v>443166.67999999993</v>
      </c>
      <c r="U10" s="144">
        <v>2509010</v>
      </c>
      <c r="V10" s="145">
        <v>8.2930000000000004E-2</v>
      </c>
      <c r="W10" s="5">
        <v>208072.19999999995</v>
      </c>
      <c r="X10" s="144">
        <v>3400000</v>
      </c>
      <c r="Y10" s="145">
        <v>0.08</v>
      </c>
      <c r="Z10" s="5">
        <f t="shared" si="0"/>
        <v>272000</v>
      </c>
      <c r="AA10" s="144">
        <v>3200000</v>
      </c>
      <c r="AB10" s="145">
        <v>8.2500000000000004E-2</v>
      </c>
      <c r="AC10" s="5">
        <f t="shared" si="1"/>
        <v>264000</v>
      </c>
      <c r="AD10" s="144">
        <v>3700000</v>
      </c>
      <c r="AE10" s="145">
        <v>8.5000000000000006E-2</v>
      </c>
      <c r="AF10" s="5">
        <f t="shared" si="2"/>
        <v>314500</v>
      </c>
      <c r="AG10" s="144">
        <f t="shared" si="3"/>
        <v>3800000</v>
      </c>
      <c r="AH10" s="145">
        <v>8.7499999999999994E-2</v>
      </c>
      <c r="AI10" s="5">
        <f t="shared" si="4"/>
        <v>332500</v>
      </c>
      <c r="AJ10" s="144">
        <f t="shared" si="5"/>
        <v>3700000</v>
      </c>
      <c r="AK10" s="145">
        <v>0.09</v>
      </c>
      <c r="AL10" s="5">
        <f t="shared" si="6"/>
        <v>333000</v>
      </c>
    </row>
    <row r="11" spans="2:38" x14ac:dyDescent="0.25">
      <c r="B11" s="132" t="s">
        <v>6</v>
      </c>
      <c r="C11" s="144">
        <v>5380900</v>
      </c>
      <c r="D11" s="145">
        <v>0.1128</v>
      </c>
      <c r="E11" s="5">
        <v>606965.52</v>
      </c>
      <c r="F11" s="144">
        <v>2286590</v>
      </c>
      <c r="G11" s="145">
        <v>7.7369999999999994E-2</v>
      </c>
      <c r="H11" s="5">
        <v>176913.45999999996</v>
      </c>
      <c r="I11" s="144">
        <v>3676680</v>
      </c>
      <c r="J11" s="145">
        <v>9.6449999999999994E-2</v>
      </c>
      <c r="K11" s="5">
        <v>354615.79000000004</v>
      </c>
      <c r="L11" s="144">
        <v>3494520</v>
      </c>
      <c r="M11" s="145">
        <v>9.9019999999999997E-2</v>
      </c>
      <c r="N11" s="5">
        <v>346027.36999999988</v>
      </c>
      <c r="O11" s="144">
        <v>3685060</v>
      </c>
      <c r="P11" s="145">
        <v>7.3599999999999999E-2</v>
      </c>
      <c r="Q11" s="5">
        <v>271220.41000000003</v>
      </c>
      <c r="R11" s="144">
        <v>4101700</v>
      </c>
      <c r="S11" s="145">
        <v>4.0079999999999998E-2</v>
      </c>
      <c r="T11" s="5">
        <v>164396.14000000001</v>
      </c>
      <c r="U11" s="158">
        <v>5180845.5999999996</v>
      </c>
      <c r="V11" s="145">
        <f>W11/U11</f>
        <v>4.9489998312244633E-2</v>
      </c>
      <c r="W11" s="143">
        <f>128200.02*2</f>
        <v>256400.04</v>
      </c>
      <c r="X11" s="144">
        <v>4100000</v>
      </c>
      <c r="Y11" s="145">
        <v>0.08</v>
      </c>
      <c r="Z11" s="5">
        <f t="shared" si="0"/>
        <v>328000</v>
      </c>
      <c r="AA11" s="144">
        <v>4300000</v>
      </c>
      <c r="AB11" s="145">
        <v>8.2500000000000004E-2</v>
      </c>
      <c r="AC11" s="5">
        <f t="shared" si="1"/>
        <v>354750</v>
      </c>
      <c r="AD11" s="144">
        <v>4400000</v>
      </c>
      <c r="AE11" s="145">
        <v>8.5000000000000006E-2</v>
      </c>
      <c r="AF11" s="5">
        <f t="shared" si="2"/>
        <v>374000</v>
      </c>
      <c r="AG11" s="144">
        <f t="shared" si="3"/>
        <v>4500000</v>
      </c>
      <c r="AH11" s="145">
        <v>8.7499999999999994E-2</v>
      </c>
      <c r="AI11" s="5">
        <f t="shared" si="4"/>
        <v>393750</v>
      </c>
      <c r="AJ11" s="144">
        <f t="shared" si="5"/>
        <v>4400000</v>
      </c>
      <c r="AK11" s="145">
        <v>0.09</v>
      </c>
      <c r="AL11" s="5">
        <f t="shared" si="6"/>
        <v>396000</v>
      </c>
    </row>
    <row r="12" spans="2:38" x14ac:dyDescent="0.25">
      <c r="B12" s="132" t="s">
        <v>7</v>
      </c>
      <c r="C12" s="144">
        <v>2756940</v>
      </c>
      <c r="D12" s="145">
        <v>0.10109</v>
      </c>
      <c r="E12" s="5">
        <v>278699.06000000006</v>
      </c>
      <c r="F12" s="144">
        <v>2719400</v>
      </c>
      <c r="G12" s="145">
        <v>7.4899999999999994E-2</v>
      </c>
      <c r="H12" s="5">
        <v>203683.05999999994</v>
      </c>
      <c r="I12" s="144">
        <v>3537380</v>
      </c>
      <c r="J12" s="145">
        <v>0.12606999999999999</v>
      </c>
      <c r="K12" s="5">
        <v>445957.5</v>
      </c>
      <c r="L12" s="144">
        <v>4660990</v>
      </c>
      <c r="M12" s="145">
        <v>0.10348</v>
      </c>
      <c r="N12" s="5">
        <v>482319.24</v>
      </c>
      <c r="O12" s="144">
        <v>4492060</v>
      </c>
      <c r="P12" s="145">
        <v>4.5990000000000003E-2</v>
      </c>
      <c r="Q12" s="5">
        <v>206589.83999999997</v>
      </c>
      <c r="R12" s="144">
        <v>2637510</v>
      </c>
      <c r="S12" s="145">
        <v>4.9899999999999996E-3</v>
      </c>
      <c r="T12" s="5">
        <v>13161.179999999993</v>
      </c>
      <c r="U12" s="144">
        <v>5107690</v>
      </c>
      <c r="V12" s="145">
        <f>W12/U12</f>
        <v>7.6059999725903493E-2</v>
      </c>
      <c r="W12" s="5">
        <f>194245.45*2</f>
        <v>388490.9</v>
      </c>
      <c r="X12" s="144">
        <v>4200000</v>
      </c>
      <c r="Y12" s="145">
        <v>0.08</v>
      </c>
      <c r="Z12" s="5">
        <f t="shared" si="0"/>
        <v>336000</v>
      </c>
      <c r="AA12" s="144">
        <v>4100000</v>
      </c>
      <c r="AB12" s="145">
        <v>8.2500000000000004E-2</v>
      </c>
      <c r="AC12" s="5">
        <f t="shared" si="1"/>
        <v>338250</v>
      </c>
      <c r="AD12" s="144">
        <v>4000000</v>
      </c>
      <c r="AE12" s="145">
        <v>8.5000000000000006E-2</v>
      </c>
      <c r="AF12" s="5">
        <f t="shared" si="2"/>
        <v>340000</v>
      </c>
      <c r="AG12" s="144">
        <f t="shared" si="3"/>
        <v>4100000</v>
      </c>
      <c r="AH12" s="145">
        <v>8.7499999999999994E-2</v>
      </c>
      <c r="AI12" s="5">
        <f t="shared" si="4"/>
        <v>358750</v>
      </c>
      <c r="AJ12" s="144">
        <f t="shared" si="5"/>
        <v>4000000</v>
      </c>
      <c r="AK12" s="145">
        <v>0.09</v>
      </c>
      <c r="AL12" s="5">
        <f t="shared" si="6"/>
        <v>360000</v>
      </c>
    </row>
    <row r="13" spans="2:38" x14ac:dyDescent="0.25">
      <c r="B13" s="132" t="s">
        <v>8</v>
      </c>
      <c r="C13" s="144">
        <v>3210200</v>
      </c>
      <c r="D13" s="145">
        <v>8.8639999999999997E-2</v>
      </c>
      <c r="E13" s="5">
        <v>284552.13</v>
      </c>
      <c r="F13" s="144">
        <v>3075670</v>
      </c>
      <c r="G13" s="145">
        <v>8.584E-2</v>
      </c>
      <c r="H13" s="5">
        <v>264015.50999999989</v>
      </c>
      <c r="I13" s="144">
        <v>2684440</v>
      </c>
      <c r="J13" s="145">
        <v>0.12263</v>
      </c>
      <c r="K13" s="5">
        <v>329192.87999999989</v>
      </c>
      <c r="L13" s="144">
        <v>4094420</v>
      </c>
      <c r="M13" s="145">
        <v>0.12175999999999999</v>
      </c>
      <c r="N13" s="5">
        <v>498536.58000000007</v>
      </c>
      <c r="O13" s="144">
        <v>2697760</v>
      </c>
      <c r="P13" s="145">
        <v>7.5649999999999995E-2</v>
      </c>
      <c r="Q13" s="5">
        <v>204085.54999999993</v>
      </c>
      <c r="R13" s="144">
        <v>4344770</v>
      </c>
      <c r="S13" s="145">
        <v>3.2410000000000001E-2</v>
      </c>
      <c r="T13" s="5">
        <v>140814</v>
      </c>
      <c r="U13" s="144">
        <v>3976555.51</v>
      </c>
      <c r="V13" s="145">
        <v>5.0930000000000003E-2</v>
      </c>
      <c r="W13" s="5">
        <v>202525.97</v>
      </c>
      <c r="X13" s="144">
        <v>3800000</v>
      </c>
      <c r="Y13" s="145">
        <v>0.08</v>
      </c>
      <c r="Z13" s="5">
        <f t="shared" si="0"/>
        <v>304000</v>
      </c>
      <c r="AA13" s="144">
        <v>3700000</v>
      </c>
      <c r="AB13" s="145">
        <v>8.2500000000000004E-2</v>
      </c>
      <c r="AC13" s="5">
        <f t="shared" si="1"/>
        <v>305250</v>
      </c>
      <c r="AD13" s="144">
        <v>4000000</v>
      </c>
      <c r="AE13" s="145">
        <v>8.5000000000000006E-2</v>
      </c>
      <c r="AF13" s="5">
        <f t="shared" si="2"/>
        <v>340000</v>
      </c>
      <c r="AG13" s="144">
        <f t="shared" si="3"/>
        <v>4100000</v>
      </c>
      <c r="AH13" s="145">
        <v>8.7499999999999994E-2</v>
      </c>
      <c r="AI13" s="5">
        <f t="shared" si="4"/>
        <v>358750</v>
      </c>
      <c r="AJ13" s="144">
        <f t="shared" si="5"/>
        <v>4000000</v>
      </c>
      <c r="AK13" s="145">
        <v>0.09</v>
      </c>
      <c r="AL13" s="5">
        <f t="shared" si="6"/>
        <v>360000</v>
      </c>
    </row>
    <row r="14" spans="2:38" x14ac:dyDescent="0.25">
      <c r="B14" s="132" t="s">
        <v>9</v>
      </c>
      <c r="C14" s="144">
        <v>2748080</v>
      </c>
      <c r="D14" s="145">
        <v>0.12562999999999999</v>
      </c>
      <c r="E14" s="5">
        <v>345241.29000000004</v>
      </c>
      <c r="F14" s="144">
        <v>1716320</v>
      </c>
      <c r="G14" s="145">
        <v>0.12059</v>
      </c>
      <c r="H14" s="5">
        <v>206971.03000000003</v>
      </c>
      <c r="I14" s="144">
        <v>2841830</v>
      </c>
      <c r="J14" s="145">
        <v>0.1368</v>
      </c>
      <c r="K14" s="5">
        <v>388762.34999999986</v>
      </c>
      <c r="L14" s="144">
        <v>3886120</v>
      </c>
      <c r="M14" s="145">
        <v>0.12806000000000001</v>
      </c>
      <c r="N14" s="5">
        <v>497656.53</v>
      </c>
      <c r="O14" s="144">
        <v>5203800</v>
      </c>
      <c r="P14" s="145">
        <v>5.2440000000000001E-2</v>
      </c>
      <c r="Q14" s="5">
        <v>272887.27999999997</v>
      </c>
      <c r="R14" s="144">
        <v>2424300</v>
      </c>
      <c r="S14" s="145">
        <v>5.7709999999999997E-2</v>
      </c>
      <c r="T14" s="5">
        <v>139906.34999999998</v>
      </c>
      <c r="U14" s="144">
        <v>3600000</v>
      </c>
      <c r="V14" s="145">
        <v>7.4999999999999997E-2</v>
      </c>
      <c r="W14" s="5">
        <f>U14*V14</f>
        <v>270000</v>
      </c>
      <c r="X14" s="144">
        <v>3800000</v>
      </c>
      <c r="Y14" s="145">
        <v>0.08</v>
      </c>
      <c r="Z14" s="5">
        <f t="shared" si="0"/>
        <v>304000</v>
      </c>
      <c r="AA14" s="144">
        <v>3800000</v>
      </c>
      <c r="AB14" s="145">
        <v>8.2500000000000004E-2</v>
      </c>
      <c r="AC14" s="5">
        <f t="shared" si="1"/>
        <v>313500</v>
      </c>
      <c r="AD14" s="144">
        <v>3300000</v>
      </c>
      <c r="AE14" s="145">
        <v>8.5000000000000006E-2</v>
      </c>
      <c r="AF14" s="5">
        <f t="shared" si="2"/>
        <v>280500</v>
      </c>
      <c r="AG14" s="144">
        <f t="shared" si="3"/>
        <v>3400000</v>
      </c>
      <c r="AH14" s="145">
        <v>8.7499999999999994E-2</v>
      </c>
      <c r="AI14" s="5">
        <f t="shared" si="4"/>
        <v>297500</v>
      </c>
      <c r="AJ14" s="144">
        <f t="shared" si="5"/>
        <v>3300000</v>
      </c>
      <c r="AK14" s="145">
        <v>0.09</v>
      </c>
      <c r="AL14" s="5">
        <f t="shared" si="6"/>
        <v>297000</v>
      </c>
    </row>
    <row r="15" spans="2:38" x14ac:dyDescent="0.25">
      <c r="B15" s="132" t="s">
        <v>10</v>
      </c>
      <c r="C15" s="144">
        <v>5298050</v>
      </c>
      <c r="D15" s="145">
        <v>9.7040000000000001E-2</v>
      </c>
      <c r="E15" s="5">
        <v>514122.77</v>
      </c>
      <c r="F15" s="144">
        <v>1807480</v>
      </c>
      <c r="G15" s="145">
        <v>9.8549999999999999E-2</v>
      </c>
      <c r="H15" s="5">
        <v>178127.15999999992</v>
      </c>
      <c r="I15" s="144">
        <v>1506800</v>
      </c>
      <c r="J15" s="145">
        <v>9.9529999999999993E-2</v>
      </c>
      <c r="K15" s="5">
        <v>149971.81000000006</v>
      </c>
      <c r="L15" s="144">
        <v>3140570</v>
      </c>
      <c r="M15" s="145">
        <v>0.11705</v>
      </c>
      <c r="N15" s="5">
        <v>367603.7200000002</v>
      </c>
      <c r="O15" s="144">
        <v>3090470</v>
      </c>
      <c r="P15" s="145">
        <v>5.4170000000000003E-2</v>
      </c>
      <c r="Q15" s="5">
        <v>167410.76</v>
      </c>
      <c r="R15" s="144">
        <v>419910</v>
      </c>
      <c r="S15" s="145">
        <v>6.9889999999999994E-2</v>
      </c>
      <c r="T15" s="5">
        <v>29347.509999999776</v>
      </c>
      <c r="U15" s="144">
        <v>2000000</v>
      </c>
      <c r="V15" s="145">
        <v>7.4999999999999997E-2</v>
      </c>
      <c r="W15" s="5">
        <f t="shared" ref="W15:W16" si="7">U15*V15</f>
        <v>150000</v>
      </c>
      <c r="X15" s="144">
        <v>2200000</v>
      </c>
      <c r="Y15" s="145">
        <v>0.08</v>
      </c>
      <c r="Z15" s="5">
        <f t="shared" si="0"/>
        <v>176000</v>
      </c>
      <c r="AA15" s="144">
        <v>1900000</v>
      </c>
      <c r="AB15" s="145">
        <v>8.2500000000000004E-2</v>
      </c>
      <c r="AC15" s="5">
        <f t="shared" si="1"/>
        <v>156750</v>
      </c>
      <c r="AD15" s="144">
        <v>1500000</v>
      </c>
      <c r="AE15" s="145">
        <v>8.5000000000000006E-2</v>
      </c>
      <c r="AF15" s="5">
        <f t="shared" si="2"/>
        <v>127500.00000000001</v>
      </c>
      <c r="AG15" s="144">
        <f t="shared" si="3"/>
        <v>1600000</v>
      </c>
      <c r="AH15" s="145">
        <v>8.7499999999999994E-2</v>
      </c>
      <c r="AI15" s="5">
        <f t="shared" si="4"/>
        <v>140000</v>
      </c>
      <c r="AJ15" s="144">
        <f t="shared" si="5"/>
        <v>1500000</v>
      </c>
      <c r="AK15" s="145">
        <v>0.09</v>
      </c>
      <c r="AL15" s="5">
        <f t="shared" si="6"/>
        <v>135000</v>
      </c>
    </row>
    <row r="16" spans="2:38" ht="15.75" thickBot="1" x14ac:dyDescent="0.3">
      <c r="B16" s="132" t="s">
        <v>11</v>
      </c>
      <c r="C16" s="146">
        <v>3896110</v>
      </c>
      <c r="D16" s="147">
        <v>9.2069999999999999E-2</v>
      </c>
      <c r="E16" s="6">
        <v>358714.85000000009</v>
      </c>
      <c r="F16" s="146">
        <v>3020740</v>
      </c>
      <c r="G16" s="147">
        <v>7.4039999999999995E-2</v>
      </c>
      <c r="H16" s="6">
        <v>223655.59000000008</v>
      </c>
      <c r="I16" s="146">
        <v>1996200</v>
      </c>
      <c r="J16" s="147">
        <v>9.3210000000000001E-2</v>
      </c>
      <c r="K16" s="6">
        <v>186065.80000000005</v>
      </c>
      <c r="L16" s="146">
        <v>1979050</v>
      </c>
      <c r="M16" s="147">
        <v>0.10557999999999999</v>
      </c>
      <c r="N16" s="6">
        <v>208948.10000000009</v>
      </c>
      <c r="O16" s="146">
        <v>2661390</v>
      </c>
      <c r="P16" s="147">
        <v>5.9679999999999997E-2</v>
      </c>
      <c r="Q16" s="6">
        <v>158831.75000000012</v>
      </c>
      <c r="R16" s="146">
        <v>947060</v>
      </c>
      <c r="S16" s="147">
        <v>3.4270000000000002E-2</v>
      </c>
      <c r="T16" s="6">
        <v>32455.75</v>
      </c>
      <c r="U16" s="146">
        <v>1900000</v>
      </c>
      <c r="V16" s="147">
        <v>7.4999999999999997E-2</v>
      </c>
      <c r="W16" s="5">
        <f t="shared" si="7"/>
        <v>142500</v>
      </c>
      <c r="X16" s="144">
        <v>1900000</v>
      </c>
      <c r="Y16" s="145">
        <v>0.08</v>
      </c>
      <c r="Z16" s="5">
        <f t="shared" si="0"/>
        <v>152000</v>
      </c>
      <c r="AA16" s="144">
        <v>1800000</v>
      </c>
      <c r="AB16" s="145">
        <v>8.2500000000000004E-2</v>
      </c>
      <c r="AC16" s="5">
        <f t="shared" si="1"/>
        <v>148500</v>
      </c>
      <c r="AD16" s="144">
        <v>1500000</v>
      </c>
      <c r="AE16" s="145">
        <v>8.5000000000000006E-2</v>
      </c>
      <c r="AF16" s="5">
        <f t="shared" si="2"/>
        <v>127500.00000000001</v>
      </c>
      <c r="AG16" s="144">
        <f t="shared" si="3"/>
        <v>1600000</v>
      </c>
      <c r="AH16" s="145">
        <v>8.7499999999999994E-2</v>
      </c>
      <c r="AI16" s="5">
        <f t="shared" si="4"/>
        <v>140000</v>
      </c>
      <c r="AJ16" s="144">
        <f t="shared" si="5"/>
        <v>1500000</v>
      </c>
      <c r="AK16" s="145">
        <v>0.09</v>
      </c>
      <c r="AL16" s="5">
        <f t="shared" si="6"/>
        <v>135000</v>
      </c>
    </row>
    <row r="17" spans="2:38" ht="15.75" thickBot="1" x14ac:dyDescent="0.3">
      <c r="B17" s="133" t="s">
        <v>14</v>
      </c>
      <c r="C17" s="8">
        <f>SUM(C5:C16)</f>
        <v>47853390</v>
      </c>
      <c r="D17" s="134">
        <f>E17/C17</f>
        <v>0.10270473502504211</v>
      </c>
      <c r="E17" s="9">
        <f>SUM(E5:E16)</f>
        <v>4914769.74</v>
      </c>
      <c r="F17" s="8">
        <f>SUM(F5:F16)</f>
        <v>41098744</v>
      </c>
      <c r="G17" s="134">
        <f>H17/F17</f>
        <v>9.4424165127771298E-2</v>
      </c>
      <c r="H17" s="9">
        <f>SUM(H5:H16)</f>
        <v>3880714.59</v>
      </c>
      <c r="I17" s="8">
        <f>SUM(I5:I16)</f>
        <v>30634900</v>
      </c>
      <c r="J17" s="134">
        <f>K17/I17</f>
        <v>0.10741059053563094</v>
      </c>
      <c r="K17" s="9">
        <f>SUM(K5:K16)</f>
        <v>3290512.7</v>
      </c>
      <c r="L17" s="8">
        <f>SUM(L5:L16)</f>
        <v>40156590</v>
      </c>
      <c r="M17" s="134">
        <f>N17/L17</f>
        <v>0.12139438582807953</v>
      </c>
      <c r="N17" s="9">
        <f>SUM(N5:N16)</f>
        <v>4874784.58</v>
      </c>
      <c r="O17" s="8">
        <f>SUM(O5:O16)</f>
        <v>36799160</v>
      </c>
      <c r="P17" s="134">
        <f>Q17/O17</f>
        <v>7.2789713949992313E-2</v>
      </c>
      <c r="Q17" s="9">
        <f>SUM(Q5:Q16)</f>
        <v>2678600.3299999991</v>
      </c>
      <c r="R17" s="8">
        <f>SUM(R5:R16)</f>
        <v>34760990</v>
      </c>
      <c r="S17" s="134">
        <f>T17/R17</f>
        <v>5.8490251284557766E-2</v>
      </c>
      <c r="T17" s="9">
        <f>SUM(T5:T16)</f>
        <v>2033179.0399999996</v>
      </c>
      <c r="U17" s="8">
        <f>SUM(U5:U16)</f>
        <v>41008151.109999999</v>
      </c>
      <c r="V17" s="134">
        <f>W17/U17</f>
        <v>7.4938937913994641E-2</v>
      </c>
      <c r="W17" s="9">
        <f>SUM(W5:W16)</f>
        <v>3073107.2900000005</v>
      </c>
      <c r="X17" s="8">
        <f>SUM(X5:X16)</f>
        <v>38100000</v>
      </c>
      <c r="Y17" s="134">
        <f>Z17/X17</f>
        <v>0.08</v>
      </c>
      <c r="Z17" s="9">
        <f>SUM(Z5:Z16)</f>
        <v>3048000</v>
      </c>
      <c r="AA17" s="8">
        <f>SUM(AA5:AA16)</f>
        <v>37700000</v>
      </c>
      <c r="AB17" s="134">
        <f>AC17/AA17</f>
        <v>8.2500000000000004E-2</v>
      </c>
      <c r="AC17" s="9">
        <f>SUM(AC5:AC16)</f>
        <v>3110250</v>
      </c>
      <c r="AD17" s="8">
        <f>SUM(AD5:AD16)</f>
        <v>37700000</v>
      </c>
      <c r="AE17" s="134">
        <f>AF17/AD17</f>
        <v>8.5000000000000006E-2</v>
      </c>
      <c r="AF17" s="9">
        <f>SUM(AF5:AF16)</f>
        <v>3204500</v>
      </c>
      <c r="AG17" s="8">
        <f>SUM(AG5:AG16)</f>
        <v>38900000</v>
      </c>
      <c r="AH17" s="134">
        <f>AI17/AG17</f>
        <v>8.7499999999999994E-2</v>
      </c>
      <c r="AI17" s="9">
        <f>SUM(AI5:AI16)</f>
        <v>3403750</v>
      </c>
      <c r="AJ17" s="8">
        <f>SUM(AJ5:AJ16)</f>
        <v>37700000</v>
      </c>
      <c r="AK17" s="134">
        <f>AL17/AJ17</f>
        <v>0.09</v>
      </c>
      <c r="AL17" s="9">
        <f>SUM(AL5:AL16)</f>
        <v>3393000</v>
      </c>
    </row>
    <row r="18" spans="2:38" x14ac:dyDescent="0.25">
      <c r="B18" s="2"/>
    </row>
    <row r="19" spans="2:38" x14ac:dyDescent="0.25">
      <c r="B19" s="2"/>
      <c r="I19" s="157"/>
    </row>
    <row r="20" spans="2:38" x14ac:dyDescent="0.25">
      <c r="B20" s="187" t="s">
        <v>223</v>
      </c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9"/>
    </row>
    <row r="21" spans="2:38" x14ac:dyDescent="0.25">
      <c r="B21" s="26"/>
      <c r="C21" s="215">
        <v>2017</v>
      </c>
      <c r="D21" s="215">
        <v>2018</v>
      </c>
      <c r="E21" s="215">
        <v>2019</v>
      </c>
      <c r="F21" s="215">
        <v>2020</v>
      </c>
      <c r="G21" s="215">
        <v>2021</v>
      </c>
      <c r="H21" s="215">
        <v>2022</v>
      </c>
      <c r="I21" s="177">
        <v>2023</v>
      </c>
      <c r="J21" s="177">
        <v>2024</v>
      </c>
      <c r="K21" s="177">
        <v>2025</v>
      </c>
      <c r="L21" s="177">
        <v>2026</v>
      </c>
      <c r="M21" s="177">
        <v>2027</v>
      </c>
      <c r="N21" s="178">
        <v>2028</v>
      </c>
    </row>
    <row r="22" spans="2:38" x14ac:dyDescent="0.25">
      <c r="B22" s="26" t="s">
        <v>0</v>
      </c>
      <c r="C22" s="216"/>
      <c r="D22" s="155">
        <f>AVERAGE($F22:$H22)/AVERAGE($F$34:$H$34)*D$34</f>
        <v>19843492.779305737</v>
      </c>
      <c r="E22" s="155">
        <f>AVERAGE($F22:$H22)/AVERAGE($F$34:$H$34)*E$34</f>
        <v>19703325.719309852</v>
      </c>
      <c r="F22" s="117">
        <v>17722769</v>
      </c>
      <c r="G22" s="117">
        <v>17319254</v>
      </c>
      <c r="H22" s="117">
        <v>20867422</v>
      </c>
      <c r="I22" s="117">
        <v>17580194</v>
      </c>
      <c r="J22" s="117">
        <v>18000000</v>
      </c>
      <c r="K22" s="117">
        <v>20000000</v>
      </c>
      <c r="L22" s="117">
        <v>20000000</v>
      </c>
      <c r="M22" s="117">
        <v>18000000</v>
      </c>
      <c r="N22" s="148">
        <v>18000000</v>
      </c>
      <c r="Q22" s="3"/>
      <c r="R22" s="3"/>
      <c r="S22" s="3"/>
      <c r="T22" s="3"/>
      <c r="U22" s="3"/>
    </row>
    <row r="23" spans="2:38" x14ac:dyDescent="0.25">
      <c r="B23" s="26" t="s">
        <v>1</v>
      </c>
      <c r="C23" s="216"/>
      <c r="D23" s="155">
        <f t="shared" ref="D23:E33" si="8">AVERAGE($F23:$H23)/AVERAGE($F$34:$H$34)*D$34</f>
        <v>17918561.173074994</v>
      </c>
      <c r="E23" s="155">
        <f t="shared" si="8"/>
        <v>17791991.114722889</v>
      </c>
      <c r="F23" s="117">
        <v>16373792</v>
      </c>
      <c r="G23" s="117">
        <v>16315431</v>
      </c>
      <c r="H23" s="117">
        <v>17796688</v>
      </c>
      <c r="I23" s="117">
        <v>16455199</v>
      </c>
      <c r="J23" s="117">
        <v>17000000</v>
      </c>
      <c r="K23" s="117">
        <v>17000000</v>
      </c>
      <c r="L23" s="117">
        <v>15000000</v>
      </c>
      <c r="M23" s="117">
        <v>16000000</v>
      </c>
      <c r="N23" s="148">
        <v>17000000</v>
      </c>
      <c r="Q23" s="3"/>
      <c r="R23" s="3"/>
      <c r="S23" s="3"/>
      <c r="T23" s="3"/>
      <c r="U23" s="3"/>
    </row>
    <row r="24" spans="2:38" x14ac:dyDescent="0.25">
      <c r="B24" s="26" t="s">
        <v>2</v>
      </c>
      <c r="C24" s="216"/>
      <c r="D24" s="155">
        <f t="shared" si="8"/>
        <v>17143990.019010182</v>
      </c>
      <c r="E24" s="155">
        <f t="shared" si="8"/>
        <v>17022891.243492723</v>
      </c>
      <c r="F24" s="117">
        <v>15547060</v>
      </c>
      <c r="G24" s="117">
        <v>16043912</v>
      </c>
      <c r="H24" s="117">
        <v>16712569</v>
      </c>
      <c r="I24" s="117">
        <v>12177305</v>
      </c>
      <c r="J24" s="117">
        <v>15000000</v>
      </c>
      <c r="K24" s="117">
        <v>15000000</v>
      </c>
      <c r="L24" s="117">
        <v>16000000</v>
      </c>
      <c r="M24" s="117">
        <v>15000000</v>
      </c>
      <c r="N24" s="148">
        <v>16000000</v>
      </c>
      <c r="Q24" s="3"/>
      <c r="R24" s="3"/>
      <c r="S24" s="3"/>
      <c r="T24" s="3"/>
      <c r="U24" s="3"/>
    </row>
    <row r="25" spans="2:38" x14ac:dyDescent="0.25">
      <c r="B25" s="26" t="s">
        <v>3</v>
      </c>
      <c r="C25" s="216"/>
      <c r="D25" s="155">
        <f t="shared" si="8"/>
        <v>14156999.718134973</v>
      </c>
      <c r="E25" s="155">
        <f t="shared" si="8"/>
        <v>14056999.932264464</v>
      </c>
      <c r="F25" s="117">
        <v>13549931</v>
      </c>
      <c r="G25" s="117">
        <v>12544217</v>
      </c>
      <c r="H25" s="117">
        <v>13793487</v>
      </c>
      <c r="I25" s="117">
        <v>17741437</v>
      </c>
      <c r="J25" s="117">
        <v>14000000</v>
      </c>
      <c r="K25" s="117">
        <v>14000000</v>
      </c>
      <c r="L25" s="117">
        <v>16000000</v>
      </c>
      <c r="M25" s="117">
        <v>17000000</v>
      </c>
      <c r="N25" s="148">
        <v>17000000</v>
      </c>
      <c r="Q25" s="3"/>
      <c r="R25" s="3"/>
      <c r="S25" s="3"/>
      <c r="T25" s="3"/>
      <c r="U25" s="3"/>
    </row>
    <row r="26" spans="2:38" x14ac:dyDescent="0.25">
      <c r="B26" s="26" t="s">
        <v>4</v>
      </c>
      <c r="C26" s="216"/>
      <c r="D26" s="155">
        <f t="shared" si="8"/>
        <v>13866661.443944868</v>
      </c>
      <c r="E26" s="155">
        <f t="shared" si="8"/>
        <v>13768712.499765895</v>
      </c>
      <c r="F26" s="117">
        <v>12987690</v>
      </c>
      <c r="G26" s="117">
        <v>12933951</v>
      </c>
      <c r="H26" s="117">
        <v>13147960</v>
      </c>
      <c r="I26" s="117">
        <v>12987938</v>
      </c>
      <c r="J26" s="117">
        <v>13000000</v>
      </c>
      <c r="K26" s="117">
        <v>14000000</v>
      </c>
      <c r="L26" s="117">
        <v>11000000</v>
      </c>
      <c r="M26" s="117">
        <v>14000000</v>
      </c>
      <c r="N26" s="148">
        <v>14000000</v>
      </c>
      <c r="Q26" s="3"/>
      <c r="R26" s="3"/>
      <c r="S26" s="3"/>
      <c r="T26" s="3"/>
      <c r="U26" s="3"/>
    </row>
    <row r="27" spans="2:38" x14ac:dyDescent="0.25">
      <c r="B27" s="26" t="s">
        <v>5</v>
      </c>
      <c r="C27" s="216"/>
      <c r="D27" s="155">
        <f t="shared" si="8"/>
        <v>14675608.569603387</v>
      </c>
      <c r="E27" s="155">
        <f t="shared" si="8"/>
        <v>14571945.523499075</v>
      </c>
      <c r="F27" s="117">
        <v>13685385</v>
      </c>
      <c r="G27" s="117">
        <v>14249094</v>
      </c>
      <c r="H27" s="117">
        <v>13414347</v>
      </c>
      <c r="I27" s="117">
        <v>13988580</v>
      </c>
      <c r="J27" s="117">
        <v>14000000</v>
      </c>
      <c r="K27" s="117">
        <v>14000000</v>
      </c>
      <c r="L27" s="117">
        <v>15000000</v>
      </c>
      <c r="M27" s="117">
        <v>13000000</v>
      </c>
      <c r="N27" s="148">
        <v>13000000</v>
      </c>
      <c r="Q27" s="3"/>
      <c r="R27" s="3"/>
      <c r="S27" s="3"/>
      <c r="T27" s="3"/>
      <c r="U27" s="3"/>
    </row>
    <row r="28" spans="2:38" x14ac:dyDescent="0.25">
      <c r="B28" s="26" t="s">
        <v>6</v>
      </c>
      <c r="C28" s="216"/>
      <c r="D28" s="155">
        <f t="shared" si="8"/>
        <v>16602485.50338877</v>
      </c>
      <c r="E28" s="155">
        <f t="shared" si="8"/>
        <v>16485211.714569636</v>
      </c>
      <c r="F28" s="117">
        <v>16924263</v>
      </c>
      <c r="G28" s="117">
        <v>14611670</v>
      </c>
      <c r="H28" s="117">
        <v>15241908</v>
      </c>
      <c r="I28" s="117">
        <v>16188568</v>
      </c>
      <c r="J28" s="117">
        <v>16000000</v>
      </c>
      <c r="K28" s="117">
        <v>17000000</v>
      </c>
      <c r="L28" s="117">
        <v>17000000</v>
      </c>
      <c r="M28" s="117">
        <v>16000000</v>
      </c>
      <c r="N28" s="148">
        <v>15000000</v>
      </c>
      <c r="Q28" s="3"/>
      <c r="R28" s="3"/>
      <c r="S28" s="3"/>
      <c r="T28" s="3"/>
      <c r="U28" s="3"/>
    </row>
    <row r="29" spans="2:38" x14ac:dyDescent="0.25">
      <c r="B29" s="26" t="s">
        <v>7</v>
      </c>
      <c r="C29" s="216"/>
      <c r="D29" s="155">
        <f t="shared" si="8"/>
        <v>17004847.457700178</v>
      </c>
      <c r="E29" s="155">
        <f t="shared" si="8"/>
        <v>16884731.53353636</v>
      </c>
      <c r="F29" s="117">
        <v>14515459</v>
      </c>
      <c r="G29" s="117">
        <v>18132186</v>
      </c>
      <c r="H29" s="117">
        <v>15263859</v>
      </c>
      <c r="I29" s="117">
        <v>14036049</v>
      </c>
      <c r="J29" s="117">
        <v>15000000</v>
      </c>
      <c r="K29" s="117">
        <v>15000000</v>
      </c>
      <c r="L29" s="117">
        <v>14000000</v>
      </c>
      <c r="M29" s="117">
        <v>17000000</v>
      </c>
      <c r="N29" s="148">
        <v>14000000</v>
      </c>
      <c r="Q29" s="3"/>
      <c r="R29" s="3"/>
      <c r="S29" s="3"/>
      <c r="T29" s="3"/>
      <c r="U29" s="3"/>
    </row>
    <row r="30" spans="2:38" x14ac:dyDescent="0.25">
      <c r="B30" s="26" t="s">
        <v>8</v>
      </c>
      <c r="C30" s="216"/>
      <c r="D30" s="155">
        <f t="shared" si="8"/>
        <v>13964958.515203577</v>
      </c>
      <c r="E30" s="155">
        <f t="shared" si="8"/>
        <v>13866315.237036239</v>
      </c>
      <c r="F30" s="117">
        <v>12079537</v>
      </c>
      <c r="G30" s="117">
        <v>14526431</v>
      </c>
      <c r="H30" s="117">
        <v>12740587</v>
      </c>
      <c r="I30" s="117">
        <v>13340574</v>
      </c>
      <c r="J30" s="117">
        <v>13000000</v>
      </c>
      <c r="K30" s="117">
        <v>14000000</v>
      </c>
      <c r="L30" s="117">
        <v>11000000</v>
      </c>
      <c r="M30" s="117">
        <v>11000000</v>
      </c>
      <c r="N30" s="148">
        <v>13000000</v>
      </c>
      <c r="Q30" s="3"/>
      <c r="R30" s="3"/>
      <c r="S30" s="3"/>
      <c r="T30" s="3"/>
      <c r="U30" s="3"/>
    </row>
    <row r="31" spans="2:38" x14ac:dyDescent="0.25">
      <c r="B31" s="26" t="s">
        <v>9</v>
      </c>
      <c r="C31" s="216"/>
      <c r="D31" s="155">
        <f t="shared" si="8"/>
        <v>14178190.691858307</v>
      </c>
      <c r="E31" s="155">
        <f t="shared" si="8"/>
        <v>14078041.220823079</v>
      </c>
      <c r="F31" s="117">
        <v>13218353</v>
      </c>
      <c r="G31" s="117">
        <v>13355368</v>
      </c>
      <c r="H31" s="117">
        <v>13373620</v>
      </c>
      <c r="I31" s="117">
        <v>13558247</v>
      </c>
      <c r="J31" s="117">
        <v>13000000</v>
      </c>
      <c r="K31" s="117">
        <v>12000000</v>
      </c>
      <c r="L31" s="117">
        <v>15000000</v>
      </c>
      <c r="M31" s="117">
        <v>13000000</v>
      </c>
      <c r="N31" s="148">
        <v>11000000</v>
      </c>
    </row>
    <row r="32" spans="2:38" x14ac:dyDescent="0.25">
      <c r="B32" s="26" t="s">
        <v>10</v>
      </c>
      <c r="C32" s="216"/>
      <c r="D32" s="155">
        <f>AVERAGE($F32:$H32)/AVERAGE($F$34:$H$34)*D$34</f>
        <v>15743078.760183936</v>
      </c>
      <c r="E32" s="155">
        <f t="shared" si="8"/>
        <v>15631875.50127984</v>
      </c>
      <c r="F32" s="117">
        <v>14152632</v>
      </c>
      <c r="G32" s="117">
        <v>14769348</v>
      </c>
      <c r="H32" s="117">
        <v>15434465</v>
      </c>
      <c r="I32" s="117">
        <v>15326571</v>
      </c>
      <c r="J32" s="117">
        <v>15000000</v>
      </c>
      <c r="K32" s="117">
        <v>14000000</v>
      </c>
      <c r="L32" s="117">
        <v>17000000</v>
      </c>
      <c r="M32" s="117">
        <v>17000000</v>
      </c>
      <c r="N32" s="148">
        <v>16000000</v>
      </c>
      <c r="Q32" s="3"/>
      <c r="R32" s="3"/>
      <c r="S32" s="3"/>
      <c r="T32" s="3"/>
      <c r="U32" s="3"/>
    </row>
    <row r="33" spans="2:26" x14ac:dyDescent="0.25">
      <c r="B33" s="26" t="s">
        <v>11</v>
      </c>
      <c r="C33" s="216"/>
      <c r="D33" s="155">
        <f t="shared" si="8"/>
        <v>18530994.368591096</v>
      </c>
      <c r="E33" s="155">
        <f t="shared" si="8"/>
        <v>18400098.309699964</v>
      </c>
      <c r="F33" s="117">
        <v>17596367</v>
      </c>
      <c r="G33" s="117">
        <v>17311632</v>
      </c>
      <c r="H33" s="117">
        <v>17303455</v>
      </c>
      <c r="I33" s="117">
        <v>18000000</v>
      </c>
      <c r="J33" s="117">
        <v>18000000</v>
      </c>
      <c r="K33" s="117">
        <v>19000000</v>
      </c>
      <c r="L33" s="117">
        <v>16000000</v>
      </c>
      <c r="M33" s="117">
        <v>18000000</v>
      </c>
      <c r="N33" s="148">
        <v>20000000</v>
      </c>
      <c r="Q33" s="3"/>
      <c r="R33" s="3"/>
      <c r="S33" s="3"/>
      <c r="T33" s="3"/>
      <c r="U33" s="3"/>
    </row>
    <row r="34" spans="2:26" x14ac:dyDescent="0.25">
      <c r="B34" s="27" t="s">
        <v>14</v>
      </c>
      <c r="C34" s="151">
        <v>185695254.03</v>
      </c>
      <c r="D34" s="151">
        <v>193629869</v>
      </c>
      <c r="E34" s="151">
        <v>192262139.55000001</v>
      </c>
      <c r="F34" s="28">
        <f>SUM(F22:F33)</f>
        <v>178353238</v>
      </c>
      <c r="G34" s="28">
        <f>SUM(G22:G33)</f>
        <v>182112494</v>
      </c>
      <c r="H34" s="28">
        <f>SUM(H22:H33)</f>
        <v>185090367</v>
      </c>
      <c r="I34" s="28">
        <f>SUM(I22:I33)</f>
        <v>181380662</v>
      </c>
      <c r="J34" s="28">
        <f t="shared" ref="J34:N34" si="9">SUM(J22:J33)</f>
        <v>181000000</v>
      </c>
      <c r="K34" s="28">
        <f t="shared" si="9"/>
        <v>185000000</v>
      </c>
      <c r="L34" s="28">
        <f t="shared" si="9"/>
        <v>183000000</v>
      </c>
      <c r="M34" s="28">
        <f t="shared" si="9"/>
        <v>185000000</v>
      </c>
      <c r="N34" s="29">
        <f t="shared" si="9"/>
        <v>184000000</v>
      </c>
      <c r="Q34" s="3"/>
      <c r="R34" s="3"/>
      <c r="S34" s="3"/>
      <c r="T34" s="3"/>
      <c r="U34" s="3"/>
    </row>
    <row r="35" spans="2:26" x14ac:dyDescent="0.25">
      <c r="B35" s="2"/>
      <c r="Q35" s="3"/>
      <c r="R35" s="3"/>
      <c r="S35" s="3"/>
      <c r="T35" s="3"/>
      <c r="U35" s="3"/>
    </row>
    <row r="36" spans="2:26" x14ac:dyDescent="0.25">
      <c r="B36" s="187" t="s">
        <v>159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9"/>
      <c r="Q36" s="3"/>
      <c r="R36" s="3"/>
      <c r="S36" s="3"/>
      <c r="T36" s="3"/>
      <c r="U36" s="3"/>
    </row>
    <row r="37" spans="2:26" x14ac:dyDescent="0.25">
      <c r="B37" s="18"/>
      <c r="C37" s="215">
        <v>2017</v>
      </c>
      <c r="D37" s="215">
        <v>2018</v>
      </c>
      <c r="E37" s="215">
        <v>2019</v>
      </c>
      <c r="F37" s="215">
        <v>2020</v>
      </c>
      <c r="G37" s="215">
        <v>2021</v>
      </c>
      <c r="H37" s="215">
        <v>2022</v>
      </c>
      <c r="I37" s="215">
        <v>2023</v>
      </c>
      <c r="J37" s="215">
        <v>2024</v>
      </c>
      <c r="K37" s="215">
        <v>2025</v>
      </c>
      <c r="L37" s="215">
        <v>2026</v>
      </c>
      <c r="M37" s="215">
        <v>2027</v>
      </c>
      <c r="N37" s="127">
        <v>2028</v>
      </c>
      <c r="Q37" s="3"/>
      <c r="R37" s="3"/>
      <c r="S37" s="3"/>
      <c r="T37" s="3"/>
      <c r="U37" s="3"/>
    </row>
    <row r="38" spans="2:26" x14ac:dyDescent="0.25">
      <c r="B38" s="27" t="s">
        <v>14</v>
      </c>
      <c r="C38" s="171">
        <v>177934181</v>
      </c>
      <c r="D38" s="171">
        <v>185198705</v>
      </c>
      <c r="E38" s="171">
        <v>183512928</v>
      </c>
      <c r="F38" s="171">
        <v>178353238</v>
      </c>
      <c r="G38" s="171">
        <v>182112496</v>
      </c>
      <c r="H38" s="172">
        <v>185090366</v>
      </c>
      <c r="I38" s="171">
        <f>I34</f>
        <v>181380662</v>
      </c>
      <c r="J38" s="171">
        <f t="shared" ref="J38:N38" si="10">J34</f>
        <v>181000000</v>
      </c>
      <c r="K38" s="171">
        <f t="shared" si="10"/>
        <v>185000000</v>
      </c>
      <c r="L38" s="171">
        <f t="shared" si="10"/>
        <v>183000000</v>
      </c>
      <c r="M38" s="171">
        <f t="shared" si="10"/>
        <v>185000000</v>
      </c>
      <c r="N38" s="217">
        <f t="shared" si="10"/>
        <v>184000000</v>
      </c>
      <c r="Q38" s="3"/>
      <c r="R38" s="3"/>
      <c r="S38" s="3"/>
      <c r="T38" s="3"/>
      <c r="U38" s="3"/>
    </row>
    <row r="39" spans="2:26" x14ac:dyDescent="0.25">
      <c r="B39" s="2"/>
      <c r="C39" s="25"/>
      <c r="D39" s="25"/>
      <c r="E39" s="25"/>
      <c r="Q39" s="3"/>
      <c r="R39" s="3"/>
      <c r="S39" s="3"/>
      <c r="T39" s="3"/>
      <c r="U39" s="3"/>
    </row>
    <row r="40" spans="2:26" ht="15" customHeight="1" x14ac:dyDescent="0.25">
      <c r="B40" s="190" t="s">
        <v>53</v>
      </c>
      <c r="C40" s="191"/>
      <c r="D40" s="191"/>
      <c r="E40" s="191"/>
      <c r="F40" s="191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  <c r="V40" s="191"/>
      <c r="W40" s="191"/>
      <c r="X40" s="191"/>
      <c r="Y40" s="191"/>
      <c r="Z40" s="192"/>
    </row>
    <row r="41" spans="2:26" ht="15" customHeight="1" x14ac:dyDescent="0.25">
      <c r="B41" s="152" t="s">
        <v>128</v>
      </c>
      <c r="C41" s="187" t="s">
        <v>80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9"/>
      <c r="O41" s="187" t="s">
        <v>158</v>
      </c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9"/>
    </row>
    <row r="42" spans="2:26" s="13" customFormat="1" ht="31.5" customHeight="1" x14ac:dyDescent="0.25">
      <c r="B42" s="173"/>
      <c r="C42" s="176">
        <v>2017</v>
      </c>
      <c r="D42" s="176">
        <v>2018</v>
      </c>
      <c r="E42" s="176">
        <v>2019</v>
      </c>
      <c r="F42" s="176">
        <v>2020</v>
      </c>
      <c r="G42" s="176">
        <v>2021</v>
      </c>
      <c r="H42" s="176">
        <v>2022</v>
      </c>
      <c r="I42" s="176">
        <v>2023</v>
      </c>
      <c r="J42" s="176">
        <v>2024</v>
      </c>
      <c r="K42" s="176">
        <v>2025</v>
      </c>
      <c r="L42" s="176">
        <v>2026</v>
      </c>
      <c r="M42" s="176">
        <v>2027</v>
      </c>
      <c r="N42" s="176">
        <v>2028</v>
      </c>
      <c r="O42" s="58" t="str">
        <f>"Average "&amp;$C$42&amp;" to "&amp;C42</f>
        <v>Average 2017 to 2017</v>
      </c>
      <c r="P42" s="149" t="str">
        <f>"Average "&amp;$C$42&amp;" to "&amp;D42</f>
        <v>Average 2017 to 2018</v>
      </c>
      <c r="Q42" s="149" t="str">
        <f>"Average "&amp;$C$42&amp;" to "&amp;E42</f>
        <v>Average 2017 to 2019</v>
      </c>
      <c r="R42" s="149" t="str">
        <f>"Average "&amp;C42&amp;" to "&amp;F42</f>
        <v>Average 2017 to 2020</v>
      </c>
      <c r="S42" s="149" t="str">
        <f>"Average "&amp;D42&amp;" to "&amp;G42</f>
        <v>Average 2018 to 2021</v>
      </c>
      <c r="T42" s="149" t="str">
        <f>"Average "&amp;E42&amp;" to "&amp;H42</f>
        <v>Average 2019 to 2022</v>
      </c>
      <c r="U42" s="149" t="str">
        <f t="shared" ref="U42:W42" si="11">"Average "&amp;F42&amp;" to "&amp;I42</f>
        <v>Average 2020 to 2023</v>
      </c>
      <c r="V42" s="174" t="str">
        <f t="shared" si="11"/>
        <v>Average 2021 to 2024</v>
      </c>
      <c r="W42" s="174" t="str">
        <f t="shared" si="11"/>
        <v>Average 2022 to 2025</v>
      </c>
      <c r="X42" s="174" t="str">
        <f>"Average "&amp;I42&amp;" to "&amp;L42</f>
        <v>Average 2023 to 2026</v>
      </c>
      <c r="Y42" s="174" t="str">
        <f>"Average "&amp;J42&amp;" to "&amp;M42</f>
        <v>Average 2024 to 2027</v>
      </c>
      <c r="Z42" s="175" t="str">
        <f>"Average "&amp;K42&amp;" to "&amp;N42</f>
        <v>Average 2025 to 2028</v>
      </c>
    </row>
    <row r="43" spans="2:26" x14ac:dyDescent="0.25">
      <c r="B43" s="46" t="s">
        <v>0</v>
      </c>
      <c r="C43" s="150">
        <f>IF(C5=0,"",C5)</f>
        <v>2134510</v>
      </c>
      <c r="D43" s="150">
        <f>IF(F5=0,"",F5)</f>
        <v>2813138</v>
      </c>
      <c r="E43" s="150">
        <f>IF(I5=0,"",I5)</f>
        <v>2196000</v>
      </c>
      <c r="F43" s="150">
        <f>IF(L5=0,"",L5)</f>
        <v>2089120</v>
      </c>
      <c r="G43" s="150">
        <f>IF(O5=0,"",O5)</f>
        <v>1805830</v>
      </c>
      <c r="H43" s="150">
        <f>IF(R5=0,"",R5)</f>
        <v>857320</v>
      </c>
      <c r="I43" s="150">
        <f>IF(U5=0,"",U5)</f>
        <v>2581360</v>
      </c>
      <c r="J43" s="150">
        <f>IF(X5=0,"",X5)</f>
        <v>1800000</v>
      </c>
      <c r="K43" s="150">
        <f>IF(AA5=0,"",AA5)</f>
        <v>1800000</v>
      </c>
      <c r="L43" s="150">
        <f>IF(AD5=0,"",AD5)</f>
        <v>1800000</v>
      </c>
      <c r="M43" s="150">
        <f>IF(AG5=0,"",AG5)</f>
        <v>1900000</v>
      </c>
      <c r="N43" s="150">
        <f>IF(AJ5=0,"",AJ5)</f>
        <v>1800000</v>
      </c>
      <c r="O43" s="153">
        <f>AVERAGE($C43:C43)</f>
        <v>2134510</v>
      </c>
      <c r="P43" s="150">
        <f>AVERAGE($C43:D43)</f>
        <v>2473824</v>
      </c>
      <c r="Q43" s="150">
        <f>AVERAGE($C43:E43)</f>
        <v>2381216</v>
      </c>
      <c r="R43" s="150">
        <f t="shared" ref="R43:Z54" si="12">IFERROR(AVERAGE(C43:F43),"")</f>
        <v>2308192</v>
      </c>
      <c r="S43" s="150">
        <f t="shared" si="12"/>
        <v>2226022</v>
      </c>
      <c r="T43" s="150">
        <f t="shared" si="12"/>
        <v>1737067.5</v>
      </c>
      <c r="U43" s="150">
        <f t="shared" si="12"/>
        <v>1833407.5</v>
      </c>
      <c r="V43" s="150">
        <f t="shared" si="12"/>
        <v>1761127.5</v>
      </c>
      <c r="W43" s="150">
        <f t="shared" si="12"/>
        <v>1759670</v>
      </c>
      <c r="X43" s="150">
        <f t="shared" si="12"/>
        <v>1995340</v>
      </c>
      <c r="Y43" s="150">
        <f>IFERROR(AVERAGE(J43:M43),"")</f>
        <v>1825000</v>
      </c>
      <c r="Z43" s="30">
        <f>IFERROR(AVERAGE(K43:N43),"")</f>
        <v>1825000</v>
      </c>
    </row>
    <row r="44" spans="2:26" x14ac:dyDescent="0.25">
      <c r="B44" s="46" t="s">
        <v>1</v>
      </c>
      <c r="C44" s="150">
        <f>IF(C6=0,"",C6)</f>
        <v>2975320</v>
      </c>
      <c r="D44" s="150">
        <f>IF(F6=0,"",F6)</f>
        <v>3302320</v>
      </c>
      <c r="E44" s="150">
        <f>IF(I6=0,"",I6)</f>
        <v>2533990</v>
      </c>
      <c r="F44" s="150">
        <f>IF(L6=0,"",L6)</f>
        <v>1688900</v>
      </c>
      <c r="G44" s="150">
        <f>IF(O6=0,"",O6)</f>
        <v>1373740</v>
      </c>
      <c r="H44" s="150">
        <f>IF(R6=0,"",R6)</f>
        <v>640680</v>
      </c>
      <c r="I44" s="150">
        <f>IF(U6=0,"",U6)</f>
        <v>2016690</v>
      </c>
      <c r="J44" s="150">
        <f>IF(X6=0,"",X6)</f>
        <v>1400000</v>
      </c>
      <c r="K44" s="150">
        <f>IF(AA6=0,"",AA6)</f>
        <v>1400000</v>
      </c>
      <c r="L44" s="150">
        <f>IF(AD6=0,"",AD6)</f>
        <v>1400000</v>
      </c>
      <c r="M44" s="150">
        <f>IF(AG6=0,"",AG6)</f>
        <v>1500000</v>
      </c>
      <c r="N44" s="150">
        <f>IF(AJ6=0,"",AJ6)</f>
        <v>1400000</v>
      </c>
      <c r="O44" s="153">
        <f>AVERAGE($C44:C44)</f>
        <v>2975320</v>
      </c>
      <c r="P44" s="150">
        <f>AVERAGE($C44:D44)</f>
        <v>3138820</v>
      </c>
      <c r="Q44" s="150">
        <f>AVERAGE($C44:E44)</f>
        <v>2937210</v>
      </c>
      <c r="R44" s="150">
        <f t="shared" si="12"/>
        <v>2625132.5</v>
      </c>
      <c r="S44" s="150">
        <f t="shared" si="12"/>
        <v>2224737.5</v>
      </c>
      <c r="T44" s="150">
        <f t="shared" si="12"/>
        <v>1559327.5</v>
      </c>
      <c r="U44" s="150">
        <f t="shared" si="12"/>
        <v>1430002.5</v>
      </c>
      <c r="V44" s="150">
        <f t="shared" si="12"/>
        <v>1357777.5</v>
      </c>
      <c r="W44" s="150">
        <f t="shared" si="12"/>
        <v>1364342.5</v>
      </c>
      <c r="X44" s="150">
        <f t="shared" si="12"/>
        <v>1554172.5</v>
      </c>
      <c r="Y44" s="150">
        <f t="shared" si="12"/>
        <v>1425000</v>
      </c>
      <c r="Z44" s="30">
        <f t="shared" si="12"/>
        <v>1425000</v>
      </c>
    </row>
    <row r="45" spans="2:26" x14ac:dyDescent="0.25">
      <c r="B45" s="46" t="s">
        <v>2</v>
      </c>
      <c r="C45" s="150">
        <f>IF(C7=0,"",C7)</f>
        <v>3883530</v>
      </c>
      <c r="D45" s="150">
        <f>IF(F7=0,"",F7)</f>
        <v>4336290</v>
      </c>
      <c r="E45" s="150">
        <f>IF(I7=0,"",I7)</f>
        <v>4480180</v>
      </c>
      <c r="F45" s="150">
        <f>IF(L7=0,"",L7)</f>
        <v>3223950</v>
      </c>
      <c r="G45" s="150">
        <f>IF(O7=0,"",O7)</f>
        <v>2724430</v>
      </c>
      <c r="H45" s="150">
        <f>IF(R7=0,"",R7)</f>
        <v>2937880</v>
      </c>
      <c r="I45" s="150">
        <f>IF(U7=0,"",U7)</f>
        <v>2816580</v>
      </c>
      <c r="J45" s="150">
        <f>IF(X7=0,"",X7)</f>
        <v>2900000</v>
      </c>
      <c r="K45" s="150">
        <f>IF(AA7=0,"",AA7)</f>
        <v>2800000</v>
      </c>
      <c r="L45" s="150">
        <f>IF(AD7=0,"",AD7)</f>
        <v>2900000</v>
      </c>
      <c r="M45" s="150">
        <f>IF(AG7=0,"",AG7)</f>
        <v>3000000</v>
      </c>
      <c r="N45" s="150">
        <f>IF(AJ7=0,"",AJ7)</f>
        <v>2900000</v>
      </c>
      <c r="O45" s="153">
        <f>AVERAGE($C45:C45)</f>
        <v>3883530</v>
      </c>
      <c r="P45" s="150">
        <f>AVERAGE($C45:D45)</f>
        <v>4109910</v>
      </c>
      <c r="Q45" s="150">
        <f>AVERAGE($C45:E45)</f>
        <v>4233333.333333333</v>
      </c>
      <c r="R45" s="150">
        <f>IFERROR(AVERAGE(C45:F45),"")</f>
        <v>3980987.5</v>
      </c>
      <c r="S45" s="150">
        <f t="shared" si="12"/>
        <v>3691212.5</v>
      </c>
      <c r="T45" s="150">
        <f t="shared" si="12"/>
        <v>3341610</v>
      </c>
      <c r="U45" s="150">
        <f t="shared" si="12"/>
        <v>2925710</v>
      </c>
      <c r="V45" s="150">
        <f t="shared" si="12"/>
        <v>2844722.5</v>
      </c>
      <c r="W45" s="150">
        <f t="shared" si="12"/>
        <v>2863615</v>
      </c>
      <c r="X45" s="150">
        <f t="shared" si="12"/>
        <v>2854145</v>
      </c>
      <c r="Y45" s="150">
        <f t="shared" si="12"/>
        <v>2900000</v>
      </c>
      <c r="Z45" s="30">
        <f t="shared" si="12"/>
        <v>2900000</v>
      </c>
    </row>
    <row r="46" spans="2:26" x14ac:dyDescent="0.25">
      <c r="B46" s="46" t="s">
        <v>3</v>
      </c>
      <c r="C46" s="150">
        <f>IF(C8=0,"",C8)</f>
        <v>4799720</v>
      </c>
      <c r="D46" s="150">
        <f>IF(F8=0,"",F8)</f>
        <v>4359310</v>
      </c>
      <c r="E46" s="150">
        <f>IF(I8=0,"",I8)</f>
        <v>2161930</v>
      </c>
      <c r="F46" s="150">
        <f>IF(L8=0,"",L8)</f>
        <v>3323490</v>
      </c>
      <c r="G46" s="150">
        <f>IF(O8=0,"",O8)</f>
        <v>4398280</v>
      </c>
      <c r="H46" s="150">
        <f>IF(R8=0,"",R8)</f>
        <v>4152090</v>
      </c>
      <c r="I46" s="150">
        <f>IF(U8=0,"",U8)</f>
        <v>4255470</v>
      </c>
      <c r="J46" s="150">
        <f>IF(X8=0,"",X8)</f>
        <v>4000000</v>
      </c>
      <c r="K46" s="150">
        <f>IF(AA8=0,"",AA8)</f>
        <v>4200000</v>
      </c>
      <c r="L46" s="150">
        <f>IF(AD8=0,"",AD8)</f>
        <v>4200000</v>
      </c>
      <c r="M46" s="150">
        <f>IF(AG8=0,"",AG8)</f>
        <v>4300000</v>
      </c>
      <c r="N46" s="150">
        <f>IF(AJ8=0,"",AJ8)</f>
        <v>4200000</v>
      </c>
      <c r="O46" s="153">
        <f>AVERAGE($C46:C46)</f>
        <v>4799720</v>
      </c>
      <c r="P46" s="150">
        <f>AVERAGE($C46:D46)</f>
        <v>4579515</v>
      </c>
      <c r="Q46" s="150">
        <f>AVERAGE($C46:E46)</f>
        <v>3773653.3333333335</v>
      </c>
      <c r="R46" s="150">
        <f t="shared" si="12"/>
        <v>3661112.5</v>
      </c>
      <c r="S46" s="150">
        <f t="shared" si="12"/>
        <v>3560752.5</v>
      </c>
      <c r="T46" s="150">
        <f t="shared" si="12"/>
        <v>3508947.5</v>
      </c>
      <c r="U46" s="150">
        <f t="shared" si="12"/>
        <v>4032332.5</v>
      </c>
      <c r="V46" s="150">
        <f t="shared" si="12"/>
        <v>4201460</v>
      </c>
      <c r="W46" s="150">
        <f t="shared" si="12"/>
        <v>4151890</v>
      </c>
      <c r="X46" s="150">
        <f t="shared" si="12"/>
        <v>4163867.5</v>
      </c>
      <c r="Y46" s="150">
        <f t="shared" si="12"/>
        <v>4175000</v>
      </c>
      <c r="Z46" s="30">
        <f t="shared" si="12"/>
        <v>4225000</v>
      </c>
    </row>
    <row r="47" spans="2:26" x14ac:dyDescent="0.25">
      <c r="B47" s="46" t="s">
        <v>4</v>
      </c>
      <c r="C47" s="150">
        <f>IF(C9=0,"",C9)</f>
        <v>5096570</v>
      </c>
      <c r="D47" s="150">
        <f>IF(F9=0,"",F9)</f>
        <v>5824650</v>
      </c>
      <c r="E47" s="150">
        <f>IF(I9=0,"",I9)</f>
        <v>573300</v>
      </c>
      <c r="F47" s="150">
        <f>IF(L9=0,"",L9)</f>
        <v>4369220</v>
      </c>
      <c r="G47" s="150">
        <f>IF(O9=0,"",O9)</f>
        <v>3333080</v>
      </c>
      <c r="H47" s="150">
        <f>IF(R9=0,"",R9)</f>
        <v>5665250</v>
      </c>
      <c r="I47" s="150">
        <f>IF(U9=0,"",U9)</f>
        <v>5063950</v>
      </c>
      <c r="J47" s="150">
        <f>IF(X9=0,"",X9)</f>
        <v>4600000</v>
      </c>
      <c r="K47" s="150">
        <f>IF(AA9=0,"",AA9)</f>
        <v>4700000</v>
      </c>
      <c r="L47" s="150">
        <f>IF(AD9=0,"",AD9)</f>
        <v>5000000</v>
      </c>
      <c r="M47" s="150">
        <f>IF(AG9=0,"",AG9)</f>
        <v>5100000</v>
      </c>
      <c r="N47" s="150">
        <f>IF(AJ9=0,"",AJ9)</f>
        <v>5000000</v>
      </c>
      <c r="O47" s="153">
        <f>AVERAGE($C47:C47)</f>
        <v>5096570</v>
      </c>
      <c r="P47" s="150">
        <f>AVERAGE($C47:D47)</f>
        <v>5460610</v>
      </c>
      <c r="Q47" s="150">
        <f>AVERAGE($C47:E47)</f>
        <v>3831506.6666666665</v>
      </c>
      <c r="R47" s="150">
        <f t="shared" si="12"/>
        <v>3965935</v>
      </c>
      <c r="S47" s="150">
        <f t="shared" si="12"/>
        <v>3525062.5</v>
      </c>
      <c r="T47" s="150">
        <f t="shared" si="12"/>
        <v>3485212.5</v>
      </c>
      <c r="U47" s="150">
        <f t="shared" si="12"/>
        <v>4607875</v>
      </c>
      <c r="V47" s="150">
        <f t="shared" si="12"/>
        <v>4665570</v>
      </c>
      <c r="W47" s="150">
        <f t="shared" si="12"/>
        <v>5007300</v>
      </c>
      <c r="X47" s="150">
        <f t="shared" si="12"/>
        <v>4840987.5</v>
      </c>
      <c r="Y47" s="150">
        <f t="shared" si="12"/>
        <v>4850000</v>
      </c>
      <c r="Z47" s="30">
        <f t="shared" si="12"/>
        <v>4950000</v>
      </c>
    </row>
    <row r="48" spans="2:26" x14ac:dyDescent="0.25">
      <c r="B48" s="46" t="s">
        <v>5</v>
      </c>
      <c r="C48" s="150">
        <f>IF(C10=0,"",C10)</f>
        <v>5673460</v>
      </c>
      <c r="D48" s="150">
        <f>IF(F10=0,"",F10)</f>
        <v>5836836</v>
      </c>
      <c r="E48" s="150">
        <f>IF(I10=0,"",I10)</f>
        <v>2446170</v>
      </c>
      <c r="F48" s="150">
        <f>IF(L10=0,"",L10)</f>
        <v>4206240</v>
      </c>
      <c r="G48" s="150">
        <f>IF(O10=0,"",O10)</f>
        <v>1333260</v>
      </c>
      <c r="H48" s="150">
        <f>IF(R10=0,"",R10)</f>
        <v>5632520</v>
      </c>
      <c r="I48" s="150">
        <f>IF(U10=0,"",U10)</f>
        <v>2509010</v>
      </c>
      <c r="J48" s="150">
        <f>IF(X10=0,"",X10)</f>
        <v>3400000</v>
      </c>
      <c r="K48" s="150">
        <f>IF(AA10=0,"",AA10)</f>
        <v>3200000</v>
      </c>
      <c r="L48" s="150">
        <f>IF(AD10=0,"",AD10)</f>
        <v>3700000</v>
      </c>
      <c r="M48" s="150">
        <f>IF(AG10=0,"",AG10)</f>
        <v>3800000</v>
      </c>
      <c r="N48" s="150">
        <f>IF(AJ10=0,"",AJ10)</f>
        <v>3700000</v>
      </c>
      <c r="O48" s="153">
        <f>AVERAGE($C48:C48)</f>
        <v>5673460</v>
      </c>
      <c r="P48" s="150">
        <f>AVERAGE($C48:D48)</f>
        <v>5755148</v>
      </c>
      <c r="Q48" s="150">
        <f>AVERAGE($C48:E48)</f>
        <v>4652155.333333333</v>
      </c>
      <c r="R48" s="150">
        <f t="shared" si="12"/>
        <v>4540676.5</v>
      </c>
      <c r="S48" s="150">
        <f t="shared" si="12"/>
        <v>3455626.5</v>
      </c>
      <c r="T48" s="150">
        <f t="shared" si="12"/>
        <v>3404547.5</v>
      </c>
      <c r="U48" s="150">
        <f t="shared" si="12"/>
        <v>3420257.5</v>
      </c>
      <c r="V48" s="150">
        <f t="shared" si="12"/>
        <v>3218697.5</v>
      </c>
      <c r="W48" s="150">
        <f t="shared" si="12"/>
        <v>3685382.5</v>
      </c>
      <c r="X48" s="150">
        <f t="shared" si="12"/>
        <v>3202252.5</v>
      </c>
      <c r="Y48" s="150">
        <f t="shared" si="12"/>
        <v>3525000</v>
      </c>
      <c r="Z48" s="30">
        <f t="shared" si="12"/>
        <v>3600000</v>
      </c>
    </row>
    <row r="49" spans="2:26" x14ac:dyDescent="0.25">
      <c r="B49" s="46" t="s">
        <v>6</v>
      </c>
      <c r="C49" s="150">
        <f>IF(C11=0,"",C11)</f>
        <v>5380900</v>
      </c>
      <c r="D49" s="150">
        <f>IF(F11=0,"",F11)</f>
        <v>2286590</v>
      </c>
      <c r="E49" s="150">
        <f>IF(I11=0,"",I11)</f>
        <v>3676680</v>
      </c>
      <c r="F49" s="150">
        <f>IF(L11=0,"",L11)</f>
        <v>3494520</v>
      </c>
      <c r="G49" s="150">
        <f>IF(O11=0,"",O11)</f>
        <v>3685060</v>
      </c>
      <c r="H49" s="150">
        <f>IF(R11=0,"",R11)</f>
        <v>4101700</v>
      </c>
      <c r="I49" s="150">
        <f>IF(U11=0,"",U11)</f>
        <v>5180845.5999999996</v>
      </c>
      <c r="J49" s="150">
        <f>IF(X11=0,"",X11)</f>
        <v>4100000</v>
      </c>
      <c r="K49" s="150">
        <f>IF(AA11=0,"",AA11)</f>
        <v>4300000</v>
      </c>
      <c r="L49" s="150">
        <f>IF(AD11=0,"",AD11)</f>
        <v>4400000</v>
      </c>
      <c r="M49" s="150">
        <f>IF(AG11=0,"",AG11)</f>
        <v>4500000</v>
      </c>
      <c r="N49" s="150">
        <f>IF(AJ11=0,"",AJ11)</f>
        <v>4400000</v>
      </c>
      <c r="O49" s="153">
        <f>AVERAGE($C49:C49)</f>
        <v>5380900</v>
      </c>
      <c r="P49" s="150">
        <f>AVERAGE($C49:D49)</f>
        <v>3833745</v>
      </c>
      <c r="Q49" s="150">
        <f>AVERAGE($C49:E49)</f>
        <v>3781390</v>
      </c>
      <c r="R49" s="150">
        <f t="shared" si="12"/>
        <v>3709672.5</v>
      </c>
      <c r="S49" s="150">
        <f t="shared" si="12"/>
        <v>3285712.5</v>
      </c>
      <c r="T49" s="150">
        <f t="shared" si="12"/>
        <v>3739490</v>
      </c>
      <c r="U49" s="150">
        <f t="shared" si="12"/>
        <v>4115531.4</v>
      </c>
      <c r="V49" s="150">
        <f t="shared" si="12"/>
        <v>4266901.4000000004</v>
      </c>
      <c r="W49" s="150">
        <f t="shared" si="12"/>
        <v>4420636.4000000004</v>
      </c>
      <c r="X49" s="150">
        <f t="shared" si="12"/>
        <v>4495211.4000000004</v>
      </c>
      <c r="Y49" s="150">
        <f t="shared" si="12"/>
        <v>4325000</v>
      </c>
      <c r="Z49" s="30">
        <f t="shared" si="12"/>
        <v>4400000</v>
      </c>
    </row>
    <row r="50" spans="2:26" x14ac:dyDescent="0.25">
      <c r="B50" s="46" t="s">
        <v>7</v>
      </c>
      <c r="C50" s="150">
        <f>IF(C12=0,"",C12)</f>
        <v>2756940</v>
      </c>
      <c r="D50" s="150">
        <f>IF(F12=0,"",F12)</f>
        <v>2719400</v>
      </c>
      <c r="E50" s="150">
        <f>IF(I12=0,"",I12)</f>
        <v>3537380</v>
      </c>
      <c r="F50" s="150">
        <f>IF(L12=0,"",L12)</f>
        <v>4660990</v>
      </c>
      <c r="G50" s="150">
        <f>IF(O12=0,"",O12)</f>
        <v>4492060</v>
      </c>
      <c r="H50" s="150">
        <f>IF(R12=0,"",R12)</f>
        <v>2637510</v>
      </c>
      <c r="I50" s="150">
        <f>IF(U12=0,"",U12)</f>
        <v>5107690</v>
      </c>
      <c r="J50" s="150">
        <f>IF(X12=0,"",X12)</f>
        <v>4200000</v>
      </c>
      <c r="K50" s="150">
        <f>IF(AA12=0,"",AA12)</f>
        <v>4100000</v>
      </c>
      <c r="L50" s="150">
        <f>IF(AD12=0,"",AD12)</f>
        <v>4000000</v>
      </c>
      <c r="M50" s="150">
        <f>IF(AG12=0,"",AG12)</f>
        <v>4100000</v>
      </c>
      <c r="N50" s="150">
        <f>IF(AJ12=0,"",AJ12)</f>
        <v>4000000</v>
      </c>
      <c r="O50" s="153">
        <f>AVERAGE($C50:C50)</f>
        <v>2756940</v>
      </c>
      <c r="P50" s="150">
        <f>AVERAGE($C50:D50)</f>
        <v>2738170</v>
      </c>
      <c r="Q50" s="150">
        <f>AVERAGE($C50:E50)</f>
        <v>3004573.3333333335</v>
      </c>
      <c r="R50" s="150">
        <f t="shared" si="12"/>
        <v>3418677.5</v>
      </c>
      <c r="S50" s="150">
        <f t="shared" si="12"/>
        <v>3852457.5</v>
      </c>
      <c r="T50" s="150">
        <f t="shared" si="12"/>
        <v>3831985</v>
      </c>
      <c r="U50" s="150">
        <f t="shared" si="12"/>
        <v>4224562.5</v>
      </c>
      <c r="V50" s="150">
        <f t="shared" si="12"/>
        <v>4109315</v>
      </c>
      <c r="W50" s="150">
        <f t="shared" si="12"/>
        <v>4011300</v>
      </c>
      <c r="X50" s="150">
        <f t="shared" si="12"/>
        <v>4351922.5</v>
      </c>
      <c r="Y50" s="150">
        <f t="shared" si="12"/>
        <v>4100000</v>
      </c>
      <c r="Z50" s="30">
        <f t="shared" si="12"/>
        <v>4050000</v>
      </c>
    </row>
    <row r="51" spans="2:26" x14ac:dyDescent="0.25">
      <c r="B51" s="46" t="s">
        <v>8</v>
      </c>
      <c r="C51" s="150">
        <f>IF(C13=0,"",C13)</f>
        <v>3210200</v>
      </c>
      <c r="D51" s="150">
        <f>IF(F13=0,"",F13)</f>
        <v>3075670</v>
      </c>
      <c r="E51" s="150">
        <f>IF(I13=0,"",I13)</f>
        <v>2684440</v>
      </c>
      <c r="F51" s="150">
        <f>IF(L13=0,"",L13)</f>
        <v>4094420</v>
      </c>
      <c r="G51" s="150">
        <f>IF(O13=0,"",O13)</f>
        <v>2697760</v>
      </c>
      <c r="H51" s="150">
        <f>IF(R13=0,"",R13)</f>
        <v>4344770</v>
      </c>
      <c r="I51" s="150">
        <f>IF(U13=0,"",U13)</f>
        <v>3976555.51</v>
      </c>
      <c r="J51" s="150">
        <f>IF(X13=0,"",X13)</f>
        <v>3800000</v>
      </c>
      <c r="K51" s="150">
        <f>IF(AA13=0,"",AA13)</f>
        <v>3700000</v>
      </c>
      <c r="L51" s="150">
        <f>IF(AD13=0,"",AD13)</f>
        <v>4000000</v>
      </c>
      <c r="M51" s="150">
        <f>IF(AG13=0,"",AG13)</f>
        <v>4100000</v>
      </c>
      <c r="N51" s="150">
        <f>IF(AJ13=0,"",AJ13)</f>
        <v>4000000</v>
      </c>
      <c r="O51" s="153">
        <f>AVERAGE($C51:C51)</f>
        <v>3210200</v>
      </c>
      <c r="P51" s="150">
        <f>AVERAGE($C51:D51)</f>
        <v>3142935</v>
      </c>
      <c r="Q51" s="150">
        <f>AVERAGE($C51:E51)</f>
        <v>2990103.3333333335</v>
      </c>
      <c r="R51" s="150">
        <f t="shared" si="12"/>
        <v>3266182.5</v>
      </c>
      <c r="S51" s="150">
        <f t="shared" si="12"/>
        <v>3138072.5</v>
      </c>
      <c r="T51" s="150">
        <f t="shared" si="12"/>
        <v>3455347.5</v>
      </c>
      <c r="U51" s="150">
        <f t="shared" si="12"/>
        <v>3778376.3774999999</v>
      </c>
      <c r="V51" s="150">
        <f t="shared" si="12"/>
        <v>3704771.3774999999</v>
      </c>
      <c r="W51" s="150">
        <f t="shared" si="12"/>
        <v>3955331.3774999999</v>
      </c>
      <c r="X51" s="150">
        <f t="shared" si="12"/>
        <v>3869138.8774999999</v>
      </c>
      <c r="Y51" s="150">
        <f t="shared" si="12"/>
        <v>3900000</v>
      </c>
      <c r="Z51" s="30">
        <f t="shared" si="12"/>
        <v>3950000</v>
      </c>
    </row>
    <row r="52" spans="2:26" x14ac:dyDescent="0.25">
      <c r="B52" s="46" t="s">
        <v>9</v>
      </c>
      <c r="C52" s="150">
        <f>IF(C14=0,"",C14)</f>
        <v>2748080</v>
      </c>
      <c r="D52" s="150">
        <f>IF(F14=0,"",F14)</f>
        <v>1716320</v>
      </c>
      <c r="E52" s="150">
        <f>IF(I14=0,"",I14)</f>
        <v>2841830</v>
      </c>
      <c r="F52" s="150">
        <f>IF(L14=0,"",L14)</f>
        <v>3886120</v>
      </c>
      <c r="G52" s="150">
        <f>IF(O14=0,"",O14)</f>
        <v>5203800</v>
      </c>
      <c r="H52" s="150">
        <f>IF(R14=0,"",R14)</f>
        <v>2424300</v>
      </c>
      <c r="I52" s="150">
        <f>IF(U14=0,"",U14)</f>
        <v>3600000</v>
      </c>
      <c r="J52" s="150">
        <f>IF(X14=0,"",X14)</f>
        <v>3800000</v>
      </c>
      <c r="K52" s="150">
        <f>IF(AA14=0,"",AA14)</f>
        <v>3800000</v>
      </c>
      <c r="L52" s="150">
        <f>IF(AD14=0,"",AD14)</f>
        <v>3300000</v>
      </c>
      <c r="M52" s="150">
        <f>IF(AG14=0,"",AG14)</f>
        <v>3400000</v>
      </c>
      <c r="N52" s="150">
        <f>IF(AJ14=0,"",AJ14)</f>
        <v>3300000</v>
      </c>
      <c r="O52" s="153">
        <f>AVERAGE($C52:C52)</f>
        <v>2748080</v>
      </c>
      <c r="P52" s="150">
        <f>AVERAGE($C52:D52)</f>
        <v>2232200</v>
      </c>
      <c r="Q52" s="150">
        <f>AVERAGE($C52:E52)</f>
        <v>2435410</v>
      </c>
      <c r="R52" s="150">
        <f t="shared" si="12"/>
        <v>2798087.5</v>
      </c>
      <c r="S52" s="150">
        <f t="shared" si="12"/>
        <v>3412017.5</v>
      </c>
      <c r="T52" s="150">
        <f t="shared" si="12"/>
        <v>3589012.5</v>
      </c>
      <c r="U52" s="150">
        <f t="shared" si="12"/>
        <v>3778555</v>
      </c>
      <c r="V52" s="150">
        <f t="shared" si="12"/>
        <v>3757025</v>
      </c>
      <c r="W52" s="150">
        <f t="shared" si="12"/>
        <v>3406075</v>
      </c>
      <c r="X52" s="150">
        <f t="shared" si="12"/>
        <v>3625000</v>
      </c>
      <c r="Y52" s="150">
        <f t="shared" si="12"/>
        <v>3575000</v>
      </c>
      <c r="Z52" s="30">
        <f t="shared" si="12"/>
        <v>3450000</v>
      </c>
    </row>
    <row r="53" spans="2:26" x14ac:dyDescent="0.25">
      <c r="B53" s="46" t="s">
        <v>10</v>
      </c>
      <c r="C53" s="150">
        <f>IF(C15=0,"",C15)</f>
        <v>5298050</v>
      </c>
      <c r="D53" s="150">
        <f>IF(F15=0,"",F15)</f>
        <v>1807480</v>
      </c>
      <c r="E53" s="150">
        <f>IF(I15=0,"",I15)</f>
        <v>1506800</v>
      </c>
      <c r="F53" s="150">
        <f>IF(L15=0,"",L15)</f>
        <v>3140570</v>
      </c>
      <c r="G53" s="150">
        <f>IF(O15=0,"",O15)</f>
        <v>3090470</v>
      </c>
      <c r="H53" s="150">
        <f>IF(R15=0,"",R15)</f>
        <v>419910</v>
      </c>
      <c r="I53" s="150">
        <f>IF(U15=0,"",U15)</f>
        <v>2000000</v>
      </c>
      <c r="J53" s="150">
        <f>IF(X15=0,"",X15)</f>
        <v>2200000</v>
      </c>
      <c r="K53" s="150">
        <f>IF(AA15=0,"",AA15)</f>
        <v>1900000</v>
      </c>
      <c r="L53" s="150">
        <f>IF(AD15=0,"",AD15)</f>
        <v>1500000</v>
      </c>
      <c r="M53" s="150">
        <f>IF(AG15=0,"",AG15)</f>
        <v>1600000</v>
      </c>
      <c r="N53" s="150">
        <f>IF(AJ15=0,"",AJ15)</f>
        <v>1500000</v>
      </c>
      <c r="O53" s="153">
        <f>AVERAGE($C53:C53)</f>
        <v>5298050</v>
      </c>
      <c r="P53" s="150">
        <f>AVERAGE($C53:D53)</f>
        <v>3552765</v>
      </c>
      <c r="Q53" s="150">
        <f>AVERAGE($C53:E53)</f>
        <v>2870776.6666666665</v>
      </c>
      <c r="R53" s="150">
        <f t="shared" si="12"/>
        <v>2938225</v>
      </c>
      <c r="S53" s="150">
        <f t="shared" si="12"/>
        <v>2386330</v>
      </c>
      <c r="T53" s="150">
        <f t="shared" si="12"/>
        <v>2039437.5</v>
      </c>
      <c r="U53" s="150">
        <f t="shared" si="12"/>
        <v>2162737.5</v>
      </c>
      <c r="V53" s="150">
        <f t="shared" si="12"/>
        <v>1927595</v>
      </c>
      <c r="W53" s="150">
        <f t="shared" si="12"/>
        <v>1629977.5</v>
      </c>
      <c r="X53" s="150">
        <f t="shared" si="12"/>
        <v>1900000</v>
      </c>
      <c r="Y53" s="150">
        <f t="shared" si="12"/>
        <v>1800000</v>
      </c>
      <c r="Z53" s="30">
        <f t="shared" si="12"/>
        <v>1625000</v>
      </c>
    </row>
    <row r="54" spans="2:26" x14ac:dyDescent="0.25">
      <c r="B54" s="46" t="s">
        <v>11</v>
      </c>
      <c r="C54" s="150">
        <f>IF(C16=0,"",C16)</f>
        <v>3896110</v>
      </c>
      <c r="D54" s="150">
        <f>IF(F16=0,"",F16)</f>
        <v>3020740</v>
      </c>
      <c r="E54" s="150">
        <f>IF(I16=0,"",I16)</f>
        <v>1996200</v>
      </c>
      <c r="F54" s="150">
        <f>IF(L16=0,"",L16)</f>
        <v>1979050</v>
      </c>
      <c r="G54" s="150">
        <f>IF(O16=0,"",O16)</f>
        <v>2661390</v>
      </c>
      <c r="H54" s="150">
        <f>IF(R16=0,"",R16)</f>
        <v>947060</v>
      </c>
      <c r="I54" s="150">
        <f>IF(U16=0,"",U16)</f>
        <v>1900000</v>
      </c>
      <c r="J54" s="150">
        <f>IF(X16=0,"",X16)</f>
        <v>1900000</v>
      </c>
      <c r="K54" s="150">
        <f>IF(AA16=0,"",AA16)</f>
        <v>1800000</v>
      </c>
      <c r="L54" s="150">
        <f>IF(AD16=0,"",AD16)</f>
        <v>1500000</v>
      </c>
      <c r="M54" s="150">
        <f>IF(AG16=0,"",AG16)</f>
        <v>1600000</v>
      </c>
      <c r="N54" s="150">
        <f>IF(AJ16=0,"",AJ16)</f>
        <v>1500000</v>
      </c>
      <c r="O54" s="153">
        <f>AVERAGE($C54:C54)</f>
        <v>3896110</v>
      </c>
      <c r="P54" s="150">
        <f>AVERAGE($C54:D54)</f>
        <v>3458425</v>
      </c>
      <c r="Q54" s="150">
        <f>AVERAGE($C54:E54)</f>
        <v>2971016.6666666665</v>
      </c>
      <c r="R54" s="150">
        <f t="shared" si="12"/>
        <v>2723025</v>
      </c>
      <c r="S54" s="150">
        <f t="shared" si="12"/>
        <v>2414345</v>
      </c>
      <c r="T54" s="150">
        <f t="shared" si="12"/>
        <v>1895925</v>
      </c>
      <c r="U54" s="150">
        <f t="shared" si="12"/>
        <v>1871875</v>
      </c>
      <c r="V54" s="150">
        <f t="shared" si="12"/>
        <v>1852112.5</v>
      </c>
      <c r="W54" s="150">
        <f t="shared" si="12"/>
        <v>1636765</v>
      </c>
      <c r="X54" s="150">
        <f t="shared" si="12"/>
        <v>1775000</v>
      </c>
      <c r="Y54" s="150">
        <f t="shared" si="12"/>
        <v>1700000</v>
      </c>
      <c r="Z54" s="30">
        <f t="shared" si="12"/>
        <v>1600000</v>
      </c>
    </row>
    <row r="55" spans="2:26" x14ac:dyDescent="0.25">
      <c r="B55" s="48" t="s">
        <v>14</v>
      </c>
      <c r="C55" s="28">
        <f t="shared" ref="C55:N55" si="13">SUM(C43:C54)</f>
        <v>47853390</v>
      </c>
      <c r="D55" s="28">
        <f t="shared" si="13"/>
        <v>41098744</v>
      </c>
      <c r="E55" s="28">
        <f t="shared" si="13"/>
        <v>30634900</v>
      </c>
      <c r="F55" s="28">
        <f t="shared" si="13"/>
        <v>40156590</v>
      </c>
      <c r="G55" s="28">
        <f t="shared" si="13"/>
        <v>36799160</v>
      </c>
      <c r="H55" s="28">
        <f t="shared" si="13"/>
        <v>34760990</v>
      </c>
      <c r="I55" s="28">
        <f t="shared" si="13"/>
        <v>41008151.109999999</v>
      </c>
      <c r="J55" s="28">
        <f t="shared" si="13"/>
        <v>38100000</v>
      </c>
      <c r="K55" s="28">
        <f t="shared" si="13"/>
        <v>37700000</v>
      </c>
      <c r="L55" s="28">
        <f t="shared" si="13"/>
        <v>37700000</v>
      </c>
      <c r="M55" s="28">
        <f t="shared" si="13"/>
        <v>38900000</v>
      </c>
      <c r="N55" s="28">
        <f t="shared" si="13"/>
        <v>37700000</v>
      </c>
      <c r="O55" s="154">
        <f>SUM(O43:O54)</f>
        <v>47853390</v>
      </c>
      <c r="P55" s="28">
        <f>SUM(P43:P54)</f>
        <v>44476067</v>
      </c>
      <c r="Q55" s="28">
        <f>SUM(Q43:Q54)</f>
        <v>39862344.666666657</v>
      </c>
      <c r="R55" s="28">
        <f t="shared" ref="R55:X55" si="14">SUM(R43:R54)</f>
        <v>39935906</v>
      </c>
      <c r="S55" s="28">
        <f t="shared" si="14"/>
        <v>37172348.5</v>
      </c>
      <c r="T55" s="28">
        <f t="shared" si="14"/>
        <v>35587910</v>
      </c>
      <c r="U55" s="28">
        <f t="shared" si="14"/>
        <v>38181222.777500004</v>
      </c>
      <c r="V55" s="28">
        <f t="shared" si="14"/>
        <v>37667075.277500004</v>
      </c>
      <c r="W55" s="28">
        <f t="shared" si="14"/>
        <v>37892285.277500004</v>
      </c>
      <c r="X55" s="28">
        <f t="shared" si="14"/>
        <v>38627037.777500004</v>
      </c>
      <c r="Y55" s="28">
        <f>SUM(Y43:Y54)</f>
        <v>38100000</v>
      </c>
      <c r="Z55" s="29">
        <f>SUM(Z43:Z54)</f>
        <v>38000000</v>
      </c>
    </row>
    <row r="56" spans="2:26" x14ac:dyDescent="0.25">
      <c r="B56" s="2"/>
    </row>
    <row r="57" spans="2:26" x14ac:dyDescent="0.25">
      <c r="B57" s="184" t="s">
        <v>69</v>
      </c>
      <c r="C57" s="185"/>
      <c r="D57" s="186"/>
    </row>
    <row r="58" spans="2:26" x14ac:dyDescent="0.25">
      <c r="B58" s="33" t="s">
        <v>52</v>
      </c>
      <c r="C58" s="14" t="s">
        <v>54</v>
      </c>
      <c r="D58" s="34" t="s">
        <v>52</v>
      </c>
    </row>
    <row r="59" spans="2:26" x14ac:dyDescent="0.25">
      <c r="B59" s="18">
        <v>2019</v>
      </c>
      <c r="C59" s="139">
        <v>102.22</v>
      </c>
      <c r="D59" s="19" t="s">
        <v>60</v>
      </c>
    </row>
    <row r="60" spans="2:26" x14ac:dyDescent="0.25">
      <c r="B60" s="18">
        <v>2020</v>
      </c>
      <c r="C60" s="139">
        <v>106.94</v>
      </c>
      <c r="D60" s="19" t="s">
        <v>55</v>
      </c>
    </row>
    <row r="61" spans="2:26" x14ac:dyDescent="0.25">
      <c r="B61" s="31">
        <v>2021</v>
      </c>
      <c r="C61" s="139">
        <v>109.47</v>
      </c>
      <c r="D61" s="19" t="s">
        <v>56</v>
      </c>
    </row>
    <row r="62" spans="2:26" x14ac:dyDescent="0.25">
      <c r="B62" s="31">
        <v>2022</v>
      </c>
      <c r="C62" s="139">
        <v>68.78</v>
      </c>
      <c r="D62" s="19" t="s">
        <v>57</v>
      </c>
    </row>
    <row r="63" spans="2:26" x14ac:dyDescent="0.25">
      <c r="B63" s="31">
        <v>2023</v>
      </c>
      <c r="C63" s="139">
        <v>36.04</v>
      </c>
      <c r="D63" s="19" t="s">
        <v>58</v>
      </c>
    </row>
    <row r="64" spans="2:26" x14ac:dyDescent="0.25">
      <c r="B64" s="31">
        <v>2024</v>
      </c>
      <c r="C64" s="139">
        <v>72.86</v>
      </c>
      <c r="D64" s="19" t="s">
        <v>142</v>
      </c>
    </row>
    <row r="65" spans="2:6" x14ac:dyDescent="0.25">
      <c r="B65" s="31">
        <v>2025</v>
      </c>
      <c r="C65" s="214">
        <v>80</v>
      </c>
      <c r="D65" s="19" t="s">
        <v>179</v>
      </c>
    </row>
    <row r="66" spans="2:6" x14ac:dyDescent="0.25">
      <c r="B66" s="31">
        <v>2026</v>
      </c>
      <c r="C66" s="214">
        <v>90</v>
      </c>
      <c r="D66" s="19" t="s">
        <v>180</v>
      </c>
    </row>
    <row r="67" spans="2:6" x14ac:dyDescent="0.25">
      <c r="B67" s="31">
        <v>2027</v>
      </c>
      <c r="C67" s="214">
        <v>100</v>
      </c>
      <c r="D67" s="19" t="s">
        <v>181</v>
      </c>
    </row>
    <row r="68" spans="2:6" x14ac:dyDescent="0.25">
      <c r="B68" s="32">
        <v>2028</v>
      </c>
      <c r="C68" s="218">
        <v>95</v>
      </c>
      <c r="D68" s="22" t="s">
        <v>182</v>
      </c>
    </row>
    <row r="70" spans="2:6" x14ac:dyDescent="0.25">
      <c r="B70" s="184" t="s">
        <v>59</v>
      </c>
      <c r="C70" s="186"/>
    </row>
    <row r="71" spans="2:6" x14ac:dyDescent="0.25">
      <c r="B71" s="33"/>
      <c r="C71" s="34" t="s">
        <v>19</v>
      </c>
    </row>
    <row r="72" spans="2:6" x14ac:dyDescent="0.25">
      <c r="B72" s="33" t="s">
        <v>61</v>
      </c>
      <c r="C72" s="159">
        <v>2.4500000000000002</v>
      </c>
    </row>
    <row r="73" spans="2:6" x14ac:dyDescent="0.25">
      <c r="B73" s="33" t="s">
        <v>62</v>
      </c>
      <c r="C73" s="159">
        <v>2.1800000000000002</v>
      </c>
    </row>
    <row r="74" spans="2:6" x14ac:dyDescent="0.25">
      <c r="B74" s="33" t="s">
        <v>63</v>
      </c>
      <c r="C74" s="159">
        <v>2.1800000000000002</v>
      </c>
    </row>
    <row r="75" spans="2:6" x14ac:dyDescent="0.25">
      <c r="B75" s="33" t="s">
        <v>64</v>
      </c>
      <c r="C75" s="159">
        <v>2.1800000000000002</v>
      </c>
    </row>
    <row r="76" spans="2:6" x14ac:dyDescent="0.25">
      <c r="B76" s="33" t="s">
        <v>51</v>
      </c>
      <c r="C76" s="159">
        <v>2.1800000000000002</v>
      </c>
      <c r="F76" s="3"/>
    </row>
    <row r="77" spans="2:6" x14ac:dyDescent="0.25">
      <c r="B77" s="33" t="s">
        <v>50</v>
      </c>
      <c r="C77" s="159">
        <v>2.1800000000000002</v>
      </c>
      <c r="F77" s="3"/>
    </row>
    <row r="78" spans="2:6" x14ac:dyDescent="0.25">
      <c r="B78" s="33" t="s">
        <v>49</v>
      </c>
      <c r="C78" s="159">
        <v>0.56999999999999995</v>
      </c>
      <c r="F78" s="3"/>
    </row>
    <row r="79" spans="2:6" x14ac:dyDescent="0.25">
      <c r="B79" s="33" t="s">
        <v>48</v>
      </c>
      <c r="C79" s="159">
        <v>0.56999999999999995</v>
      </c>
      <c r="F79" s="3"/>
    </row>
    <row r="80" spans="2:6" x14ac:dyDescent="0.25">
      <c r="B80" s="33" t="s">
        <v>47</v>
      </c>
      <c r="C80" s="159">
        <v>0.56999999999999995</v>
      </c>
      <c r="F80" s="3"/>
    </row>
    <row r="81" spans="2:6" x14ac:dyDescent="0.25">
      <c r="B81" s="33" t="s">
        <v>46</v>
      </c>
      <c r="C81" s="159">
        <v>0.56999999999999995</v>
      </c>
      <c r="F81" s="3"/>
    </row>
    <row r="82" spans="2:6" x14ac:dyDescent="0.25">
      <c r="B82" s="33" t="s">
        <v>45</v>
      </c>
      <c r="C82" s="159">
        <v>0.56999999999999995</v>
      </c>
      <c r="F82" s="3"/>
    </row>
    <row r="83" spans="2:6" x14ac:dyDescent="0.25">
      <c r="B83" s="33" t="s">
        <v>44</v>
      </c>
      <c r="C83" s="159">
        <v>0.56999999999999995</v>
      </c>
    </row>
    <row r="84" spans="2:6" x14ac:dyDescent="0.25">
      <c r="B84" s="33" t="s">
        <v>43</v>
      </c>
      <c r="C84" s="159">
        <v>0.56999999999999995</v>
      </c>
      <c r="F84" s="3"/>
    </row>
    <row r="85" spans="2:6" x14ac:dyDescent="0.25">
      <c r="B85" s="33" t="s">
        <v>42</v>
      </c>
      <c r="C85" s="159">
        <v>1.02</v>
      </c>
      <c r="F85" s="3"/>
    </row>
    <row r="86" spans="2:6" x14ac:dyDescent="0.25">
      <c r="B86" s="33" t="s">
        <v>41</v>
      </c>
      <c r="C86" s="159">
        <v>2.2000000000000002</v>
      </c>
      <c r="F86" s="3"/>
    </row>
    <row r="87" spans="2:6" x14ac:dyDescent="0.25">
      <c r="B87" s="33" t="s">
        <v>40</v>
      </c>
      <c r="C87" s="159">
        <v>3.87</v>
      </c>
      <c r="F87" s="3"/>
    </row>
    <row r="88" spans="2:6" x14ac:dyDescent="0.25">
      <c r="B88" s="33" t="s">
        <v>39</v>
      </c>
      <c r="C88" s="159">
        <v>4.7300000000000004</v>
      </c>
    </row>
    <row r="89" spans="2:6" x14ac:dyDescent="0.25">
      <c r="B89" s="33" t="s">
        <v>38</v>
      </c>
      <c r="C89" s="159">
        <v>4.9800000000000004</v>
      </c>
    </row>
    <row r="90" spans="2:6" x14ac:dyDescent="0.25">
      <c r="B90" s="33" t="s">
        <v>37</v>
      </c>
      <c r="C90" s="159">
        <v>4.9800000000000004</v>
      </c>
    </row>
    <row r="91" spans="2:6" x14ac:dyDescent="0.25">
      <c r="B91" s="33" t="s">
        <v>36</v>
      </c>
      <c r="C91" s="159">
        <v>5.49</v>
      </c>
    </row>
    <row r="92" spans="2:6" x14ac:dyDescent="0.25">
      <c r="B92" s="33" t="s">
        <v>174</v>
      </c>
      <c r="C92" s="159">
        <v>5.49</v>
      </c>
    </row>
    <row r="93" spans="2:6" x14ac:dyDescent="0.25">
      <c r="B93" s="33" t="s">
        <v>183</v>
      </c>
      <c r="C93" s="159">
        <v>5</v>
      </c>
    </row>
    <row r="94" spans="2:6" x14ac:dyDescent="0.25">
      <c r="B94" s="33" t="s">
        <v>184</v>
      </c>
      <c r="C94" s="159">
        <v>5</v>
      </c>
    </row>
    <row r="95" spans="2:6" x14ac:dyDescent="0.25">
      <c r="B95" s="33" t="s">
        <v>185</v>
      </c>
      <c r="C95" s="159">
        <v>5</v>
      </c>
    </row>
    <row r="96" spans="2:6" x14ac:dyDescent="0.25">
      <c r="B96" s="33" t="s">
        <v>186</v>
      </c>
      <c r="C96" s="159">
        <v>4.5</v>
      </c>
    </row>
    <row r="97" spans="2:16" x14ac:dyDescent="0.25">
      <c r="B97" s="33" t="s">
        <v>187</v>
      </c>
      <c r="C97" s="159">
        <v>4.5</v>
      </c>
    </row>
    <row r="98" spans="2:16" x14ac:dyDescent="0.25">
      <c r="B98" s="33" t="s">
        <v>188</v>
      </c>
      <c r="C98" s="159">
        <v>4.5</v>
      </c>
    </row>
    <row r="99" spans="2:16" x14ac:dyDescent="0.25">
      <c r="B99" s="33" t="s">
        <v>189</v>
      </c>
      <c r="C99" s="159">
        <v>4.5</v>
      </c>
    </row>
    <row r="100" spans="2:16" x14ac:dyDescent="0.25">
      <c r="B100" s="33" t="s">
        <v>190</v>
      </c>
      <c r="C100" s="159">
        <v>4</v>
      </c>
    </row>
    <row r="101" spans="2:16" x14ac:dyDescent="0.25">
      <c r="B101" s="33" t="s">
        <v>191</v>
      </c>
      <c r="C101" s="159">
        <v>4</v>
      </c>
    </row>
    <row r="102" spans="2:16" x14ac:dyDescent="0.25">
      <c r="B102" s="33" t="s">
        <v>192</v>
      </c>
      <c r="C102" s="159">
        <v>4</v>
      </c>
    </row>
    <row r="103" spans="2:16" x14ac:dyDescent="0.25">
      <c r="B103" s="33" t="s">
        <v>193</v>
      </c>
      <c r="C103" s="159">
        <v>4</v>
      </c>
    </row>
    <row r="104" spans="2:16" x14ac:dyDescent="0.25">
      <c r="B104" s="33" t="s">
        <v>194</v>
      </c>
      <c r="C104" s="159">
        <v>3.75</v>
      </c>
    </row>
    <row r="105" spans="2:16" x14ac:dyDescent="0.25">
      <c r="B105" s="33" t="s">
        <v>195</v>
      </c>
      <c r="C105" s="159">
        <v>3.75</v>
      </c>
    </row>
    <row r="106" spans="2:16" x14ac:dyDescent="0.25">
      <c r="B106" s="33" t="s">
        <v>196</v>
      </c>
      <c r="C106" s="159">
        <v>3.75</v>
      </c>
      <c r="G106" s="11"/>
      <c r="H106" s="2"/>
    </row>
    <row r="107" spans="2:16" x14ac:dyDescent="0.25">
      <c r="B107" s="33" t="s">
        <v>197</v>
      </c>
      <c r="C107" s="159">
        <v>3.75</v>
      </c>
      <c r="G107" s="2"/>
      <c r="H107" s="11"/>
      <c r="O107" s="2"/>
    </row>
    <row r="108" spans="2:16" x14ac:dyDescent="0.25">
      <c r="B108" s="33" t="s">
        <v>198</v>
      </c>
      <c r="C108" s="159">
        <v>3.5</v>
      </c>
      <c r="G108" s="2"/>
      <c r="H108" s="11"/>
      <c r="O108" s="2"/>
      <c r="P108" s="7"/>
    </row>
    <row r="109" spans="2:16" x14ac:dyDescent="0.25">
      <c r="B109" s="33" t="s">
        <v>199</v>
      </c>
      <c r="C109" s="159">
        <v>3.5</v>
      </c>
      <c r="G109" s="2"/>
      <c r="H109" s="2"/>
      <c r="O109" s="2"/>
      <c r="P109" s="12"/>
    </row>
    <row r="110" spans="2:16" x14ac:dyDescent="0.25">
      <c r="B110" s="33" t="s">
        <v>200</v>
      </c>
      <c r="C110" s="159">
        <v>3</v>
      </c>
      <c r="H110" s="12"/>
    </row>
    <row r="111" spans="2:16" x14ac:dyDescent="0.25">
      <c r="B111" s="35" t="s">
        <v>201</v>
      </c>
      <c r="C111" s="160">
        <v>3</v>
      </c>
    </row>
  </sheetData>
  <mergeCells count="20">
    <mergeCell ref="C41:N41"/>
    <mergeCell ref="O41:Z41"/>
    <mergeCell ref="B57:D57"/>
    <mergeCell ref="B70:C70"/>
    <mergeCell ref="AD3:AF3"/>
    <mergeCell ref="AG3:AI3"/>
    <mergeCell ref="AJ3:AL3"/>
    <mergeCell ref="B20:N20"/>
    <mergeCell ref="B36:N36"/>
    <mergeCell ref="B40:Z40"/>
    <mergeCell ref="C2:AL2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17142-AF63-4447-9CB7-12767767B750}">
  <sheetPr>
    <tabColor theme="5"/>
  </sheetPr>
  <dimension ref="B1:Z71"/>
  <sheetViews>
    <sheetView topLeftCell="A44" zoomScaleNormal="100" workbookViewId="0">
      <selection activeCell="H74" sqref="H74"/>
    </sheetView>
  </sheetViews>
  <sheetFormatPr defaultRowHeight="15" x14ac:dyDescent="0.25"/>
  <cols>
    <col min="3" max="3" width="35.140625" bestFit="1" customWidth="1"/>
    <col min="4" max="4" width="16.42578125" customWidth="1"/>
    <col min="5" max="5" width="11.5703125" bestFit="1" customWidth="1"/>
    <col min="6" max="6" width="48.85546875" style="162" bestFit="1" customWidth="1"/>
    <col min="7" max="7" width="12.28515625" bestFit="1" customWidth="1"/>
    <col min="8" max="8" width="14.28515625" style="25" bestFit="1" customWidth="1"/>
    <col min="9" max="9" width="10.28515625" bestFit="1" customWidth="1"/>
    <col min="10" max="10" width="12.28515625" bestFit="1" customWidth="1"/>
    <col min="11" max="11" width="11.5703125" bestFit="1" customWidth="1"/>
    <col min="12" max="13" width="12.28515625" bestFit="1" customWidth="1"/>
    <col min="14" max="14" width="14.85546875" customWidth="1"/>
    <col min="15" max="15" width="16" customWidth="1"/>
    <col min="16" max="16" width="13" customWidth="1"/>
    <col min="17" max="17" width="14.42578125" customWidth="1"/>
    <col min="18" max="18" width="8.42578125" bestFit="1" customWidth="1"/>
    <col min="19" max="19" width="11.140625" customWidth="1"/>
    <col min="20" max="20" width="11" customWidth="1"/>
    <col min="23" max="23" width="28.7109375" bestFit="1" customWidth="1"/>
    <col min="24" max="24" width="14.140625" customWidth="1"/>
    <col min="25" max="25" width="13" customWidth="1"/>
    <col min="26" max="26" width="84.140625" bestFit="1" customWidth="1"/>
  </cols>
  <sheetData>
    <row r="1" spans="2:26" ht="15.75" thickBot="1" x14ac:dyDescent="0.3"/>
    <row r="2" spans="2:26" ht="15.75" x14ac:dyDescent="0.25">
      <c r="G2" s="201" t="s">
        <v>173</v>
      </c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3"/>
    </row>
    <row r="3" spans="2:26" ht="45" x14ac:dyDescent="0.25">
      <c r="G3" s="61"/>
      <c r="H3" s="72" t="s">
        <v>17</v>
      </c>
      <c r="I3" s="73" t="s">
        <v>16</v>
      </c>
      <c r="J3" s="74" t="s">
        <v>34</v>
      </c>
      <c r="K3" s="75" t="s">
        <v>15</v>
      </c>
      <c r="L3" s="76" t="s">
        <v>117</v>
      </c>
      <c r="M3" s="76" t="s">
        <v>148</v>
      </c>
      <c r="N3" s="76" t="s">
        <v>152</v>
      </c>
      <c r="O3" s="74" t="s">
        <v>33</v>
      </c>
      <c r="P3" s="75" t="s">
        <v>18</v>
      </c>
      <c r="Q3" s="73" t="s">
        <v>20</v>
      </c>
      <c r="R3" s="73" t="s">
        <v>22</v>
      </c>
      <c r="S3" s="73" t="s">
        <v>21</v>
      </c>
      <c r="T3" s="77" t="s">
        <v>91</v>
      </c>
    </row>
    <row r="4" spans="2:26" ht="15.75" thickBot="1" x14ac:dyDescent="0.3">
      <c r="G4" s="142"/>
      <c r="H4" s="66" t="s">
        <v>23</v>
      </c>
      <c r="I4" s="67" t="s">
        <v>24</v>
      </c>
      <c r="J4" s="68" t="s">
        <v>29</v>
      </c>
      <c r="K4" s="69" t="s">
        <v>25</v>
      </c>
      <c r="L4" s="70" t="s">
        <v>30</v>
      </c>
      <c r="M4" s="70" t="s">
        <v>31</v>
      </c>
      <c r="N4" s="70" t="s">
        <v>27</v>
      </c>
      <c r="O4" s="68" t="s">
        <v>73</v>
      </c>
      <c r="P4" s="69" t="s">
        <v>74</v>
      </c>
      <c r="Q4" s="67" t="s">
        <v>28</v>
      </c>
      <c r="R4" s="67" t="s">
        <v>75</v>
      </c>
      <c r="S4" s="67" t="s">
        <v>76</v>
      </c>
      <c r="T4" s="71"/>
    </row>
    <row r="5" spans="2:26" ht="120.75" thickBot="1" x14ac:dyDescent="0.3">
      <c r="C5" s="204" t="s">
        <v>160</v>
      </c>
      <c r="D5" s="205"/>
      <c r="E5" s="206"/>
      <c r="F5" s="166" t="s">
        <v>144</v>
      </c>
      <c r="G5" s="63"/>
      <c r="H5" s="106" t="s">
        <v>172</v>
      </c>
      <c r="I5" s="107" t="s">
        <v>101</v>
      </c>
      <c r="J5" s="108" t="s">
        <v>102</v>
      </c>
      <c r="K5" s="109" t="s">
        <v>103</v>
      </c>
      <c r="L5" s="110" t="s">
        <v>104</v>
      </c>
      <c r="M5" s="110" t="s">
        <v>105</v>
      </c>
      <c r="N5" s="110" t="s">
        <v>208</v>
      </c>
      <c r="O5" s="108" t="s">
        <v>153</v>
      </c>
      <c r="P5" s="109" t="s">
        <v>106</v>
      </c>
      <c r="Q5" s="107" t="s">
        <v>107</v>
      </c>
      <c r="R5" s="135" t="s">
        <v>108</v>
      </c>
      <c r="S5" s="107" t="s">
        <v>109</v>
      </c>
      <c r="T5" s="170" t="s">
        <v>176</v>
      </c>
    </row>
    <row r="6" spans="2:26" x14ac:dyDescent="0.25">
      <c r="B6" s="195">
        <v>2024</v>
      </c>
      <c r="C6" s="136"/>
      <c r="D6" s="161" t="s">
        <v>157</v>
      </c>
      <c r="E6" s="136"/>
      <c r="F6" s="164"/>
      <c r="G6" s="100" t="s">
        <v>0</v>
      </c>
      <c r="H6" s="56"/>
      <c r="I6" s="169"/>
      <c r="J6" s="57"/>
      <c r="K6" s="59"/>
      <c r="L6" s="10"/>
      <c r="M6" s="10"/>
      <c r="N6" s="10"/>
      <c r="O6" s="40"/>
      <c r="P6" s="59"/>
      <c r="Q6" s="10"/>
      <c r="R6" s="10"/>
      <c r="S6" s="105"/>
      <c r="T6" s="143"/>
      <c r="U6" s="10"/>
    </row>
    <row r="7" spans="2:26" x14ac:dyDescent="0.25">
      <c r="B7" s="196"/>
      <c r="C7" s="100" t="s">
        <v>86</v>
      </c>
      <c r="D7" s="117">
        <f>'Input Data (Review)'!T55</f>
        <v>35587910</v>
      </c>
      <c r="F7" s="162" t="s">
        <v>132</v>
      </c>
      <c r="G7" s="100" t="s">
        <v>1</v>
      </c>
      <c r="H7" s="56"/>
      <c r="I7" s="169"/>
      <c r="J7" s="57"/>
      <c r="K7" s="59"/>
      <c r="L7" s="10"/>
      <c r="M7" s="10"/>
      <c r="N7" s="10"/>
      <c r="O7" s="40"/>
      <c r="P7" s="59"/>
      <c r="Q7" s="10"/>
      <c r="R7" s="10"/>
      <c r="S7" s="105"/>
      <c r="T7" s="143"/>
      <c r="U7" s="10"/>
      <c r="V7" s="198" t="s">
        <v>99</v>
      </c>
      <c r="W7" s="16"/>
      <c r="X7" s="16"/>
      <c r="Y7" s="17"/>
    </row>
    <row r="8" spans="2:26" x14ac:dyDescent="0.25">
      <c r="B8" s="196"/>
      <c r="C8" s="100" t="s">
        <v>113</v>
      </c>
      <c r="D8" s="116">
        <f>'Input Data (Review)'!C64/1000</f>
        <v>7.2859999999999994E-2</v>
      </c>
      <c r="F8" s="162" t="s">
        <v>92</v>
      </c>
      <c r="G8" s="100" t="s">
        <v>2</v>
      </c>
      <c r="H8" s="56"/>
      <c r="I8" s="169"/>
      <c r="J8" s="57"/>
      <c r="K8" s="59"/>
      <c r="L8" s="10"/>
      <c r="M8" s="10"/>
      <c r="N8" s="10"/>
      <c r="O8" s="40"/>
      <c r="P8" s="59"/>
      <c r="Q8" s="10"/>
      <c r="R8" s="10"/>
      <c r="S8" s="105"/>
      <c r="T8" s="143"/>
      <c r="U8" s="10"/>
      <c r="V8" s="199"/>
      <c r="W8" t="s">
        <v>100</v>
      </c>
      <c r="Y8" s="40">
        <f>K18</f>
        <v>2240000</v>
      </c>
      <c r="Z8" t="s">
        <v>110</v>
      </c>
    </row>
    <row r="9" spans="2:26" x14ac:dyDescent="0.25">
      <c r="B9" s="196"/>
      <c r="C9" s="100" t="s">
        <v>129</v>
      </c>
      <c r="D9" s="4">
        <f>D7*D8</f>
        <v>2592935.1225999999</v>
      </c>
      <c r="G9" s="100" t="s">
        <v>3</v>
      </c>
      <c r="H9" s="56"/>
      <c r="I9" s="169"/>
      <c r="J9" s="57"/>
      <c r="K9" s="59"/>
      <c r="L9" s="10"/>
      <c r="M9" s="10"/>
      <c r="N9" s="10"/>
      <c r="O9" s="40"/>
      <c r="P9" s="59"/>
      <c r="Q9" s="10"/>
      <c r="R9" s="10"/>
      <c r="S9" s="105"/>
      <c r="T9" s="143"/>
      <c r="U9" s="10"/>
      <c r="V9" s="199"/>
      <c r="W9" t="s">
        <v>98</v>
      </c>
      <c r="Y9" s="40">
        <f>L18</f>
        <v>-1120000</v>
      </c>
      <c r="Z9" t="s">
        <v>32</v>
      </c>
    </row>
    <row r="10" spans="2:26" x14ac:dyDescent="0.25">
      <c r="B10" s="196"/>
      <c r="C10" s="100" t="s">
        <v>130</v>
      </c>
      <c r="E10" s="4">
        <f>D9/2</f>
        <v>1296467.5612999999</v>
      </c>
      <c r="F10" s="162" t="s">
        <v>143</v>
      </c>
      <c r="G10" s="100" t="s">
        <v>4</v>
      </c>
      <c r="H10" s="113">
        <f>'Input Data (Review)'!J26</f>
        <v>13000000</v>
      </c>
      <c r="I10" s="169">
        <f>E17</f>
        <v>-7.0000000000000001E-3</v>
      </c>
      <c r="J10" s="57">
        <f t="shared" ref="J10:J17" si="0">H10*I10</f>
        <v>-91000</v>
      </c>
      <c r="K10" s="112">
        <f>'Input Data (Review)'!Z9</f>
        <v>368000</v>
      </c>
      <c r="L10" s="10">
        <f t="shared" ref="L10:L17" si="1">-K10/2</f>
        <v>-184000</v>
      </c>
      <c r="M10" s="10">
        <f t="shared" ref="M10:M17" si="2">-K10/2</f>
        <v>-184000</v>
      </c>
      <c r="N10" s="10"/>
      <c r="O10" s="40">
        <f t="shared" ref="O10:O17" si="3">M10+N10</f>
        <v>-184000</v>
      </c>
      <c r="P10" s="59">
        <f t="shared" ref="P10:P17" si="4">O10-J10</f>
        <v>-93000</v>
      </c>
      <c r="Q10" s="10">
        <f t="shared" ref="Q10:Q17" si="5">P10+Q9</f>
        <v>-93000</v>
      </c>
      <c r="R10" s="115">
        <f>'Input Data (Review)'!$C$93/100/12</f>
        <v>4.1666666666666666E-3</v>
      </c>
      <c r="S10" s="105"/>
      <c r="T10" s="143"/>
      <c r="U10" s="10"/>
      <c r="V10" s="199"/>
      <c r="W10" t="s">
        <v>70</v>
      </c>
      <c r="X10" s="10">
        <f>M18</f>
        <v>-1120000</v>
      </c>
      <c r="Y10" s="19"/>
      <c r="Z10" t="s">
        <v>111</v>
      </c>
    </row>
    <row r="11" spans="2:26" x14ac:dyDescent="0.25">
      <c r="B11" s="196"/>
      <c r="C11" s="100" t="s">
        <v>115</v>
      </c>
      <c r="E11" s="4"/>
      <c r="F11" s="162" t="s">
        <v>145</v>
      </c>
      <c r="G11" s="100" t="s">
        <v>5</v>
      </c>
      <c r="H11" s="113">
        <f>'Input Data (Review)'!J27</f>
        <v>14000000</v>
      </c>
      <c r="I11" s="169">
        <f>I10</f>
        <v>-7.0000000000000001E-3</v>
      </c>
      <c r="J11" s="57">
        <f t="shared" si="0"/>
        <v>-98000</v>
      </c>
      <c r="K11" s="112">
        <f>'Input Data (Review)'!Z10</f>
        <v>272000</v>
      </c>
      <c r="L11" s="10">
        <f t="shared" si="1"/>
        <v>-136000</v>
      </c>
      <c r="M11" s="10">
        <f t="shared" si="2"/>
        <v>-136000</v>
      </c>
      <c r="N11" s="10"/>
      <c r="O11" s="40">
        <f t="shared" si="3"/>
        <v>-136000</v>
      </c>
      <c r="P11" s="59">
        <f t="shared" si="4"/>
        <v>-38000</v>
      </c>
      <c r="Q11" s="10">
        <f t="shared" si="5"/>
        <v>-131000</v>
      </c>
      <c r="R11" s="115">
        <f>'Input Data (Review)'!$C$93/100/12</f>
        <v>4.1666666666666666E-3</v>
      </c>
      <c r="S11" s="105">
        <f>Q10*R11</f>
        <v>-387.5</v>
      </c>
      <c r="T11" s="143"/>
      <c r="U11" s="10"/>
      <c r="V11" s="199"/>
      <c r="W11" t="s">
        <v>71</v>
      </c>
      <c r="X11" s="36"/>
      <c r="Y11" s="19"/>
      <c r="Z11" t="s">
        <v>175</v>
      </c>
    </row>
    <row r="12" spans="2:26" x14ac:dyDescent="0.25">
      <c r="B12" s="196"/>
      <c r="C12" s="100" t="s">
        <v>116</v>
      </c>
      <c r="E12" s="4"/>
      <c r="F12" s="162" t="str">
        <f>F11</f>
        <v>(No variance in this year)</v>
      </c>
      <c r="G12" s="100" t="s">
        <v>6</v>
      </c>
      <c r="H12" s="113">
        <f>'Input Data (Review)'!J28</f>
        <v>16000000</v>
      </c>
      <c r="I12" s="169">
        <f t="shared" ref="I12:I13" si="6">I11</f>
        <v>-7.0000000000000001E-3</v>
      </c>
      <c r="J12" s="57">
        <f t="shared" si="0"/>
        <v>-112000</v>
      </c>
      <c r="K12" s="112">
        <f>'Input Data (Review)'!Z11</f>
        <v>328000</v>
      </c>
      <c r="L12" s="10">
        <f t="shared" si="1"/>
        <v>-164000</v>
      </c>
      <c r="M12" s="10">
        <f t="shared" si="2"/>
        <v>-164000</v>
      </c>
      <c r="N12" s="10"/>
      <c r="O12" s="40">
        <f t="shared" si="3"/>
        <v>-164000</v>
      </c>
      <c r="P12" s="59">
        <f t="shared" si="4"/>
        <v>-52000</v>
      </c>
      <c r="Q12" s="10">
        <f t="shared" si="5"/>
        <v>-183000</v>
      </c>
      <c r="R12" s="115">
        <f>'Input Data (Review)'!$C$94/100/12</f>
        <v>4.1666666666666666E-3</v>
      </c>
      <c r="S12" s="105">
        <f t="shared" ref="S12" si="7">Q11*R12</f>
        <v>-545.83333333333337</v>
      </c>
      <c r="T12" s="143"/>
      <c r="U12" s="10"/>
      <c r="V12" s="199"/>
      <c r="W12" t="s">
        <v>33</v>
      </c>
      <c r="Y12" s="40">
        <f>X11+X10</f>
        <v>-1120000</v>
      </c>
      <c r="Z12" t="s">
        <v>112</v>
      </c>
    </row>
    <row r="13" spans="2:26" x14ac:dyDescent="0.25">
      <c r="B13" s="196"/>
      <c r="C13" s="61" t="s">
        <v>161</v>
      </c>
      <c r="E13" s="24">
        <f>SUM(E10:E12)</f>
        <v>1296467.5612999999</v>
      </c>
      <c r="G13" s="100" t="s">
        <v>7</v>
      </c>
      <c r="H13" s="113">
        <f>'Input Data (Review)'!J29</f>
        <v>15000000</v>
      </c>
      <c r="I13" s="169">
        <f t="shared" si="6"/>
        <v>-7.0000000000000001E-3</v>
      </c>
      <c r="J13" s="57">
        <f t="shared" si="0"/>
        <v>-105000</v>
      </c>
      <c r="K13" s="112">
        <f>'Input Data (Review)'!Z12</f>
        <v>336000</v>
      </c>
      <c r="L13" s="10">
        <f t="shared" si="1"/>
        <v>-168000</v>
      </c>
      <c r="M13" s="10">
        <f t="shared" si="2"/>
        <v>-168000</v>
      </c>
      <c r="N13" s="10"/>
      <c r="O13" s="40">
        <f t="shared" si="3"/>
        <v>-168000</v>
      </c>
      <c r="P13" s="59">
        <f t="shared" si="4"/>
        <v>-63000</v>
      </c>
      <c r="Q13" s="10">
        <f t="shared" si="5"/>
        <v>-246000</v>
      </c>
      <c r="R13" s="115">
        <f>'Input Data (Review)'!$C$94/100/12</f>
        <v>4.1666666666666666E-3</v>
      </c>
      <c r="S13" s="105">
        <f>Q12*R13</f>
        <v>-762.5</v>
      </c>
      <c r="T13" s="143"/>
      <c r="U13" s="10"/>
      <c r="V13" s="199"/>
      <c r="W13" t="s">
        <v>34</v>
      </c>
      <c r="Y13" s="65">
        <f>J18</f>
        <v>-819000</v>
      </c>
      <c r="Z13" t="s">
        <v>162</v>
      </c>
    </row>
    <row r="14" spans="2:26" x14ac:dyDescent="0.25">
      <c r="B14" s="196"/>
      <c r="C14" s="100"/>
      <c r="G14" s="100" t="s">
        <v>8</v>
      </c>
      <c r="H14" s="113">
        <f>'Input Data (Review)'!J30</f>
        <v>13000000</v>
      </c>
      <c r="I14" s="169">
        <f>I13</f>
        <v>-7.0000000000000001E-3</v>
      </c>
      <c r="J14" s="57">
        <f t="shared" si="0"/>
        <v>-91000</v>
      </c>
      <c r="K14" s="112">
        <f>'Input Data (Review)'!Z13</f>
        <v>304000</v>
      </c>
      <c r="L14" s="10">
        <f t="shared" si="1"/>
        <v>-152000</v>
      </c>
      <c r="M14" s="10">
        <f t="shared" si="2"/>
        <v>-152000</v>
      </c>
      <c r="N14" s="10"/>
      <c r="O14" s="40">
        <f t="shared" si="3"/>
        <v>-152000</v>
      </c>
      <c r="P14" s="59">
        <f t="shared" si="4"/>
        <v>-61000</v>
      </c>
      <c r="Q14" s="10">
        <f t="shared" si="5"/>
        <v>-307000</v>
      </c>
      <c r="R14" s="115">
        <f>'Input Data (Review)'!$C$94/100/12</f>
        <v>4.1666666666666666E-3</v>
      </c>
      <c r="S14" s="105">
        <f t="shared" ref="S14:S17" si="8">Q13*R14</f>
        <v>-1025</v>
      </c>
      <c r="T14" s="143"/>
      <c r="U14" s="10"/>
      <c r="V14" s="199"/>
      <c r="W14" t="s">
        <v>18</v>
      </c>
      <c r="Y14" s="78">
        <f>Y12-Y13</f>
        <v>-301000</v>
      </c>
      <c r="Z14" t="s">
        <v>220</v>
      </c>
    </row>
    <row r="15" spans="2:26" x14ac:dyDescent="0.25">
      <c r="B15" s="196"/>
      <c r="C15" s="100" t="s">
        <v>114</v>
      </c>
      <c r="D15" s="117">
        <f>'Input Data (Review)'!H38</f>
        <v>185090366</v>
      </c>
      <c r="F15" s="162" t="s">
        <v>93</v>
      </c>
      <c r="G15" s="100" t="s">
        <v>9</v>
      </c>
      <c r="H15" s="113">
        <f>'Input Data (Review)'!J31</f>
        <v>13000000</v>
      </c>
      <c r="I15" s="169">
        <f>I14</f>
        <v>-7.0000000000000001E-3</v>
      </c>
      <c r="J15" s="57">
        <f t="shared" si="0"/>
        <v>-91000</v>
      </c>
      <c r="K15" s="112">
        <f>'Input Data (Review)'!Z14</f>
        <v>304000</v>
      </c>
      <c r="L15" s="10">
        <f t="shared" si="1"/>
        <v>-152000</v>
      </c>
      <c r="M15" s="10">
        <f t="shared" si="2"/>
        <v>-152000</v>
      </c>
      <c r="N15" s="10"/>
      <c r="O15" s="40">
        <f t="shared" si="3"/>
        <v>-152000</v>
      </c>
      <c r="P15" s="59">
        <f t="shared" si="4"/>
        <v>-61000</v>
      </c>
      <c r="Q15" s="10">
        <f t="shared" si="5"/>
        <v>-368000</v>
      </c>
      <c r="R15" s="115">
        <f>'Input Data (Review)'!$C$95/100/12</f>
        <v>4.1666666666666666E-3</v>
      </c>
      <c r="S15" s="105">
        <f t="shared" si="8"/>
        <v>-1279.1666666666667</v>
      </c>
      <c r="T15" s="143"/>
      <c r="U15" s="10"/>
      <c r="V15" s="199"/>
      <c r="W15" t="s">
        <v>35</v>
      </c>
      <c r="Y15" s="40">
        <f>S18+T31</f>
        <v>-20540.833333333332</v>
      </c>
      <c r="Z15" t="s">
        <v>221</v>
      </c>
    </row>
    <row r="16" spans="2:26" x14ac:dyDescent="0.25">
      <c r="B16" s="196"/>
      <c r="C16" s="61"/>
      <c r="D16" s="4"/>
      <c r="G16" s="100" t="s">
        <v>10</v>
      </c>
      <c r="H16" s="113">
        <f>'Input Data (Review)'!J32</f>
        <v>15000000</v>
      </c>
      <c r="I16" s="169">
        <f>I15</f>
        <v>-7.0000000000000001E-3</v>
      </c>
      <c r="J16" s="57">
        <f t="shared" si="0"/>
        <v>-105000</v>
      </c>
      <c r="K16" s="112">
        <f>'Input Data (Review)'!Z15</f>
        <v>176000</v>
      </c>
      <c r="L16" s="10">
        <f t="shared" si="1"/>
        <v>-88000</v>
      </c>
      <c r="M16" s="10">
        <f t="shared" si="2"/>
        <v>-88000</v>
      </c>
      <c r="N16" s="10"/>
      <c r="O16" s="40">
        <f t="shared" si="3"/>
        <v>-88000</v>
      </c>
      <c r="P16" s="59">
        <f t="shared" si="4"/>
        <v>17000</v>
      </c>
      <c r="Q16" s="10">
        <f t="shared" si="5"/>
        <v>-351000</v>
      </c>
      <c r="R16" s="115">
        <f>'Input Data (Review)'!$C$95/100/12</f>
        <v>4.1666666666666666E-3</v>
      </c>
      <c r="S16" s="105">
        <f t="shared" si="8"/>
        <v>-1533.3333333333333</v>
      </c>
      <c r="T16" s="143"/>
      <c r="U16" s="10"/>
      <c r="V16" s="200"/>
      <c r="W16" s="21"/>
      <c r="X16" s="21"/>
      <c r="Y16" s="22"/>
    </row>
    <row r="17" spans="2:26" x14ac:dyDescent="0.25">
      <c r="B17" s="196"/>
      <c r="C17" s="61" t="s">
        <v>164</v>
      </c>
      <c r="E17" s="167">
        <f>ROUND(-E13/D15,4)</f>
        <v>-7.0000000000000001E-3</v>
      </c>
      <c r="G17" s="100" t="s">
        <v>11</v>
      </c>
      <c r="H17" s="113">
        <f>'Input Data (Review)'!J33</f>
        <v>18000000</v>
      </c>
      <c r="I17" s="169">
        <f>I16</f>
        <v>-7.0000000000000001E-3</v>
      </c>
      <c r="J17" s="57">
        <f t="shared" si="0"/>
        <v>-126000</v>
      </c>
      <c r="K17" s="112">
        <f>'Input Data (Review)'!Z16</f>
        <v>152000</v>
      </c>
      <c r="L17" s="10">
        <f t="shared" si="1"/>
        <v>-76000</v>
      </c>
      <c r="M17" s="10">
        <f t="shared" si="2"/>
        <v>-76000</v>
      </c>
      <c r="N17" s="10"/>
      <c r="O17" s="40">
        <f t="shared" si="3"/>
        <v>-76000</v>
      </c>
      <c r="P17" s="59">
        <f t="shared" si="4"/>
        <v>50000</v>
      </c>
      <c r="Q17" s="10">
        <f t="shared" si="5"/>
        <v>-301000</v>
      </c>
      <c r="R17" s="115">
        <f>'Input Data (Review)'!$C$95/100/12</f>
        <v>4.1666666666666666E-3</v>
      </c>
      <c r="S17" s="105">
        <f t="shared" si="8"/>
        <v>-1462.5</v>
      </c>
      <c r="T17" s="143"/>
      <c r="U17" s="10"/>
    </row>
    <row r="18" spans="2:26" ht="15.75" thickBot="1" x14ac:dyDescent="0.3">
      <c r="B18" s="197"/>
      <c r="G18" s="118" t="s">
        <v>14</v>
      </c>
      <c r="H18" s="119">
        <f>SUM(H6:H17)</f>
        <v>117000000</v>
      </c>
      <c r="I18" s="120"/>
      <c r="J18" s="121">
        <f t="shared" ref="J18:P18" si="9">SUM(J6:J17)</f>
        <v>-819000</v>
      </c>
      <c r="K18" s="122">
        <f t="shared" si="9"/>
        <v>2240000</v>
      </c>
      <c r="L18" s="123">
        <f t="shared" si="9"/>
        <v>-1120000</v>
      </c>
      <c r="M18" s="123">
        <f t="shared" si="9"/>
        <v>-1120000</v>
      </c>
      <c r="N18" s="123">
        <f t="shared" si="9"/>
        <v>0</v>
      </c>
      <c r="O18" s="121">
        <f t="shared" si="9"/>
        <v>-1120000</v>
      </c>
      <c r="P18" s="122">
        <f t="shared" si="9"/>
        <v>-301000</v>
      </c>
      <c r="Q18" s="124"/>
      <c r="R18" s="120"/>
      <c r="S18" s="123">
        <f>SUM(S6:S17)</f>
        <v>-6995.833333333333</v>
      </c>
      <c r="T18" s="165"/>
      <c r="U18" s="11"/>
    </row>
    <row r="19" spans="2:26" x14ac:dyDescent="0.25">
      <c r="B19" s="195">
        <v>2025</v>
      </c>
      <c r="C19" s="136"/>
      <c r="D19" s="136"/>
      <c r="E19" s="136"/>
      <c r="F19" s="164"/>
      <c r="G19" s="100" t="s">
        <v>0</v>
      </c>
      <c r="H19" s="113">
        <f>'Input Data (Review)'!K22</f>
        <v>20000000</v>
      </c>
      <c r="I19" s="169">
        <f>I17</f>
        <v>-7.0000000000000001E-3</v>
      </c>
      <c r="J19" s="57">
        <f t="shared" ref="J19:J30" si="10">H19*I19</f>
        <v>-140000</v>
      </c>
      <c r="K19" s="112">
        <f>'Input Data (Review)'!AC5</f>
        <v>148500</v>
      </c>
      <c r="L19" s="10">
        <f t="shared" ref="L19:L30" si="11">-K19/2</f>
        <v>-74250</v>
      </c>
      <c r="M19" s="10">
        <f t="shared" ref="M19:M30" si="12">-K19/2</f>
        <v>-74250</v>
      </c>
      <c r="N19" s="10"/>
      <c r="O19" s="40">
        <f t="shared" ref="O19:O30" si="13">M19+N19</f>
        <v>-74250</v>
      </c>
      <c r="P19" s="59">
        <f t="shared" ref="P19:P30" si="14">O19-J19</f>
        <v>65750</v>
      </c>
      <c r="Q19" s="10">
        <f>P19</f>
        <v>65750</v>
      </c>
      <c r="R19" s="115">
        <f>'Input Data (Review)'!$C$96/100/12</f>
        <v>3.7499999999999999E-3</v>
      </c>
      <c r="S19" s="105"/>
      <c r="T19" s="143">
        <f>$P$18*R19</f>
        <v>-1128.75</v>
      </c>
      <c r="U19" s="10"/>
    </row>
    <row r="20" spans="2:26" x14ac:dyDescent="0.25">
      <c r="B20" s="196"/>
      <c r="C20" s="100" t="s">
        <v>86</v>
      </c>
      <c r="D20" s="117">
        <f>'Input Data (Review)'!U55</f>
        <v>38181222.777500004</v>
      </c>
      <c r="F20" s="162" t="s">
        <v>133</v>
      </c>
      <c r="G20" s="100" t="s">
        <v>1</v>
      </c>
      <c r="H20" s="113">
        <f>'Input Data (Review)'!K23</f>
        <v>17000000</v>
      </c>
      <c r="I20" s="169">
        <f>I19</f>
        <v>-7.0000000000000001E-3</v>
      </c>
      <c r="J20" s="57">
        <f t="shared" si="10"/>
        <v>-119000</v>
      </c>
      <c r="K20" s="112">
        <f>'Input Data (Review)'!AC6</f>
        <v>115500</v>
      </c>
      <c r="L20" s="10">
        <f t="shared" si="11"/>
        <v>-57750</v>
      </c>
      <c r="M20" s="10">
        <f t="shared" si="12"/>
        <v>-57750</v>
      </c>
      <c r="N20" s="10"/>
      <c r="O20" s="40">
        <f>M20+N20</f>
        <v>-57750</v>
      </c>
      <c r="P20" s="59">
        <f t="shared" si="14"/>
        <v>61250</v>
      </c>
      <c r="Q20" s="10">
        <f t="shared" ref="Q20:Q30" si="15">P20+Q19</f>
        <v>127000</v>
      </c>
      <c r="R20" s="115">
        <f>'Input Data (Review)'!$C$96/100/12</f>
        <v>3.7499999999999999E-3</v>
      </c>
      <c r="S20" s="105">
        <f>Q19*R20</f>
        <v>246.5625</v>
      </c>
      <c r="T20" s="143">
        <f t="shared" ref="T20:T30" si="16">$P$18*R20</f>
        <v>-1128.75</v>
      </c>
      <c r="U20" s="10"/>
      <c r="V20" s="198" t="s">
        <v>99</v>
      </c>
      <c r="W20" s="16"/>
      <c r="X20" s="16"/>
      <c r="Y20" s="17"/>
    </row>
    <row r="21" spans="2:26" x14ac:dyDescent="0.25">
      <c r="B21" s="196"/>
      <c r="C21" s="100" t="s">
        <v>113</v>
      </c>
      <c r="D21" s="116">
        <f>'Input Data (Review)'!C65/1000</f>
        <v>0.08</v>
      </c>
      <c r="F21" s="162" t="s">
        <v>94</v>
      </c>
      <c r="G21" s="100" t="s">
        <v>2</v>
      </c>
      <c r="H21" s="113">
        <f>'Input Data (Review)'!K24</f>
        <v>15000000</v>
      </c>
      <c r="I21" s="169">
        <f>I20</f>
        <v>-7.0000000000000001E-3</v>
      </c>
      <c r="J21" s="57">
        <f t="shared" si="10"/>
        <v>-105000</v>
      </c>
      <c r="K21" s="112">
        <f>'Input Data (Review)'!AC7</f>
        <v>231000</v>
      </c>
      <c r="L21" s="10">
        <f t="shared" si="11"/>
        <v>-115500</v>
      </c>
      <c r="M21" s="10">
        <f t="shared" si="12"/>
        <v>-115500</v>
      </c>
      <c r="N21" s="10"/>
      <c r="O21" s="40">
        <f t="shared" si="13"/>
        <v>-115500</v>
      </c>
      <c r="P21" s="59">
        <f>O21-J21</f>
        <v>-10500</v>
      </c>
      <c r="Q21" s="10">
        <f t="shared" si="15"/>
        <v>116500</v>
      </c>
      <c r="R21" s="115">
        <f>'Input Data (Review)'!$C$96/100/12</f>
        <v>3.7499999999999999E-3</v>
      </c>
      <c r="S21" s="105">
        <f t="shared" ref="S21:S30" si="17">Q20*R21</f>
        <v>476.25</v>
      </c>
      <c r="T21" s="143">
        <f t="shared" si="16"/>
        <v>-1128.75</v>
      </c>
      <c r="U21" s="10"/>
      <c r="V21" s="199"/>
      <c r="W21" t="s">
        <v>15</v>
      </c>
      <c r="Y21" s="40">
        <f>K31</f>
        <v>3110250</v>
      </c>
      <c r="Z21" t="s">
        <v>110</v>
      </c>
    </row>
    <row r="22" spans="2:26" x14ac:dyDescent="0.25">
      <c r="B22" s="196"/>
      <c r="C22" s="100" t="s">
        <v>129</v>
      </c>
      <c r="D22" s="4">
        <f>D20*D21</f>
        <v>3054497.8222000003</v>
      </c>
      <c r="G22" s="100" t="s">
        <v>3</v>
      </c>
      <c r="H22" s="113">
        <f>'Input Data (Review)'!K25</f>
        <v>14000000</v>
      </c>
      <c r="I22" s="169">
        <f>I21</f>
        <v>-7.0000000000000001E-3</v>
      </c>
      <c r="J22" s="57">
        <f t="shared" si="10"/>
        <v>-98000</v>
      </c>
      <c r="K22" s="112">
        <f>'Input Data (Review)'!AC8</f>
        <v>346500</v>
      </c>
      <c r="L22" s="10">
        <f t="shared" si="11"/>
        <v>-173250</v>
      </c>
      <c r="M22" s="10">
        <f t="shared" si="12"/>
        <v>-173250</v>
      </c>
      <c r="N22" s="10"/>
      <c r="O22" s="40">
        <f t="shared" si="13"/>
        <v>-173250</v>
      </c>
      <c r="P22" s="59">
        <f t="shared" si="14"/>
        <v>-75250</v>
      </c>
      <c r="Q22" s="10">
        <f t="shared" si="15"/>
        <v>41250</v>
      </c>
      <c r="R22" s="115">
        <f>'Input Data (Review)'!$C$97/100/12</f>
        <v>3.7499999999999999E-3</v>
      </c>
      <c r="S22" s="105">
        <f t="shared" si="17"/>
        <v>436.875</v>
      </c>
      <c r="T22" s="143">
        <f t="shared" si="16"/>
        <v>-1128.75</v>
      </c>
      <c r="U22" s="10"/>
      <c r="V22" s="199"/>
      <c r="W22" t="s">
        <v>98</v>
      </c>
      <c r="Y22" s="40">
        <f>L31</f>
        <v>-1555125</v>
      </c>
      <c r="Z22" t="s">
        <v>32</v>
      </c>
    </row>
    <row r="23" spans="2:26" x14ac:dyDescent="0.25">
      <c r="B23" s="196"/>
      <c r="C23" s="100" t="s">
        <v>130</v>
      </c>
      <c r="E23" s="4">
        <f>D22/2</f>
        <v>1527248.9111000001</v>
      </c>
      <c r="F23" s="162" t="s">
        <v>143</v>
      </c>
      <c r="G23" s="100" t="s">
        <v>4</v>
      </c>
      <c r="H23" s="113">
        <f>'Input Data (Review)'!K26</f>
        <v>14000000</v>
      </c>
      <c r="I23" s="169">
        <f>E30</f>
        <v>-1.26E-2</v>
      </c>
      <c r="J23" s="57">
        <f t="shared" si="10"/>
        <v>-176400</v>
      </c>
      <c r="K23" s="112">
        <f>'Input Data (Review)'!AC9</f>
        <v>387750</v>
      </c>
      <c r="L23" s="10">
        <f t="shared" si="11"/>
        <v>-193875</v>
      </c>
      <c r="M23" s="10">
        <f t="shared" si="12"/>
        <v>-193875</v>
      </c>
      <c r="N23" s="10">
        <f>($E$26)/12</f>
        <v>62527.825348812505</v>
      </c>
      <c r="O23" s="40">
        <f t="shared" si="13"/>
        <v>-131347.1746511875</v>
      </c>
      <c r="P23" s="59">
        <f>O23-J23</f>
        <v>45052.825348812505</v>
      </c>
      <c r="Q23" s="10">
        <f t="shared" si="15"/>
        <v>86302.825348812505</v>
      </c>
      <c r="R23" s="115">
        <f>'Input Data (Review)'!$C$97/100/12</f>
        <v>3.7499999999999999E-3</v>
      </c>
      <c r="S23" s="105">
        <f t="shared" si="17"/>
        <v>154.6875</v>
      </c>
      <c r="T23" s="143">
        <f t="shared" si="16"/>
        <v>-1128.75</v>
      </c>
      <c r="U23" s="10"/>
      <c r="V23" s="199"/>
      <c r="W23" t="s">
        <v>70</v>
      </c>
      <c r="X23" s="10">
        <f>M31</f>
        <v>-1555125</v>
      </c>
      <c r="Y23" s="19"/>
      <c r="Z23" t="s">
        <v>111</v>
      </c>
    </row>
    <row r="24" spans="2:26" x14ac:dyDescent="0.25">
      <c r="B24" s="196"/>
      <c r="C24" s="100" t="s">
        <v>115</v>
      </c>
      <c r="E24" s="4"/>
      <c r="F24" s="162" t="s">
        <v>145</v>
      </c>
      <c r="G24" s="100" t="s">
        <v>5</v>
      </c>
      <c r="H24" s="113">
        <f>'Input Data (Review)'!K27</f>
        <v>14000000</v>
      </c>
      <c r="I24" s="169">
        <f>I23</f>
        <v>-1.26E-2</v>
      </c>
      <c r="J24" s="57">
        <f t="shared" si="10"/>
        <v>-176400</v>
      </c>
      <c r="K24" s="112">
        <f>'Input Data (Review)'!AC10</f>
        <v>264000</v>
      </c>
      <c r="L24" s="10">
        <f t="shared" si="11"/>
        <v>-132000</v>
      </c>
      <c r="M24" s="10">
        <f t="shared" si="12"/>
        <v>-132000</v>
      </c>
      <c r="N24" s="10">
        <f>($E$26)/12</f>
        <v>62527.825348812505</v>
      </c>
      <c r="O24" s="40">
        <f t="shared" si="13"/>
        <v>-69472.174651187495</v>
      </c>
      <c r="P24" s="59">
        <f t="shared" si="14"/>
        <v>106927.8253488125</v>
      </c>
      <c r="Q24" s="10">
        <f t="shared" si="15"/>
        <v>193230.65069762501</v>
      </c>
      <c r="R24" s="115">
        <f>'Input Data (Review)'!$C$97/100/12</f>
        <v>3.7499999999999999E-3</v>
      </c>
      <c r="S24" s="105">
        <f t="shared" si="17"/>
        <v>323.63559505804687</v>
      </c>
      <c r="T24" s="143">
        <f t="shared" si="16"/>
        <v>-1128.75</v>
      </c>
      <c r="U24" s="10"/>
      <c r="V24" s="199"/>
      <c r="W24" t="s">
        <v>71</v>
      </c>
      <c r="X24" s="36">
        <f>N31</f>
        <v>500222.60279050004</v>
      </c>
      <c r="Y24" s="19"/>
      <c r="Z24" t="s">
        <v>175</v>
      </c>
    </row>
    <row r="25" spans="2:26" x14ac:dyDescent="0.25">
      <c r="B25" s="196"/>
      <c r="C25" s="100" t="s">
        <v>116</v>
      </c>
      <c r="E25" s="4"/>
      <c r="F25" s="162" t="str">
        <f>F24</f>
        <v>(No variance in this year)</v>
      </c>
      <c r="G25" s="100" t="s">
        <v>6</v>
      </c>
      <c r="H25" s="113">
        <f>'Input Data (Review)'!K28</f>
        <v>17000000</v>
      </c>
      <c r="I25" s="169">
        <f t="shared" ref="I25:I30" si="18">I24</f>
        <v>-1.26E-2</v>
      </c>
      <c r="J25" s="57">
        <f t="shared" si="10"/>
        <v>-214200</v>
      </c>
      <c r="K25" s="112">
        <f>'Input Data (Review)'!AC11</f>
        <v>354750</v>
      </c>
      <c r="L25" s="10">
        <f t="shared" si="11"/>
        <v>-177375</v>
      </c>
      <c r="M25" s="10">
        <f t="shared" si="12"/>
        <v>-177375</v>
      </c>
      <c r="N25" s="10">
        <f t="shared" ref="N23:N35" si="19">($E$26)/12</f>
        <v>62527.825348812505</v>
      </c>
      <c r="O25" s="40">
        <f t="shared" si="13"/>
        <v>-114847.1746511875</v>
      </c>
      <c r="P25" s="59">
        <f t="shared" si="14"/>
        <v>99352.825348812505</v>
      </c>
      <c r="Q25" s="10">
        <f t="shared" si="15"/>
        <v>292583.47604643751</v>
      </c>
      <c r="R25" s="115">
        <f>'Input Data (Review)'!$C$98/100/12</f>
        <v>3.7499999999999999E-3</v>
      </c>
      <c r="S25" s="105">
        <f t="shared" si="17"/>
        <v>724.61494011609375</v>
      </c>
      <c r="T25" s="143">
        <f t="shared" si="16"/>
        <v>-1128.75</v>
      </c>
      <c r="U25" s="10"/>
      <c r="V25" s="199"/>
      <c r="W25" t="s">
        <v>33</v>
      </c>
      <c r="Y25" s="40">
        <f>X24+X23</f>
        <v>-1054902.3972095</v>
      </c>
      <c r="Z25" t="s">
        <v>112</v>
      </c>
    </row>
    <row r="26" spans="2:26" x14ac:dyDescent="0.25">
      <c r="B26" s="196"/>
      <c r="C26" s="141" t="s">
        <v>126</v>
      </c>
      <c r="E26" s="4">
        <f>-'2023-24 Overcollection (Rev.)'!P9-'2023-24 Overcollection (Rev.)'!P10</f>
        <v>750333.90418575006</v>
      </c>
      <c r="F26" s="162" t="s">
        <v>146</v>
      </c>
      <c r="G26" s="100" t="s">
        <v>7</v>
      </c>
      <c r="H26" s="113">
        <f>'Input Data (Review)'!K29</f>
        <v>15000000</v>
      </c>
      <c r="I26" s="169">
        <f t="shared" si="18"/>
        <v>-1.26E-2</v>
      </c>
      <c r="J26" s="57">
        <f t="shared" si="10"/>
        <v>-189000</v>
      </c>
      <c r="K26" s="112">
        <f>'Input Data (Review)'!AC12</f>
        <v>338250</v>
      </c>
      <c r="L26" s="10">
        <f t="shared" si="11"/>
        <v>-169125</v>
      </c>
      <c r="M26" s="10">
        <f t="shared" si="12"/>
        <v>-169125</v>
      </c>
      <c r="N26" s="10">
        <f t="shared" si="19"/>
        <v>62527.825348812505</v>
      </c>
      <c r="O26" s="40">
        <f t="shared" si="13"/>
        <v>-106597.1746511875</v>
      </c>
      <c r="P26" s="59">
        <f t="shared" si="14"/>
        <v>82402.825348812505</v>
      </c>
      <c r="Q26" s="10">
        <f t="shared" si="15"/>
        <v>374986.30139525002</v>
      </c>
      <c r="R26" s="115">
        <f>'Input Data (Review)'!$C$98/100/12</f>
        <v>3.7499999999999999E-3</v>
      </c>
      <c r="S26" s="105">
        <f>Q25*R26</f>
        <v>1097.1880351741406</v>
      </c>
      <c r="T26" s="143">
        <f t="shared" si="16"/>
        <v>-1128.75</v>
      </c>
      <c r="U26" s="10"/>
      <c r="V26" s="199"/>
      <c r="W26" t="s">
        <v>34</v>
      </c>
      <c r="Y26" s="65">
        <f>J31</f>
        <v>-1961400</v>
      </c>
      <c r="Z26" t="s">
        <v>162</v>
      </c>
    </row>
    <row r="27" spans="2:26" x14ac:dyDescent="0.25">
      <c r="B27" s="196"/>
      <c r="C27" s="61" t="s">
        <v>161</v>
      </c>
      <c r="E27" s="24">
        <f>SUM(E23:E26)</f>
        <v>2277582.8152857502</v>
      </c>
      <c r="G27" s="100" t="s">
        <v>8</v>
      </c>
      <c r="H27" s="113">
        <f>'Input Data (Review)'!K30</f>
        <v>14000000</v>
      </c>
      <c r="I27" s="169">
        <f t="shared" si="18"/>
        <v>-1.26E-2</v>
      </c>
      <c r="J27" s="57">
        <f t="shared" si="10"/>
        <v>-176400</v>
      </c>
      <c r="K27" s="112">
        <f>'Input Data (Review)'!AC13</f>
        <v>305250</v>
      </c>
      <c r="L27" s="10">
        <f t="shared" si="11"/>
        <v>-152625</v>
      </c>
      <c r="M27" s="10">
        <f t="shared" si="12"/>
        <v>-152625</v>
      </c>
      <c r="N27" s="10">
        <f t="shared" si="19"/>
        <v>62527.825348812505</v>
      </c>
      <c r="O27" s="40">
        <f t="shared" si="13"/>
        <v>-90097.174651187495</v>
      </c>
      <c r="P27" s="59">
        <f t="shared" si="14"/>
        <v>86302.825348812505</v>
      </c>
      <c r="Q27" s="10">
        <f t="shared" si="15"/>
        <v>461289.12674406252</v>
      </c>
      <c r="R27" s="115">
        <f>'Input Data (Review)'!$C$98/100/12</f>
        <v>3.7499999999999999E-3</v>
      </c>
      <c r="S27" s="105">
        <f t="shared" si="17"/>
        <v>1406.1986302321875</v>
      </c>
      <c r="T27" s="143">
        <f t="shared" si="16"/>
        <v>-1128.75</v>
      </c>
      <c r="U27" s="10"/>
      <c r="V27" s="199"/>
      <c r="W27" t="s">
        <v>18</v>
      </c>
      <c r="Y27" s="78">
        <f>Y25-Y26</f>
        <v>906497.60279050004</v>
      </c>
      <c r="Z27" t="s">
        <v>209</v>
      </c>
    </row>
    <row r="28" spans="2:26" x14ac:dyDescent="0.25">
      <c r="B28" s="196"/>
      <c r="C28" s="18"/>
      <c r="G28" s="100" t="s">
        <v>9</v>
      </c>
      <c r="H28" s="113">
        <f>'Input Data (Review)'!K31</f>
        <v>12000000</v>
      </c>
      <c r="I28" s="169">
        <f t="shared" si="18"/>
        <v>-1.26E-2</v>
      </c>
      <c r="J28" s="57">
        <f t="shared" si="10"/>
        <v>-151200</v>
      </c>
      <c r="K28" s="112">
        <f>'Input Data (Review)'!AC14</f>
        <v>313500</v>
      </c>
      <c r="L28" s="10">
        <f t="shared" si="11"/>
        <v>-156750</v>
      </c>
      <c r="M28" s="10">
        <f t="shared" si="12"/>
        <v>-156750</v>
      </c>
      <c r="N28" s="10">
        <f t="shared" si="19"/>
        <v>62527.825348812505</v>
      </c>
      <c r="O28" s="40">
        <f t="shared" si="13"/>
        <v>-94222.174651187495</v>
      </c>
      <c r="P28" s="59">
        <f t="shared" si="14"/>
        <v>56977.825348812505</v>
      </c>
      <c r="Q28" s="10">
        <f t="shared" si="15"/>
        <v>518266.95209287503</v>
      </c>
      <c r="R28" s="115">
        <f>'Input Data (Review)'!$C$99/100/12</f>
        <v>3.7499999999999999E-3</v>
      </c>
      <c r="S28" s="105">
        <f t="shared" si="17"/>
        <v>1729.8342252902344</v>
      </c>
      <c r="T28" s="143">
        <f t="shared" si="16"/>
        <v>-1128.75</v>
      </c>
      <c r="U28" s="10"/>
      <c r="V28" s="199"/>
      <c r="W28" t="s">
        <v>35</v>
      </c>
      <c r="Y28" s="40">
        <f>S31+T44</f>
        <v>47344.825773245313</v>
      </c>
      <c r="Z28" t="s">
        <v>210</v>
      </c>
    </row>
    <row r="29" spans="2:26" x14ac:dyDescent="0.25">
      <c r="B29" s="196"/>
      <c r="C29" s="18" t="s">
        <v>114</v>
      </c>
      <c r="D29" s="117">
        <f>'Input Data (Review)'!I38</f>
        <v>181380662</v>
      </c>
      <c r="F29" s="162" t="s">
        <v>95</v>
      </c>
      <c r="G29" s="100" t="s">
        <v>10</v>
      </c>
      <c r="H29" s="113">
        <f>'Input Data (Review)'!K32</f>
        <v>14000000</v>
      </c>
      <c r="I29" s="169">
        <f t="shared" si="18"/>
        <v>-1.26E-2</v>
      </c>
      <c r="J29" s="57">
        <f t="shared" si="10"/>
        <v>-176400</v>
      </c>
      <c r="K29" s="112">
        <f>'Input Data (Review)'!AC15</f>
        <v>156750</v>
      </c>
      <c r="L29" s="10">
        <f t="shared" si="11"/>
        <v>-78375</v>
      </c>
      <c r="M29" s="10">
        <f t="shared" si="12"/>
        <v>-78375</v>
      </c>
      <c r="N29" s="10">
        <f t="shared" si="19"/>
        <v>62527.825348812505</v>
      </c>
      <c r="O29" s="40">
        <f t="shared" si="13"/>
        <v>-15847.174651187495</v>
      </c>
      <c r="P29" s="59">
        <f t="shared" si="14"/>
        <v>160552.8253488125</v>
      </c>
      <c r="Q29" s="10">
        <f t="shared" si="15"/>
        <v>678819.77744168753</v>
      </c>
      <c r="R29" s="115">
        <f>'Input Data (Review)'!$C$99/100/12</f>
        <v>3.7499999999999999E-3</v>
      </c>
      <c r="S29" s="105">
        <f t="shared" si="17"/>
        <v>1943.5010703482812</v>
      </c>
      <c r="T29" s="143">
        <f t="shared" si="16"/>
        <v>-1128.75</v>
      </c>
      <c r="U29" s="10"/>
      <c r="V29" s="200"/>
      <c r="W29" s="21"/>
      <c r="X29" s="21"/>
      <c r="Y29" s="22"/>
    </row>
    <row r="30" spans="2:26" x14ac:dyDescent="0.25">
      <c r="B30" s="196"/>
      <c r="C30" s="61" t="s">
        <v>165</v>
      </c>
      <c r="E30" s="23">
        <f>IFERROR(ROUND(-E27/D29,4),0)</f>
        <v>-1.26E-2</v>
      </c>
      <c r="G30" s="100" t="s">
        <v>11</v>
      </c>
      <c r="H30" s="113">
        <f>'Input Data (Review)'!K33</f>
        <v>19000000</v>
      </c>
      <c r="I30" s="169">
        <f t="shared" si="18"/>
        <v>-1.26E-2</v>
      </c>
      <c r="J30" s="57">
        <f t="shared" si="10"/>
        <v>-239400</v>
      </c>
      <c r="K30" s="112">
        <f>'Input Data (Review)'!AC16</f>
        <v>148500</v>
      </c>
      <c r="L30" s="10">
        <f t="shared" si="11"/>
        <v>-74250</v>
      </c>
      <c r="M30" s="10">
        <f t="shared" si="12"/>
        <v>-74250</v>
      </c>
      <c r="N30" s="10">
        <f t="shared" si="19"/>
        <v>62527.825348812505</v>
      </c>
      <c r="O30" s="40">
        <f t="shared" si="13"/>
        <v>-11722.174651187495</v>
      </c>
      <c r="P30" s="59">
        <f t="shared" si="14"/>
        <v>227677.8253488125</v>
      </c>
      <c r="Q30" s="10">
        <f t="shared" si="15"/>
        <v>906497.60279050004</v>
      </c>
      <c r="R30" s="115">
        <f>'Input Data (Review)'!$C$99/100/12</f>
        <v>3.7499999999999999E-3</v>
      </c>
      <c r="S30" s="105">
        <f t="shared" si="17"/>
        <v>2545.5741654063281</v>
      </c>
      <c r="T30" s="143">
        <f t="shared" si="16"/>
        <v>-1128.75</v>
      </c>
      <c r="U30" s="10"/>
    </row>
    <row r="31" spans="2:26" ht="15.75" thickBot="1" x14ac:dyDescent="0.3">
      <c r="B31" s="197"/>
      <c r="C31" s="137"/>
      <c r="D31" s="137"/>
      <c r="E31" s="137"/>
      <c r="F31" s="163"/>
      <c r="G31" s="118" t="s">
        <v>14</v>
      </c>
      <c r="H31" s="119">
        <f>SUM(H19:H30)</f>
        <v>185000000</v>
      </c>
      <c r="I31" s="120"/>
      <c r="J31" s="121">
        <f t="shared" ref="J31:P31" si="20">SUM(J19:J30)</f>
        <v>-1961400</v>
      </c>
      <c r="K31" s="122">
        <f t="shared" si="20"/>
        <v>3110250</v>
      </c>
      <c r="L31" s="123">
        <f t="shared" si="20"/>
        <v>-1555125</v>
      </c>
      <c r="M31" s="123">
        <f t="shared" si="20"/>
        <v>-1555125</v>
      </c>
      <c r="N31" s="123">
        <f t="shared" si="20"/>
        <v>500222.60279050004</v>
      </c>
      <c r="O31" s="121">
        <f t="shared" si="20"/>
        <v>-1054902.3972095</v>
      </c>
      <c r="P31" s="122">
        <f>SUM(P19:P30)</f>
        <v>906497.60279050004</v>
      </c>
      <c r="Q31" s="124"/>
      <c r="R31" s="120"/>
      <c r="S31" s="123">
        <f>SUM(S19:S30)</f>
        <v>11084.921661625311</v>
      </c>
      <c r="T31" s="165">
        <f>SUM(T19:T30)</f>
        <v>-13545</v>
      </c>
      <c r="U31" s="11"/>
    </row>
    <row r="32" spans="2:26" x14ac:dyDescent="0.25">
      <c r="B32" s="195">
        <v>2026</v>
      </c>
      <c r="C32" s="136"/>
      <c r="D32" s="136"/>
      <c r="E32" s="136"/>
      <c r="F32" s="164"/>
      <c r="G32" s="100" t="s">
        <v>0</v>
      </c>
      <c r="H32" s="113">
        <f>'Input Data (Review)'!L22</f>
        <v>20000000</v>
      </c>
      <c r="I32" s="169">
        <f>I30</f>
        <v>-1.26E-2</v>
      </c>
      <c r="J32" s="57">
        <f t="shared" ref="J32:J43" si="21">H32*I32</f>
        <v>-252000</v>
      </c>
      <c r="K32" s="112">
        <f>'Input Data (Review)'!AF5</f>
        <v>153000</v>
      </c>
      <c r="L32" s="10">
        <f t="shared" ref="L32:L56" si="22">-K32/2</f>
        <v>-76500</v>
      </c>
      <c r="M32" s="10">
        <f t="shared" ref="M32:M43" si="23">-K32/2</f>
        <v>-76500</v>
      </c>
      <c r="N32" s="10">
        <f>($E$26)/12</f>
        <v>62527.825348812505</v>
      </c>
      <c r="O32" s="40">
        <f t="shared" ref="O32:O43" si="24">M32+N32</f>
        <v>-13972.174651187495</v>
      </c>
      <c r="P32" s="59">
        <f t="shared" ref="P32:P43" si="25">O32-J32</f>
        <v>238027.8253488125</v>
      </c>
      <c r="Q32" s="10">
        <f>P32</f>
        <v>238027.8253488125</v>
      </c>
      <c r="R32" s="115">
        <f>'Input Data (Review)'!$C$100/100/12</f>
        <v>3.3333333333333335E-3</v>
      </c>
      <c r="S32" s="105"/>
      <c r="T32" s="143">
        <f>$P$31*R32</f>
        <v>3021.6586759683337</v>
      </c>
      <c r="U32" s="10"/>
    </row>
    <row r="33" spans="2:26" x14ac:dyDescent="0.25">
      <c r="B33" s="196"/>
      <c r="C33" s="100" t="s">
        <v>86</v>
      </c>
      <c r="D33" s="117">
        <f>'Input Data (Review)'!V55</f>
        <v>37667075.277500004</v>
      </c>
      <c r="F33" s="162" t="s">
        <v>134</v>
      </c>
      <c r="G33" s="100" t="s">
        <v>1</v>
      </c>
      <c r="H33" s="113">
        <f>'Input Data (Review)'!L23</f>
        <v>15000000</v>
      </c>
      <c r="I33" s="169">
        <f>I32</f>
        <v>-1.26E-2</v>
      </c>
      <c r="J33" s="57">
        <f t="shared" si="21"/>
        <v>-189000</v>
      </c>
      <c r="K33" s="112">
        <f>'Input Data (Review)'!AF6</f>
        <v>119000.00000000001</v>
      </c>
      <c r="L33" s="10">
        <f t="shared" si="22"/>
        <v>-59500.000000000007</v>
      </c>
      <c r="M33" s="10">
        <f t="shared" si="23"/>
        <v>-59500.000000000007</v>
      </c>
      <c r="N33" s="10">
        <f t="shared" si="19"/>
        <v>62527.825348812505</v>
      </c>
      <c r="O33" s="40">
        <f t="shared" si="24"/>
        <v>3027.8253488124974</v>
      </c>
      <c r="P33" s="59">
        <f t="shared" si="25"/>
        <v>192027.8253488125</v>
      </c>
      <c r="Q33" s="10">
        <f t="shared" ref="Q33:Q43" si="26">P33+Q32</f>
        <v>430055.65069762501</v>
      </c>
      <c r="R33" s="115">
        <f>'Input Data (Review)'!$C$100/100/12</f>
        <v>3.3333333333333335E-3</v>
      </c>
      <c r="S33" s="105">
        <f>Q32*R33</f>
        <v>793.42608449604177</v>
      </c>
      <c r="T33" s="143">
        <f t="shared" ref="T33:T43" si="27">$P$31*R33</f>
        <v>3021.6586759683337</v>
      </c>
      <c r="U33" s="10"/>
      <c r="V33" s="198" t="s">
        <v>99</v>
      </c>
      <c r="W33" s="16"/>
      <c r="X33" s="16"/>
      <c r="Y33" s="17"/>
    </row>
    <row r="34" spans="2:26" x14ac:dyDescent="0.25">
      <c r="B34" s="196"/>
      <c r="C34" s="100" t="s">
        <v>113</v>
      </c>
      <c r="D34" s="116">
        <f>'Input Data (Review)'!C66/1000</f>
        <v>0.09</v>
      </c>
      <c r="F34" s="162" t="s">
        <v>94</v>
      </c>
      <c r="G34" s="100" t="s">
        <v>2</v>
      </c>
      <c r="H34" s="113">
        <f>'Input Data (Review)'!L24</f>
        <v>16000000</v>
      </c>
      <c r="I34" s="169">
        <f>I33</f>
        <v>-1.26E-2</v>
      </c>
      <c r="J34" s="57">
        <f t="shared" si="21"/>
        <v>-201600</v>
      </c>
      <c r="K34" s="112">
        <f>'Input Data (Review)'!AF7</f>
        <v>246500.00000000003</v>
      </c>
      <c r="L34" s="10">
        <f t="shared" si="22"/>
        <v>-123250.00000000001</v>
      </c>
      <c r="M34" s="10">
        <f t="shared" si="23"/>
        <v>-123250.00000000001</v>
      </c>
      <c r="N34" s="10">
        <f t="shared" si="19"/>
        <v>62527.825348812505</v>
      </c>
      <c r="O34" s="40">
        <f t="shared" si="24"/>
        <v>-60722.17465118751</v>
      </c>
      <c r="P34" s="59">
        <f t="shared" si="25"/>
        <v>140877.8253488125</v>
      </c>
      <c r="Q34" s="10">
        <f t="shared" si="26"/>
        <v>570933.47604643751</v>
      </c>
      <c r="R34" s="115">
        <f>'Input Data (Review)'!$C$100/100/12</f>
        <v>3.3333333333333335E-3</v>
      </c>
      <c r="S34" s="105">
        <f t="shared" ref="S34:S43" si="28">Q33*R34</f>
        <v>1433.51883565875</v>
      </c>
      <c r="T34" s="143">
        <f t="shared" si="27"/>
        <v>3021.6586759683337</v>
      </c>
      <c r="U34" s="10"/>
      <c r="V34" s="199"/>
      <c r="W34" t="s">
        <v>15</v>
      </c>
      <c r="Y34" s="40">
        <f>K44</f>
        <v>3204500</v>
      </c>
      <c r="Z34" t="s">
        <v>110</v>
      </c>
    </row>
    <row r="35" spans="2:26" x14ac:dyDescent="0.25">
      <c r="B35" s="196"/>
      <c r="C35" s="100" t="s">
        <v>129</v>
      </c>
      <c r="D35" s="4">
        <f>D33*D34</f>
        <v>3390036.7749750004</v>
      </c>
      <c r="G35" s="100" t="s">
        <v>3</v>
      </c>
      <c r="H35" s="113">
        <f>'Input Data (Review)'!L25</f>
        <v>16000000</v>
      </c>
      <c r="I35" s="169">
        <f>I34</f>
        <v>-1.26E-2</v>
      </c>
      <c r="J35" s="57">
        <f t="shared" si="21"/>
        <v>-201600</v>
      </c>
      <c r="K35" s="112">
        <f>'Input Data (Review)'!AF8</f>
        <v>357000</v>
      </c>
      <c r="L35" s="10">
        <f t="shared" si="22"/>
        <v>-178500</v>
      </c>
      <c r="M35" s="10">
        <f t="shared" si="23"/>
        <v>-178500</v>
      </c>
      <c r="N35" s="10">
        <f t="shared" si="19"/>
        <v>62527.825348812505</v>
      </c>
      <c r="O35" s="40">
        <f t="shared" si="24"/>
        <v>-115972.1746511875</v>
      </c>
      <c r="P35" s="59">
        <f t="shared" si="25"/>
        <v>85627.825348812505</v>
      </c>
      <c r="Q35" s="10">
        <f t="shared" si="26"/>
        <v>656561.30139525002</v>
      </c>
      <c r="R35" s="115">
        <f>'Input Data (Review)'!$C$101/100/12</f>
        <v>3.3333333333333335E-3</v>
      </c>
      <c r="S35" s="105">
        <f t="shared" si="28"/>
        <v>1903.1115868214586</v>
      </c>
      <c r="T35" s="143">
        <f t="shared" si="27"/>
        <v>3021.6586759683337</v>
      </c>
      <c r="U35" s="10"/>
      <c r="V35" s="199"/>
      <c r="W35" t="s">
        <v>98</v>
      </c>
      <c r="Y35" s="40">
        <f>L44</f>
        <v>-1602250</v>
      </c>
      <c r="Z35" t="s">
        <v>32</v>
      </c>
    </row>
    <row r="36" spans="2:26" x14ac:dyDescent="0.25">
      <c r="B36" s="196"/>
      <c r="C36" s="100" t="s">
        <v>130</v>
      </c>
      <c r="E36" s="4">
        <f>D35/2</f>
        <v>1695018.3874875002</v>
      </c>
      <c r="F36" s="162" t="s">
        <v>143</v>
      </c>
      <c r="G36" s="100" t="s">
        <v>4</v>
      </c>
      <c r="H36" s="113">
        <f>'Input Data (Review)'!L26</f>
        <v>11000000</v>
      </c>
      <c r="I36" s="169">
        <f>E43</f>
        <v>-0.01</v>
      </c>
      <c r="J36" s="57">
        <f t="shared" si="21"/>
        <v>-110000</v>
      </c>
      <c r="K36" s="112">
        <f>'Input Data (Review)'!AF9</f>
        <v>425000.00000000006</v>
      </c>
      <c r="L36" s="10">
        <f t="shared" si="22"/>
        <v>-212500.00000000003</v>
      </c>
      <c r="M36" s="10">
        <f t="shared" si="23"/>
        <v>-212500.00000000003</v>
      </c>
      <c r="N36" s="10">
        <f>($E$37+$E$38+$E$39)/12</f>
        <v>9669.7916666666661</v>
      </c>
      <c r="O36" s="40">
        <f t="shared" si="24"/>
        <v>-202830.20833333337</v>
      </c>
      <c r="P36" s="59">
        <f t="shared" si="25"/>
        <v>-92830.208333333372</v>
      </c>
      <c r="Q36" s="10">
        <f t="shared" si="26"/>
        <v>563731.09306191665</v>
      </c>
      <c r="R36" s="115">
        <f>'Input Data (Review)'!$C$101/100/12</f>
        <v>3.3333333333333335E-3</v>
      </c>
      <c r="S36" s="105">
        <f t="shared" si="28"/>
        <v>2188.5376713175001</v>
      </c>
      <c r="T36" s="143">
        <f t="shared" si="27"/>
        <v>3021.6586759683337</v>
      </c>
      <c r="U36" s="10"/>
      <c r="V36" s="199"/>
      <c r="W36" t="s">
        <v>70</v>
      </c>
      <c r="X36" s="10">
        <f>M44</f>
        <v>-1602250</v>
      </c>
      <c r="Y36" s="19"/>
      <c r="Z36" t="s">
        <v>111</v>
      </c>
    </row>
    <row r="37" spans="2:26" x14ac:dyDescent="0.25">
      <c r="B37" s="196"/>
      <c r="C37" s="100" t="s">
        <v>115</v>
      </c>
      <c r="E37" s="4">
        <f>Y14</f>
        <v>-301000</v>
      </c>
      <c r="F37" s="162" t="s">
        <v>154</v>
      </c>
      <c r="G37" s="100" t="s">
        <v>5</v>
      </c>
      <c r="H37" s="113">
        <f>'Input Data (Review)'!L27</f>
        <v>15000000</v>
      </c>
      <c r="I37" s="169">
        <f>I36</f>
        <v>-0.01</v>
      </c>
      <c r="J37" s="57">
        <f t="shared" si="21"/>
        <v>-150000</v>
      </c>
      <c r="K37" s="112">
        <f>'Input Data (Review)'!AF10</f>
        <v>314500</v>
      </c>
      <c r="L37" s="10">
        <f t="shared" si="22"/>
        <v>-157250</v>
      </c>
      <c r="M37" s="10">
        <f t="shared" si="23"/>
        <v>-157250</v>
      </c>
      <c r="N37" s="10">
        <f t="shared" ref="N37:N49" si="29">($E$37+$E$38+$E$39)/12</f>
        <v>9669.7916666666661</v>
      </c>
      <c r="O37" s="40">
        <f t="shared" si="24"/>
        <v>-147580.20833333334</v>
      </c>
      <c r="P37" s="59">
        <f t="shared" si="25"/>
        <v>2419.791666666657</v>
      </c>
      <c r="Q37" s="10">
        <f t="shared" si="26"/>
        <v>566150.88472858327</v>
      </c>
      <c r="R37" s="115">
        <f>'Input Data (Review)'!$C$101/100/12</f>
        <v>3.3333333333333335E-3</v>
      </c>
      <c r="S37" s="105">
        <f t="shared" si="28"/>
        <v>1879.1036435397223</v>
      </c>
      <c r="T37" s="143">
        <f t="shared" si="27"/>
        <v>3021.6586759683337</v>
      </c>
      <c r="U37" s="10"/>
      <c r="V37" s="199"/>
      <c r="W37" t="s">
        <v>71</v>
      </c>
      <c r="X37" s="36">
        <f>N44</f>
        <v>327469.63472858345</v>
      </c>
      <c r="Y37" s="19"/>
      <c r="Z37" t="s">
        <v>175</v>
      </c>
    </row>
    <row r="38" spans="2:26" x14ac:dyDescent="0.25">
      <c r="B38" s="196"/>
      <c r="C38" s="100" t="s">
        <v>116</v>
      </c>
      <c r="E38" s="4">
        <f>Y15</f>
        <v>-20540.833333333332</v>
      </c>
      <c r="F38" s="162" t="s">
        <v>155</v>
      </c>
      <c r="G38" s="100" t="s">
        <v>6</v>
      </c>
      <c r="H38" s="113">
        <f>'Input Data (Review)'!L28</f>
        <v>17000000</v>
      </c>
      <c r="I38" s="169">
        <f t="shared" ref="I38:I43" si="30">I37</f>
        <v>-0.01</v>
      </c>
      <c r="J38" s="57">
        <f t="shared" si="21"/>
        <v>-170000</v>
      </c>
      <c r="K38" s="112">
        <f>'Input Data (Review)'!AF11</f>
        <v>374000</v>
      </c>
      <c r="L38" s="10">
        <f t="shared" si="22"/>
        <v>-187000</v>
      </c>
      <c r="M38" s="10">
        <f t="shared" si="23"/>
        <v>-187000</v>
      </c>
      <c r="N38" s="10">
        <f t="shared" si="29"/>
        <v>9669.7916666666661</v>
      </c>
      <c r="O38" s="40">
        <f t="shared" si="24"/>
        <v>-177330.20833333334</v>
      </c>
      <c r="P38" s="59">
        <f t="shared" si="25"/>
        <v>-7330.208333333343</v>
      </c>
      <c r="Q38" s="10">
        <f t="shared" si="26"/>
        <v>558820.6763952499</v>
      </c>
      <c r="R38" s="115">
        <f>'Input Data (Review)'!$C$102/100/12</f>
        <v>3.3333333333333335E-3</v>
      </c>
      <c r="S38" s="105">
        <f t="shared" si="28"/>
        <v>1887.1696157619444</v>
      </c>
      <c r="T38" s="143">
        <f t="shared" si="27"/>
        <v>3021.6586759683337</v>
      </c>
      <c r="U38" s="10"/>
      <c r="V38" s="199"/>
      <c r="W38" t="s">
        <v>33</v>
      </c>
      <c r="Y38" s="40">
        <f>X37+X36</f>
        <v>-1274780.3652714165</v>
      </c>
      <c r="Z38" t="s">
        <v>112</v>
      </c>
    </row>
    <row r="39" spans="2:26" x14ac:dyDescent="0.25">
      <c r="B39" s="196"/>
      <c r="C39" s="141" t="s">
        <v>127</v>
      </c>
      <c r="E39" s="4">
        <f>-'2023-24 Overcollection (Rev.)'!P22-'2023-24 Overcollection (Rev.)'!P23</f>
        <v>437578.33333333331</v>
      </c>
      <c r="F39" s="162" t="s">
        <v>147</v>
      </c>
      <c r="G39" s="100" t="s">
        <v>7</v>
      </c>
      <c r="H39" s="113">
        <f>'Input Data (Review)'!L29</f>
        <v>14000000</v>
      </c>
      <c r="I39" s="169">
        <f t="shared" si="30"/>
        <v>-0.01</v>
      </c>
      <c r="J39" s="57">
        <f t="shared" si="21"/>
        <v>-140000</v>
      </c>
      <c r="K39" s="112">
        <f>'Input Data (Review)'!AF12</f>
        <v>340000</v>
      </c>
      <c r="L39" s="10">
        <f t="shared" si="22"/>
        <v>-170000</v>
      </c>
      <c r="M39" s="10">
        <f t="shared" si="23"/>
        <v>-170000</v>
      </c>
      <c r="N39" s="10">
        <f t="shared" si="29"/>
        <v>9669.7916666666661</v>
      </c>
      <c r="O39" s="40">
        <f t="shared" si="24"/>
        <v>-160330.20833333334</v>
      </c>
      <c r="P39" s="59">
        <f t="shared" si="25"/>
        <v>-20330.208333333343</v>
      </c>
      <c r="Q39" s="10">
        <f t="shared" si="26"/>
        <v>538490.46806191653</v>
      </c>
      <c r="R39" s="115">
        <f>'Input Data (Review)'!$C$102/100/12</f>
        <v>3.3333333333333335E-3</v>
      </c>
      <c r="S39" s="105">
        <f t="shared" si="28"/>
        <v>1862.7355879841664</v>
      </c>
      <c r="T39" s="143">
        <f t="shared" si="27"/>
        <v>3021.6586759683337</v>
      </c>
      <c r="U39" s="10"/>
      <c r="V39" s="199"/>
      <c r="W39" t="s">
        <v>34</v>
      </c>
      <c r="Y39" s="65">
        <f>J44</f>
        <v>-2004200</v>
      </c>
      <c r="Z39" t="s">
        <v>162</v>
      </c>
    </row>
    <row r="40" spans="2:26" x14ac:dyDescent="0.25">
      <c r="B40" s="196"/>
      <c r="C40" s="61" t="s">
        <v>161</v>
      </c>
      <c r="E40" s="24">
        <f>SUM(E36:E39)</f>
        <v>1811055.8874875002</v>
      </c>
      <c r="G40" s="100" t="s">
        <v>8</v>
      </c>
      <c r="H40" s="113">
        <f>'Input Data (Review)'!L30</f>
        <v>11000000</v>
      </c>
      <c r="I40" s="169">
        <f t="shared" si="30"/>
        <v>-0.01</v>
      </c>
      <c r="J40" s="57">
        <f t="shared" si="21"/>
        <v>-110000</v>
      </c>
      <c r="K40" s="112">
        <f>'Input Data (Review)'!AF13</f>
        <v>340000</v>
      </c>
      <c r="L40" s="10">
        <f t="shared" si="22"/>
        <v>-170000</v>
      </c>
      <c r="M40" s="10">
        <f t="shared" si="23"/>
        <v>-170000</v>
      </c>
      <c r="N40" s="10">
        <f t="shared" si="29"/>
        <v>9669.7916666666661</v>
      </c>
      <c r="O40" s="40">
        <f t="shared" si="24"/>
        <v>-160330.20833333334</v>
      </c>
      <c r="P40" s="59">
        <f t="shared" si="25"/>
        <v>-50330.208333333343</v>
      </c>
      <c r="Q40" s="10">
        <f t="shared" si="26"/>
        <v>488160.25972858316</v>
      </c>
      <c r="R40" s="115">
        <f>'Input Data (Review)'!$C$102/100/12</f>
        <v>3.3333333333333335E-3</v>
      </c>
      <c r="S40" s="105">
        <f t="shared" si="28"/>
        <v>1794.9682268730553</v>
      </c>
      <c r="T40" s="143">
        <f t="shared" si="27"/>
        <v>3021.6586759683337</v>
      </c>
      <c r="U40" s="10"/>
      <c r="V40" s="199"/>
      <c r="W40" t="s">
        <v>18</v>
      </c>
      <c r="Y40" s="78">
        <f>Y38-Y39</f>
        <v>729419.63472858351</v>
      </c>
      <c r="Z40" t="s">
        <v>211</v>
      </c>
    </row>
    <row r="41" spans="2:26" x14ac:dyDescent="0.25">
      <c r="B41" s="196"/>
      <c r="C41" s="18"/>
      <c r="G41" s="100" t="s">
        <v>9</v>
      </c>
      <c r="H41" s="113">
        <f>'Input Data (Review)'!L31</f>
        <v>15000000</v>
      </c>
      <c r="I41" s="169">
        <f t="shared" si="30"/>
        <v>-0.01</v>
      </c>
      <c r="J41" s="57">
        <f t="shared" si="21"/>
        <v>-150000</v>
      </c>
      <c r="K41" s="112">
        <f>'Input Data (Review)'!AF14</f>
        <v>280500</v>
      </c>
      <c r="L41" s="10">
        <f t="shared" si="22"/>
        <v>-140250</v>
      </c>
      <c r="M41" s="10">
        <f t="shared" si="23"/>
        <v>-140250</v>
      </c>
      <c r="N41" s="10">
        <f t="shared" si="29"/>
        <v>9669.7916666666661</v>
      </c>
      <c r="O41" s="40">
        <f t="shared" si="24"/>
        <v>-130580.20833333333</v>
      </c>
      <c r="P41" s="59">
        <f t="shared" si="25"/>
        <v>19419.791666666672</v>
      </c>
      <c r="Q41" s="10">
        <f t="shared" si="26"/>
        <v>507580.05139524984</v>
      </c>
      <c r="R41" s="115">
        <f>'Input Data (Review)'!$C$103/100/12</f>
        <v>3.3333333333333335E-3</v>
      </c>
      <c r="S41" s="105">
        <f t="shared" si="28"/>
        <v>1627.200865761944</v>
      </c>
      <c r="T41" s="143">
        <f t="shared" si="27"/>
        <v>3021.6586759683337</v>
      </c>
      <c r="U41" s="10"/>
      <c r="V41" s="199"/>
      <c r="W41" t="s">
        <v>35</v>
      </c>
      <c r="Y41" s="40">
        <f>S44+T57</f>
        <v>46493.274735393672</v>
      </c>
      <c r="Z41" t="s">
        <v>212</v>
      </c>
    </row>
    <row r="42" spans="2:26" x14ac:dyDescent="0.25">
      <c r="B42" s="196"/>
      <c r="C42" s="18" t="s">
        <v>114</v>
      </c>
      <c r="D42" s="117">
        <f>'Input Data (Review)'!J38</f>
        <v>181000000</v>
      </c>
      <c r="F42" s="162" t="s">
        <v>222</v>
      </c>
      <c r="G42" s="100" t="s">
        <v>10</v>
      </c>
      <c r="H42" s="113">
        <f>'Input Data (Review)'!L32</f>
        <v>17000000</v>
      </c>
      <c r="I42" s="169">
        <f t="shared" si="30"/>
        <v>-0.01</v>
      </c>
      <c r="J42" s="57">
        <f t="shared" si="21"/>
        <v>-170000</v>
      </c>
      <c r="K42" s="112">
        <f>'Input Data (Review)'!AF15</f>
        <v>127500.00000000001</v>
      </c>
      <c r="L42" s="10">
        <f t="shared" si="22"/>
        <v>-63750.000000000007</v>
      </c>
      <c r="M42" s="10">
        <f t="shared" si="23"/>
        <v>-63750.000000000007</v>
      </c>
      <c r="N42" s="10">
        <f t="shared" si="29"/>
        <v>9669.7916666666661</v>
      </c>
      <c r="O42" s="40">
        <f t="shared" si="24"/>
        <v>-54080.208333333343</v>
      </c>
      <c r="P42" s="59">
        <f t="shared" si="25"/>
        <v>115919.79166666666</v>
      </c>
      <c r="Q42" s="10">
        <f t="shared" si="26"/>
        <v>623499.84306191653</v>
      </c>
      <c r="R42" s="115">
        <f>'Input Data (Review)'!$C$103/100/12</f>
        <v>3.3333333333333335E-3</v>
      </c>
      <c r="S42" s="105">
        <f t="shared" si="28"/>
        <v>1691.9335046508329</v>
      </c>
      <c r="T42" s="143">
        <f t="shared" si="27"/>
        <v>3021.6586759683337</v>
      </c>
      <c r="U42" s="10"/>
      <c r="V42" s="200"/>
      <c r="W42" s="21"/>
      <c r="X42" s="21"/>
      <c r="Y42" s="22"/>
    </row>
    <row r="43" spans="2:26" x14ac:dyDescent="0.25">
      <c r="B43" s="196"/>
      <c r="C43" s="61" t="s">
        <v>166</v>
      </c>
      <c r="E43" s="23">
        <f>IFERROR(ROUND(-E40/D42,4),0)</f>
        <v>-0.01</v>
      </c>
      <c r="G43" s="100" t="s">
        <v>11</v>
      </c>
      <c r="H43" s="113">
        <f>'Input Data (Review)'!L33</f>
        <v>16000000</v>
      </c>
      <c r="I43" s="169">
        <f t="shared" si="30"/>
        <v>-0.01</v>
      </c>
      <c r="J43" s="57">
        <f t="shared" si="21"/>
        <v>-160000</v>
      </c>
      <c r="K43" s="112">
        <f>'Input Data (Review)'!AF16</f>
        <v>127500.00000000001</v>
      </c>
      <c r="L43" s="10">
        <f t="shared" si="22"/>
        <v>-63750.000000000007</v>
      </c>
      <c r="M43" s="10">
        <f t="shared" si="23"/>
        <v>-63750.000000000007</v>
      </c>
      <c r="N43" s="10">
        <f t="shared" si="29"/>
        <v>9669.7916666666661</v>
      </c>
      <c r="O43" s="40">
        <f t="shared" si="24"/>
        <v>-54080.208333333343</v>
      </c>
      <c r="P43" s="59">
        <f t="shared" si="25"/>
        <v>105919.79166666666</v>
      </c>
      <c r="Q43" s="10">
        <f t="shared" si="26"/>
        <v>729419.63472858316</v>
      </c>
      <c r="R43" s="115">
        <f>'Input Data (Review)'!$C$103/100/12</f>
        <v>3.3333333333333335E-3</v>
      </c>
      <c r="S43" s="105">
        <f t="shared" si="28"/>
        <v>2078.3328102063888</v>
      </c>
      <c r="T43" s="143">
        <f t="shared" si="27"/>
        <v>3021.6586759683337</v>
      </c>
      <c r="U43" s="10"/>
    </row>
    <row r="44" spans="2:26" ht="15.75" thickBot="1" x14ac:dyDescent="0.3">
      <c r="B44" s="197"/>
      <c r="C44" s="137"/>
      <c r="D44" s="137"/>
      <c r="E44" s="137"/>
      <c r="F44" s="163"/>
      <c r="G44" s="118" t="s">
        <v>14</v>
      </c>
      <c r="H44" s="119">
        <f>SUM(H32:H43)</f>
        <v>183000000</v>
      </c>
      <c r="I44" s="120"/>
      <c r="J44" s="121">
        <f t="shared" ref="J44:P44" si="31">SUM(J32:J43)</f>
        <v>-2004200</v>
      </c>
      <c r="K44" s="122">
        <f t="shared" si="31"/>
        <v>3204500</v>
      </c>
      <c r="L44" s="123">
        <f t="shared" si="31"/>
        <v>-1602250</v>
      </c>
      <c r="M44" s="123">
        <f t="shared" si="31"/>
        <v>-1602250</v>
      </c>
      <c r="N44" s="123">
        <f t="shared" si="31"/>
        <v>327469.63472858345</v>
      </c>
      <c r="O44" s="121">
        <f t="shared" si="31"/>
        <v>-1274780.3652714167</v>
      </c>
      <c r="P44" s="122">
        <f t="shared" si="31"/>
        <v>729419.63472858316</v>
      </c>
      <c r="Q44" s="124"/>
      <c r="R44" s="120"/>
      <c r="S44" s="123">
        <f>SUM(S32:S43)</f>
        <v>19140.038433071808</v>
      </c>
      <c r="T44" s="165">
        <f>SUM(T32:T43)</f>
        <v>36259.904111620002</v>
      </c>
      <c r="U44" s="11"/>
    </row>
    <row r="45" spans="2:26" x14ac:dyDescent="0.25">
      <c r="B45" s="195">
        <v>2027</v>
      </c>
      <c r="C45" s="136"/>
      <c r="D45" s="136"/>
      <c r="E45" s="136"/>
      <c r="F45" s="164"/>
      <c r="G45" s="100" t="s">
        <v>0</v>
      </c>
      <c r="H45" s="113">
        <f>'Input Data (Review)'!M22</f>
        <v>18000000</v>
      </c>
      <c r="I45" s="169">
        <f>I43</f>
        <v>-0.01</v>
      </c>
      <c r="J45" s="57">
        <f t="shared" ref="J45:J56" si="32">H45*I45</f>
        <v>-180000</v>
      </c>
      <c r="K45" s="112">
        <f>'Input Data (Review)'!AI5</f>
        <v>166250</v>
      </c>
      <c r="L45" s="10">
        <f t="shared" si="22"/>
        <v>-83125</v>
      </c>
      <c r="M45" s="10">
        <f t="shared" ref="M45:M56" si="33">-K45/2</f>
        <v>-83125</v>
      </c>
      <c r="N45" s="10">
        <f t="shared" si="29"/>
        <v>9669.7916666666661</v>
      </c>
      <c r="O45" s="40">
        <f t="shared" ref="O45:O56" si="34">M45+N45</f>
        <v>-73455.208333333328</v>
      </c>
      <c r="P45" s="59">
        <f t="shared" ref="P45:P56" si="35">O45-J45</f>
        <v>106544.79166666667</v>
      </c>
      <c r="Q45" s="10">
        <f>P45</f>
        <v>106544.79166666667</v>
      </c>
      <c r="R45" s="115">
        <f>'Input Data (Review)'!$C$104/100/12</f>
        <v>3.1249999999999997E-3</v>
      </c>
      <c r="S45" s="105"/>
      <c r="T45" s="143">
        <f>$P$44*R45</f>
        <v>2279.436358526822</v>
      </c>
      <c r="U45" s="10"/>
    </row>
    <row r="46" spans="2:26" x14ac:dyDescent="0.25">
      <c r="B46" s="196"/>
      <c r="C46" s="100" t="s">
        <v>86</v>
      </c>
      <c r="D46" s="117">
        <f>'Input Data (Review)'!W55</f>
        <v>37892285.277500004</v>
      </c>
      <c r="F46" s="162" t="s">
        <v>149</v>
      </c>
      <c r="G46" s="100" t="s">
        <v>1</v>
      </c>
      <c r="H46" s="113">
        <f>'Input Data (Review)'!M23</f>
        <v>16000000</v>
      </c>
      <c r="I46" s="169">
        <f>I45</f>
        <v>-0.01</v>
      </c>
      <c r="J46" s="57">
        <f t="shared" si="32"/>
        <v>-160000</v>
      </c>
      <c r="K46" s="112">
        <f>'Input Data (Review)'!AI6</f>
        <v>131250</v>
      </c>
      <c r="L46" s="10">
        <f t="shared" si="22"/>
        <v>-65625</v>
      </c>
      <c r="M46" s="10">
        <f t="shared" si="33"/>
        <v>-65625</v>
      </c>
      <c r="N46" s="10">
        <f t="shared" si="29"/>
        <v>9669.7916666666661</v>
      </c>
      <c r="O46" s="40">
        <f t="shared" si="34"/>
        <v>-55955.208333333336</v>
      </c>
      <c r="P46" s="59">
        <f t="shared" si="35"/>
        <v>104044.79166666666</v>
      </c>
      <c r="Q46" s="10">
        <f t="shared" ref="Q46:Q56" si="36">P46+Q45</f>
        <v>210589.58333333331</v>
      </c>
      <c r="R46" s="115">
        <f>'Input Data (Review)'!$C$104/100/12</f>
        <v>3.1249999999999997E-3</v>
      </c>
      <c r="S46" s="105">
        <f>Q45*R46</f>
        <v>332.95247395833331</v>
      </c>
      <c r="T46" s="143">
        <f t="shared" ref="T46:T56" si="37">$P$44*R46</f>
        <v>2279.436358526822</v>
      </c>
      <c r="U46" s="10"/>
      <c r="V46" s="198" t="s">
        <v>99</v>
      </c>
      <c r="W46" s="16"/>
      <c r="X46" s="16"/>
      <c r="Y46" s="17"/>
    </row>
    <row r="47" spans="2:26" x14ac:dyDescent="0.25">
      <c r="B47" s="196"/>
      <c r="C47" s="100" t="s">
        <v>113</v>
      </c>
      <c r="D47" s="116">
        <f>'Input Data (Review)'!C67/1000</f>
        <v>0.1</v>
      </c>
      <c r="F47" s="162" t="s">
        <v>150</v>
      </c>
      <c r="G47" s="100" t="s">
        <v>2</v>
      </c>
      <c r="H47" s="113">
        <f>'Input Data (Review)'!M24</f>
        <v>15000000</v>
      </c>
      <c r="I47" s="169">
        <f>I46</f>
        <v>-0.01</v>
      </c>
      <c r="J47" s="57">
        <f t="shared" si="32"/>
        <v>-150000</v>
      </c>
      <c r="K47" s="112">
        <f>'Input Data (Review)'!AI7</f>
        <v>262500</v>
      </c>
      <c r="L47" s="10">
        <f t="shared" si="22"/>
        <v>-131250</v>
      </c>
      <c r="M47" s="10">
        <f t="shared" si="33"/>
        <v>-131250</v>
      </c>
      <c r="N47" s="10">
        <f t="shared" si="29"/>
        <v>9669.7916666666661</v>
      </c>
      <c r="O47" s="40">
        <f t="shared" si="34"/>
        <v>-121580.20833333333</v>
      </c>
      <c r="P47" s="59">
        <f t="shared" si="35"/>
        <v>28419.791666666672</v>
      </c>
      <c r="Q47" s="10">
        <f t="shared" si="36"/>
        <v>239009.375</v>
      </c>
      <c r="R47" s="115">
        <f>'Input Data (Review)'!$C$104/100/12</f>
        <v>3.1249999999999997E-3</v>
      </c>
      <c r="S47" s="105">
        <f t="shared" ref="S47:S56" si="38">Q46*R47</f>
        <v>658.09244791666652</v>
      </c>
      <c r="T47" s="143">
        <f t="shared" si="37"/>
        <v>2279.436358526822</v>
      </c>
      <c r="U47" s="10"/>
      <c r="V47" s="199"/>
      <c r="W47" t="s">
        <v>15</v>
      </c>
      <c r="Y47" s="40">
        <f>K57</f>
        <v>3403750</v>
      </c>
      <c r="Z47" t="s">
        <v>110</v>
      </c>
    </row>
    <row r="48" spans="2:26" x14ac:dyDescent="0.25">
      <c r="B48" s="196"/>
      <c r="C48" s="100" t="s">
        <v>129</v>
      </c>
      <c r="D48" s="4">
        <f>D46*D47</f>
        <v>3789228.5277500004</v>
      </c>
      <c r="G48" s="100" t="s">
        <v>3</v>
      </c>
      <c r="H48" s="113">
        <f>'Input Data (Review)'!M25</f>
        <v>17000000</v>
      </c>
      <c r="I48" s="169">
        <f>I47</f>
        <v>-0.01</v>
      </c>
      <c r="J48" s="57">
        <f t="shared" si="32"/>
        <v>-170000</v>
      </c>
      <c r="K48" s="112">
        <f>'Input Data (Review)'!AI8</f>
        <v>376250</v>
      </c>
      <c r="L48" s="10">
        <f t="shared" si="22"/>
        <v>-188125</v>
      </c>
      <c r="M48" s="10">
        <f t="shared" si="33"/>
        <v>-188125</v>
      </c>
      <c r="N48" s="10">
        <f t="shared" si="29"/>
        <v>9669.7916666666661</v>
      </c>
      <c r="O48" s="40">
        <f t="shared" si="34"/>
        <v>-178455.20833333334</v>
      </c>
      <c r="P48" s="59">
        <f t="shared" si="35"/>
        <v>-8455.208333333343</v>
      </c>
      <c r="Q48" s="10">
        <f t="shared" si="36"/>
        <v>230554.16666666666</v>
      </c>
      <c r="R48" s="115">
        <f>'Input Data (Review)'!$C$105/100/12</f>
        <v>3.1249999999999997E-3</v>
      </c>
      <c r="S48" s="105">
        <f t="shared" si="38"/>
        <v>746.90429687499989</v>
      </c>
      <c r="T48" s="143">
        <f t="shared" si="37"/>
        <v>2279.436358526822</v>
      </c>
      <c r="U48" s="10"/>
      <c r="V48" s="199"/>
      <c r="W48" t="s">
        <v>98</v>
      </c>
      <c r="Y48" s="40">
        <f>L57</f>
        <v>-1701875</v>
      </c>
      <c r="Z48" t="s">
        <v>32</v>
      </c>
    </row>
    <row r="49" spans="2:26" x14ac:dyDescent="0.25">
      <c r="B49" s="196"/>
      <c r="C49" s="100" t="s">
        <v>130</v>
      </c>
      <c r="E49" s="4">
        <f>D48/2</f>
        <v>1894614.2638750002</v>
      </c>
      <c r="F49" s="162" t="s">
        <v>143</v>
      </c>
      <c r="G49" s="100" t="s">
        <v>4</v>
      </c>
      <c r="H49" s="113">
        <f>'Input Data (Review)'!M26</f>
        <v>14000000</v>
      </c>
      <c r="I49" s="169">
        <f>E55</f>
        <v>-1.54E-2</v>
      </c>
      <c r="J49" s="57">
        <f t="shared" si="32"/>
        <v>-215600</v>
      </c>
      <c r="K49" s="112">
        <f>'Input Data (Review)'!AI9</f>
        <v>446250</v>
      </c>
      <c r="L49" s="10">
        <f t="shared" si="22"/>
        <v>-223125</v>
      </c>
      <c r="M49" s="10">
        <f t="shared" si="33"/>
        <v>-223125</v>
      </c>
      <c r="N49" s="10">
        <f>($E$50+$E$51)/12</f>
        <v>79486.869046978783</v>
      </c>
      <c r="O49" s="40">
        <f t="shared" si="34"/>
        <v>-143638.13095302123</v>
      </c>
      <c r="P49" s="59">
        <f t="shared" si="35"/>
        <v>71961.869046978769</v>
      </c>
      <c r="Q49" s="10">
        <f t="shared" si="36"/>
        <v>302516.0357136454</v>
      </c>
      <c r="R49" s="115">
        <f>'Input Data (Review)'!$C$105/100/12</f>
        <v>3.1249999999999997E-3</v>
      </c>
      <c r="S49" s="105">
        <f t="shared" si="38"/>
        <v>720.48177083333326</v>
      </c>
      <c r="T49" s="143">
        <f>$P$44*R49</f>
        <v>2279.436358526822</v>
      </c>
      <c r="U49" s="10"/>
      <c r="V49" s="199"/>
      <c r="W49" t="s">
        <v>70</v>
      </c>
      <c r="X49" s="10">
        <f>M57</f>
        <v>-1701875</v>
      </c>
      <c r="Y49" s="19"/>
      <c r="Z49" t="s">
        <v>111</v>
      </c>
    </row>
    <row r="50" spans="2:26" x14ac:dyDescent="0.25">
      <c r="B50" s="196"/>
      <c r="C50" s="100" t="s">
        <v>115</v>
      </c>
      <c r="E50" s="4">
        <f>Y27</f>
        <v>906497.60279050004</v>
      </c>
      <c r="F50" s="162" t="s">
        <v>177</v>
      </c>
      <c r="G50" s="100" t="s">
        <v>5</v>
      </c>
      <c r="H50" s="113">
        <f>'Input Data (Review)'!M27</f>
        <v>13000000</v>
      </c>
      <c r="I50" s="169">
        <f>I49</f>
        <v>-1.54E-2</v>
      </c>
      <c r="J50" s="57">
        <f t="shared" si="32"/>
        <v>-200200</v>
      </c>
      <c r="K50" s="112">
        <f>'Input Data (Review)'!AI10</f>
        <v>332500</v>
      </c>
      <c r="L50" s="10">
        <f t="shared" si="22"/>
        <v>-166250</v>
      </c>
      <c r="M50" s="10">
        <f t="shared" si="33"/>
        <v>-166250</v>
      </c>
      <c r="N50" s="10">
        <f t="shared" ref="N50:N61" si="39">($E$50+$E$51)/12</f>
        <v>79486.869046978783</v>
      </c>
      <c r="O50" s="40">
        <f t="shared" si="34"/>
        <v>-86763.130953021217</v>
      </c>
      <c r="P50" s="59">
        <f t="shared" si="35"/>
        <v>113436.86904697878</v>
      </c>
      <c r="Q50" s="10">
        <f t="shared" si="36"/>
        <v>415952.90476062417</v>
      </c>
      <c r="R50" s="115">
        <f>'Input Data (Review)'!$C$105/100/12</f>
        <v>3.1249999999999997E-3</v>
      </c>
      <c r="S50" s="105">
        <f t="shared" si="38"/>
        <v>945.36261160514175</v>
      </c>
      <c r="T50" s="143">
        <f t="shared" si="37"/>
        <v>2279.436358526822</v>
      </c>
      <c r="U50" s="10"/>
      <c r="V50" s="199"/>
      <c r="W50" t="s">
        <v>71</v>
      </c>
      <c r="X50" s="36">
        <f>N57</f>
        <v>674574.1190424969</v>
      </c>
      <c r="Y50" s="19"/>
      <c r="Z50" t="s">
        <v>175</v>
      </c>
    </row>
    <row r="51" spans="2:26" x14ac:dyDescent="0.25">
      <c r="B51" s="196"/>
      <c r="C51" s="100" t="s">
        <v>116</v>
      </c>
      <c r="E51" s="4">
        <f>Y28</f>
        <v>47344.825773245313</v>
      </c>
      <c r="F51" s="162" t="s">
        <v>178</v>
      </c>
      <c r="G51" s="100" t="s">
        <v>6</v>
      </c>
      <c r="H51" s="113">
        <f>'Input Data (Review)'!M28</f>
        <v>16000000</v>
      </c>
      <c r="I51" s="169">
        <f t="shared" ref="I51:I56" si="40">I50</f>
        <v>-1.54E-2</v>
      </c>
      <c r="J51" s="57">
        <f t="shared" si="32"/>
        <v>-246400</v>
      </c>
      <c r="K51" s="112">
        <f>'Input Data (Review)'!AI11</f>
        <v>393750</v>
      </c>
      <c r="L51" s="10">
        <f t="shared" si="22"/>
        <v>-196875</v>
      </c>
      <c r="M51" s="10">
        <f t="shared" si="33"/>
        <v>-196875</v>
      </c>
      <c r="N51" s="10">
        <f t="shared" si="39"/>
        <v>79486.869046978783</v>
      </c>
      <c r="O51" s="40">
        <f t="shared" si="34"/>
        <v>-117388.13095302122</v>
      </c>
      <c r="P51" s="59">
        <f t="shared" si="35"/>
        <v>129011.86904697878</v>
      </c>
      <c r="Q51" s="10">
        <f t="shared" si="36"/>
        <v>544964.77380760293</v>
      </c>
      <c r="R51" s="115">
        <f>'Input Data (Review)'!$C$106/100/12</f>
        <v>3.1249999999999997E-3</v>
      </c>
      <c r="S51" s="105">
        <f t="shared" si="38"/>
        <v>1299.8528273769505</v>
      </c>
      <c r="T51" s="143">
        <f t="shared" si="37"/>
        <v>2279.436358526822</v>
      </c>
      <c r="U51" s="10"/>
      <c r="V51" s="199"/>
      <c r="W51" t="s">
        <v>33</v>
      </c>
      <c r="Y51" s="40">
        <f>X50+X49</f>
        <v>-1027300.8809575031</v>
      </c>
      <c r="Z51" t="s">
        <v>112</v>
      </c>
    </row>
    <row r="52" spans="2:26" x14ac:dyDescent="0.25">
      <c r="B52" s="196"/>
      <c r="C52" s="61" t="s">
        <v>161</v>
      </c>
      <c r="E52" s="24">
        <f>SUM(E49:E51)</f>
        <v>2848456.6924387454</v>
      </c>
      <c r="G52" s="100" t="s">
        <v>7</v>
      </c>
      <c r="H52" s="113">
        <f>'Input Data (Review)'!M29</f>
        <v>17000000</v>
      </c>
      <c r="I52" s="169">
        <f t="shared" si="40"/>
        <v>-1.54E-2</v>
      </c>
      <c r="J52" s="57">
        <f t="shared" si="32"/>
        <v>-261800</v>
      </c>
      <c r="K52" s="112">
        <f>'Input Data (Review)'!AI12</f>
        <v>358750</v>
      </c>
      <c r="L52" s="10">
        <f t="shared" si="22"/>
        <v>-179375</v>
      </c>
      <c r="M52" s="10">
        <f t="shared" si="33"/>
        <v>-179375</v>
      </c>
      <c r="N52" s="10">
        <f t="shared" si="39"/>
        <v>79486.869046978783</v>
      </c>
      <c r="O52" s="40">
        <f t="shared" si="34"/>
        <v>-99888.130953021217</v>
      </c>
      <c r="P52" s="59">
        <f t="shared" si="35"/>
        <v>161911.86904697877</v>
      </c>
      <c r="Q52" s="10">
        <f t="shared" si="36"/>
        <v>706876.6428545817</v>
      </c>
      <c r="R52" s="115">
        <f>'Input Data (Review)'!$C$106/100/12</f>
        <v>3.1249999999999997E-3</v>
      </c>
      <c r="S52" s="105">
        <f t="shared" si="38"/>
        <v>1703.0149181487591</v>
      </c>
      <c r="T52" s="143">
        <f t="shared" si="37"/>
        <v>2279.436358526822</v>
      </c>
      <c r="U52" s="10"/>
      <c r="V52" s="199"/>
      <c r="W52" t="s">
        <v>34</v>
      </c>
      <c r="Y52" s="65">
        <f>J57</f>
        <v>-2492600</v>
      </c>
      <c r="Z52" t="s">
        <v>162</v>
      </c>
    </row>
    <row r="53" spans="2:26" x14ac:dyDescent="0.25">
      <c r="B53" s="196"/>
      <c r="G53" s="100" t="s">
        <v>8</v>
      </c>
      <c r="H53" s="113">
        <f>'Input Data (Review)'!M30</f>
        <v>11000000</v>
      </c>
      <c r="I53" s="169">
        <f t="shared" si="40"/>
        <v>-1.54E-2</v>
      </c>
      <c r="J53" s="57">
        <f t="shared" si="32"/>
        <v>-169400</v>
      </c>
      <c r="K53" s="112">
        <f>'Input Data (Review)'!AI13</f>
        <v>358750</v>
      </c>
      <c r="L53" s="10">
        <f t="shared" si="22"/>
        <v>-179375</v>
      </c>
      <c r="M53" s="10">
        <f t="shared" si="33"/>
        <v>-179375</v>
      </c>
      <c r="N53" s="10">
        <f t="shared" si="39"/>
        <v>79486.869046978783</v>
      </c>
      <c r="O53" s="40">
        <f t="shared" si="34"/>
        <v>-99888.130953021217</v>
      </c>
      <c r="P53" s="59">
        <f t="shared" si="35"/>
        <v>69511.869046978783</v>
      </c>
      <c r="Q53" s="10">
        <f t="shared" si="36"/>
        <v>776388.51190156047</v>
      </c>
      <c r="R53" s="115">
        <f>'Input Data (Review)'!$C$106/100/12</f>
        <v>3.1249999999999997E-3</v>
      </c>
      <c r="S53" s="105">
        <f t="shared" si="38"/>
        <v>2208.9895089205675</v>
      </c>
      <c r="T53" s="143">
        <f t="shared" si="37"/>
        <v>2279.436358526822</v>
      </c>
      <c r="U53" s="10"/>
      <c r="V53" s="199"/>
      <c r="W53" t="s">
        <v>18</v>
      </c>
      <c r="Y53" s="78">
        <f>Y51-Y52</f>
        <v>1465299.1190424969</v>
      </c>
      <c r="Z53" t="s">
        <v>213</v>
      </c>
    </row>
    <row r="54" spans="2:26" x14ac:dyDescent="0.25">
      <c r="B54" s="196"/>
      <c r="C54" s="18" t="s">
        <v>114</v>
      </c>
      <c r="D54" s="117">
        <f>'Input Data (Review)'!K38</f>
        <v>185000000</v>
      </c>
      <c r="F54" s="162" t="s">
        <v>151</v>
      </c>
      <c r="G54" s="100" t="s">
        <v>9</v>
      </c>
      <c r="H54" s="113">
        <f>'Input Data (Review)'!M31</f>
        <v>13000000</v>
      </c>
      <c r="I54" s="169">
        <f t="shared" si="40"/>
        <v>-1.54E-2</v>
      </c>
      <c r="J54" s="57">
        <f t="shared" si="32"/>
        <v>-200200</v>
      </c>
      <c r="K54" s="112">
        <f>'Input Data (Review)'!AI14</f>
        <v>297500</v>
      </c>
      <c r="L54" s="10">
        <f t="shared" si="22"/>
        <v>-148750</v>
      </c>
      <c r="M54" s="10">
        <f t="shared" si="33"/>
        <v>-148750</v>
      </c>
      <c r="N54" s="10">
        <f t="shared" si="39"/>
        <v>79486.869046978783</v>
      </c>
      <c r="O54" s="40">
        <f t="shared" si="34"/>
        <v>-69263.130953021217</v>
      </c>
      <c r="P54" s="59">
        <f t="shared" si="35"/>
        <v>130936.86904697878</v>
      </c>
      <c r="Q54" s="10">
        <f t="shared" si="36"/>
        <v>907325.38094853924</v>
      </c>
      <c r="R54" s="115">
        <f>'Input Data (Review)'!$C$107/100/12</f>
        <v>3.1249999999999997E-3</v>
      </c>
      <c r="S54" s="105">
        <f t="shared" si="38"/>
        <v>2426.2140996923763</v>
      </c>
      <c r="T54" s="143">
        <f t="shared" si="37"/>
        <v>2279.436358526822</v>
      </c>
      <c r="U54" s="10"/>
      <c r="V54" s="199"/>
      <c r="W54" t="s">
        <v>35</v>
      </c>
      <c r="Y54" s="40">
        <f>S57+T70</f>
        <v>65182.641420908461</v>
      </c>
      <c r="Z54" t="s">
        <v>214</v>
      </c>
    </row>
    <row r="55" spans="2:26" x14ac:dyDescent="0.25">
      <c r="B55" s="196"/>
      <c r="C55" s="61" t="s">
        <v>163</v>
      </c>
      <c r="E55" s="23">
        <f>IFERROR(ROUND(-E52/D54,4),0)</f>
        <v>-1.54E-2</v>
      </c>
      <c r="G55" s="100" t="s">
        <v>10</v>
      </c>
      <c r="H55" s="113">
        <f>'Input Data (Review)'!M32</f>
        <v>17000000</v>
      </c>
      <c r="I55" s="169">
        <f t="shared" si="40"/>
        <v>-1.54E-2</v>
      </c>
      <c r="J55" s="57">
        <f t="shared" si="32"/>
        <v>-261800</v>
      </c>
      <c r="K55" s="112">
        <f>'Input Data (Review)'!AI15</f>
        <v>140000</v>
      </c>
      <c r="L55" s="10">
        <f t="shared" si="22"/>
        <v>-70000</v>
      </c>
      <c r="M55" s="10">
        <f t="shared" si="33"/>
        <v>-70000</v>
      </c>
      <c r="N55" s="10">
        <f t="shared" si="39"/>
        <v>79486.869046978783</v>
      </c>
      <c r="O55" s="40">
        <f t="shared" si="34"/>
        <v>9486.8690469787834</v>
      </c>
      <c r="P55" s="59">
        <f t="shared" si="35"/>
        <v>271286.86904697877</v>
      </c>
      <c r="Q55" s="10">
        <f t="shared" si="36"/>
        <v>1178612.249995518</v>
      </c>
      <c r="R55" s="115">
        <f>'Input Data (Review)'!$C$107/100/12</f>
        <v>3.1249999999999997E-3</v>
      </c>
      <c r="S55" s="105">
        <f t="shared" si="38"/>
        <v>2835.3918154641847</v>
      </c>
      <c r="T55" s="143">
        <f t="shared" si="37"/>
        <v>2279.436358526822</v>
      </c>
      <c r="U55" s="10"/>
      <c r="V55" s="200"/>
      <c r="W55" s="21"/>
      <c r="X55" s="21"/>
      <c r="Y55" s="22"/>
    </row>
    <row r="56" spans="2:26" x14ac:dyDescent="0.25">
      <c r="B56" s="196"/>
      <c r="G56" s="100" t="s">
        <v>11</v>
      </c>
      <c r="H56" s="113">
        <f>'Input Data (Review)'!M33</f>
        <v>18000000</v>
      </c>
      <c r="I56" s="169">
        <f t="shared" si="40"/>
        <v>-1.54E-2</v>
      </c>
      <c r="J56" s="57">
        <f t="shared" si="32"/>
        <v>-277200</v>
      </c>
      <c r="K56" s="112">
        <f>'Input Data (Review)'!AI16</f>
        <v>140000</v>
      </c>
      <c r="L56" s="10">
        <f t="shared" si="22"/>
        <v>-70000</v>
      </c>
      <c r="M56" s="10">
        <f t="shared" si="33"/>
        <v>-70000</v>
      </c>
      <c r="N56" s="10">
        <f t="shared" si="39"/>
        <v>79486.869046978783</v>
      </c>
      <c r="O56" s="40">
        <f t="shared" si="34"/>
        <v>9486.8690469787834</v>
      </c>
      <c r="P56" s="59">
        <f t="shared" si="35"/>
        <v>286686.86904697877</v>
      </c>
      <c r="Q56" s="10">
        <f t="shared" si="36"/>
        <v>1465299.1190424967</v>
      </c>
      <c r="R56" s="115">
        <f>'Input Data (Review)'!$C$107/100/12</f>
        <v>3.1249999999999997E-3</v>
      </c>
      <c r="S56" s="105">
        <f t="shared" si="38"/>
        <v>3683.1632812359935</v>
      </c>
      <c r="T56" s="143">
        <f t="shared" si="37"/>
        <v>2279.436358526822</v>
      </c>
      <c r="U56" s="10"/>
    </row>
    <row r="57" spans="2:26" ht="15.75" thickBot="1" x14ac:dyDescent="0.3">
      <c r="B57" s="197"/>
      <c r="C57" s="137"/>
      <c r="D57" s="137"/>
      <c r="E57" s="137"/>
      <c r="F57" s="163"/>
      <c r="G57" s="118" t="s">
        <v>14</v>
      </c>
      <c r="H57" s="119">
        <f>SUM(H45:H56)</f>
        <v>185000000</v>
      </c>
      <c r="I57" s="120"/>
      <c r="J57" s="121">
        <f t="shared" ref="J57:P57" si="41">SUM(J45:J56)</f>
        <v>-2492600</v>
      </c>
      <c r="K57" s="122">
        <f t="shared" si="41"/>
        <v>3403750</v>
      </c>
      <c r="L57" s="123">
        <f t="shared" si="41"/>
        <v>-1701875</v>
      </c>
      <c r="M57" s="123">
        <f t="shared" si="41"/>
        <v>-1701875</v>
      </c>
      <c r="N57" s="123">
        <f t="shared" si="41"/>
        <v>674574.1190424969</v>
      </c>
      <c r="O57" s="121">
        <f t="shared" si="41"/>
        <v>-1027300.8809575032</v>
      </c>
      <c r="P57" s="122">
        <f t="shared" si="41"/>
        <v>1465299.1190424967</v>
      </c>
      <c r="Q57" s="124"/>
      <c r="R57" s="120"/>
      <c r="S57" s="123">
        <f>SUM(S45:S56)</f>
        <v>17560.420052027308</v>
      </c>
      <c r="T57" s="165">
        <f>SUM(T45:T56)</f>
        <v>27353.236302321864</v>
      </c>
      <c r="U57" s="11"/>
    </row>
    <row r="58" spans="2:26" x14ac:dyDescent="0.25">
      <c r="B58" s="195">
        <v>2028</v>
      </c>
      <c r="C58" s="136"/>
      <c r="D58" s="136"/>
      <c r="E58" s="136"/>
      <c r="F58" s="164"/>
      <c r="G58" s="100" t="s">
        <v>0</v>
      </c>
      <c r="H58" s="113">
        <f>'Input Data (Review)'!N22</f>
        <v>18000000</v>
      </c>
      <c r="I58" s="169">
        <f>I56</f>
        <v>-1.54E-2</v>
      </c>
      <c r="J58" s="57">
        <f t="shared" ref="J58:J69" si="42">H58*I58</f>
        <v>-277200</v>
      </c>
      <c r="K58" s="112">
        <f>'Input Data (Review)'!AL5</f>
        <v>162000</v>
      </c>
      <c r="L58" s="10">
        <f t="shared" ref="L58:L70" si="43">-K58/2</f>
        <v>-81000</v>
      </c>
      <c r="M58" s="10">
        <f t="shared" ref="M58:M69" si="44">-K58/2</f>
        <v>-81000</v>
      </c>
      <c r="N58" s="10">
        <f t="shared" si="39"/>
        <v>79486.869046978783</v>
      </c>
      <c r="O58" s="40">
        <f t="shared" ref="O58:O69" si="45">M58+N58</f>
        <v>-1513.1309530212166</v>
      </c>
      <c r="P58" s="59">
        <f t="shared" ref="P58:P69" si="46">O58-J58</f>
        <v>275686.86904697877</v>
      </c>
      <c r="Q58" s="10">
        <f>P58</f>
        <v>275686.86904697877</v>
      </c>
      <c r="R58" s="115">
        <f>'Input Data (Review)'!$C$108/100/12</f>
        <v>2.9166666666666668E-3</v>
      </c>
      <c r="S58" s="105"/>
      <c r="T58" s="143">
        <f>$P$57*R58</f>
        <v>4273.7890972072819</v>
      </c>
      <c r="U58" s="10"/>
    </row>
    <row r="59" spans="2:26" x14ac:dyDescent="0.25">
      <c r="B59" s="196"/>
      <c r="C59" s="100" t="s">
        <v>86</v>
      </c>
      <c r="D59" s="117">
        <f>'Input Data (Review)'!X55</f>
        <v>38627037.777500004</v>
      </c>
      <c r="F59" s="162" t="s">
        <v>203</v>
      </c>
      <c r="G59" s="100" t="s">
        <v>1</v>
      </c>
      <c r="H59" s="113">
        <f>'Input Data (Review)'!N23</f>
        <v>17000000</v>
      </c>
      <c r="I59" s="169">
        <f>I58</f>
        <v>-1.54E-2</v>
      </c>
      <c r="J59" s="57">
        <f t="shared" si="42"/>
        <v>-261800</v>
      </c>
      <c r="K59" s="112">
        <f>'Input Data (Review)'!AL6</f>
        <v>126000</v>
      </c>
      <c r="L59" s="10">
        <f t="shared" si="43"/>
        <v>-63000</v>
      </c>
      <c r="M59" s="10">
        <f t="shared" si="44"/>
        <v>-63000</v>
      </c>
      <c r="N59" s="10">
        <f t="shared" si="39"/>
        <v>79486.869046978783</v>
      </c>
      <c r="O59" s="40">
        <f t="shared" si="45"/>
        <v>16486.869046978783</v>
      </c>
      <c r="P59" s="59">
        <f t="shared" si="46"/>
        <v>278286.86904697877</v>
      </c>
      <c r="Q59" s="10">
        <f t="shared" ref="Q59:Q69" si="47">P59+Q58</f>
        <v>553973.73809395754</v>
      </c>
      <c r="R59" s="115">
        <f>'Input Data (Review)'!$C$108/100/12</f>
        <v>2.9166666666666668E-3</v>
      </c>
      <c r="S59" s="105">
        <f>Q58*R59</f>
        <v>804.08670138702144</v>
      </c>
      <c r="T59" s="143">
        <f t="shared" ref="T59:T69" si="48">$P$57*R59</f>
        <v>4273.7890972072819</v>
      </c>
      <c r="U59" s="10"/>
      <c r="V59" s="198" t="s">
        <v>99</v>
      </c>
      <c r="W59" s="16"/>
      <c r="X59" s="16"/>
      <c r="Y59" s="17"/>
    </row>
    <row r="60" spans="2:26" x14ac:dyDescent="0.25">
      <c r="B60" s="196"/>
      <c r="C60" s="100" t="s">
        <v>113</v>
      </c>
      <c r="D60" s="116">
        <f>'Input Data (Review)'!C68/1000</f>
        <v>9.5000000000000001E-2</v>
      </c>
      <c r="F60" s="162" t="s">
        <v>204</v>
      </c>
      <c r="G60" s="100" t="s">
        <v>2</v>
      </c>
      <c r="H60" s="113">
        <f>'Input Data (Review)'!N24</f>
        <v>16000000</v>
      </c>
      <c r="I60" s="169">
        <f>I59</f>
        <v>-1.54E-2</v>
      </c>
      <c r="J60" s="57">
        <f t="shared" si="42"/>
        <v>-246400</v>
      </c>
      <c r="K60" s="112">
        <f>'Input Data (Review)'!AL7</f>
        <v>261000</v>
      </c>
      <c r="L60" s="10">
        <f t="shared" si="43"/>
        <v>-130500</v>
      </c>
      <c r="M60" s="10">
        <f t="shared" si="44"/>
        <v>-130500</v>
      </c>
      <c r="N60" s="10">
        <f t="shared" si="39"/>
        <v>79486.869046978783</v>
      </c>
      <c r="O60" s="40">
        <f t="shared" si="45"/>
        <v>-51013.130953021217</v>
      </c>
      <c r="P60" s="59">
        <f t="shared" si="46"/>
        <v>195386.86904697877</v>
      </c>
      <c r="Q60" s="10">
        <f t="shared" si="47"/>
        <v>749360.60714093631</v>
      </c>
      <c r="R60" s="115">
        <f>'Input Data (Review)'!$C$108/100/12</f>
        <v>2.9166666666666668E-3</v>
      </c>
      <c r="S60" s="105">
        <f t="shared" ref="S60:S69" si="49">Q59*R60</f>
        <v>1615.7567361073761</v>
      </c>
      <c r="T60" s="143">
        <f t="shared" si="48"/>
        <v>4273.7890972072819</v>
      </c>
      <c r="U60" s="10"/>
      <c r="V60" s="199"/>
      <c r="W60" t="s">
        <v>15</v>
      </c>
      <c r="Y60" s="40">
        <f>K70</f>
        <v>3393000</v>
      </c>
      <c r="Z60" t="s">
        <v>110</v>
      </c>
    </row>
    <row r="61" spans="2:26" x14ac:dyDescent="0.25">
      <c r="B61" s="196"/>
      <c r="C61" s="100" t="s">
        <v>129</v>
      </c>
      <c r="D61" s="4">
        <f>D59*D60</f>
        <v>3669568.5888625002</v>
      </c>
      <c r="G61" s="100" t="s">
        <v>3</v>
      </c>
      <c r="H61" s="113">
        <f>'Input Data (Review)'!N25</f>
        <v>17000000</v>
      </c>
      <c r="I61" s="169">
        <f>I60</f>
        <v>-1.54E-2</v>
      </c>
      <c r="J61" s="57">
        <f t="shared" si="42"/>
        <v>-261800</v>
      </c>
      <c r="K61" s="112">
        <f>'Input Data (Review)'!AL8</f>
        <v>378000</v>
      </c>
      <c r="L61" s="10">
        <f t="shared" si="43"/>
        <v>-189000</v>
      </c>
      <c r="M61" s="10">
        <f t="shared" si="44"/>
        <v>-189000</v>
      </c>
      <c r="N61" s="10">
        <f t="shared" si="39"/>
        <v>79486.869046978783</v>
      </c>
      <c r="O61" s="40">
        <f t="shared" si="45"/>
        <v>-109513.13095302122</v>
      </c>
      <c r="P61" s="59">
        <f t="shared" si="46"/>
        <v>152286.86904697877</v>
      </c>
      <c r="Q61" s="10">
        <f t="shared" si="47"/>
        <v>901647.47618791508</v>
      </c>
      <c r="R61" s="115">
        <f>'Input Data (Review)'!$C$109/100/12</f>
        <v>2.9166666666666668E-3</v>
      </c>
      <c r="S61" s="105">
        <f t="shared" si="49"/>
        <v>2185.6351041610642</v>
      </c>
      <c r="T61" s="143">
        <f t="shared" si="48"/>
        <v>4273.7890972072819</v>
      </c>
      <c r="U61" s="10"/>
      <c r="V61" s="199"/>
      <c r="W61" t="s">
        <v>98</v>
      </c>
      <c r="Y61" s="40">
        <f>L70</f>
        <v>-1696500</v>
      </c>
      <c r="Z61" t="s">
        <v>32</v>
      </c>
    </row>
    <row r="62" spans="2:26" x14ac:dyDescent="0.25">
      <c r="B62" s="196"/>
      <c r="C62" s="100" t="s">
        <v>130</v>
      </c>
      <c r="E62" s="4">
        <f>D61/2</f>
        <v>1834784.2944312501</v>
      </c>
      <c r="F62" s="162" t="s">
        <v>143</v>
      </c>
      <c r="G62" s="100" t="s">
        <v>4</v>
      </c>
      <c r="H62" s="113">
        <f>'Input Data (Review)'!N26</f>
        <v>14000000</v>
      </c>
      <c r="I62" s="169">
        <f>E68</f>
        <v>-1.43E-2</v>
      </c>
      <c r="J62" s="57">
        <f t="shared" si="42"/>
        <v>-200200</v>
      </c>
      <c r="K62" s="112">
        <f>'Input Data (Review)'!AL9</f>
        <v>450000</v>
      </c>
      <c r="L62" s="10">
        <f t="shared" si="43"/>
        <v>-225000</v>
      </c>
      <c r="M62" s="10">
        <f t="shared" si="44"/>
        <v>-225000</v>
      </c>
      <c r="N62" s="10">
        <f>($E$63+$E$64)/12</f>
        <v>64659.409121998098</v>
      </c>
      <c r="O62" s="40">
        <f t="shared" si="45"/>
        <v>-160340.59087800191</v>
      </c>
      <c r="P62" s="59">
        <f t="shared" si="46"/>
        <v>39859.409121998091</v>
      </c>
      <c r="Q62" s="10">
        <f t="shared" si="47"/>
        <v>941506.8853099132</v>
      </c>
      <c r="R62" s="115">
        <f>'Input Data (Review)'!$C$109/100/12</f>
        <v>2.9166666666666668E-3</v>
      </c>
      <c r="S62" s="105">
        <f t="shared" si="49"/>
        <v>2629.8051388814192</v>
      </c>
      <c r="T62" s="143">
        <f t="shared" si="48"/>
        <v>4273.7890972072819</v>
      </c>
      <c r="U62" s="10"/>
      <c r="V62" s="199"/>
      <c r="W62" t="s">
        <v>70</v>
      </c>
      <c r="X62" s="10">
        <f>M70</f>
        <v>-1696500</v>
      </c>
      <c r="Y62" s="19"/>
      <c r="Z62" t="s">
        <v>111</v>
      </c>
    </row>
    <row r="63" spans="2:26" x14ac:dyDescent="0.25">
      <c r="B63" s="196"/>
      <c r="C63" s="100" t="s">
        <v>115</v>
      </c>
      <c r="E63" s="4">
        <f>Y40</f>
        <v>729419.63472858351</v>
      </c>
      <c r="F63" s="162" t="s">
        <v>205</v>
      </c>
      <c r="G63" s="100" t="s">
        <v>5</v>
      </c>
      <c r="H63" s="113">
        <f>'Input Data (Review)'!N27</f>
        <v>13000000</v>
      </c>
      <c r="I63" s="169">
        <f>I62</f>
        <v>-1.43E-2</v>
      </c>
      <c r="J63" s="57">
        <f t="shared" si="42"/>
        <v>-185900</v>
      </c>
      <c r="K63" s="112">
        <f>'Input Data (Review)'!AL10</f>
        <v>333000</v>
      </c>
      <c r="L63" s="10">
        <f t="shared" si="43"/>
        <v>-166500</v>
      </c>
      <c r="M63" s="10">
        <f t="shared" si="44"/>
        <v>-166500</v>
      </c>
      <c r="N63" s="10">
        <f t="shared" ref="N63:N69" si="50">($E$63+$E$64)/12</f>
        <v>64659.409121998098</v>
      </c>
      <c r="O63" s="40">
        <f t="shared" si="45"/>
        <v>-101840.59087800191</v>
      </c>
      <c r="P63" s="59">
        <f t="shared" si="46"/>
        <v>84059.409121998091</v>
      </c>
      <c r="Q63" s="10">
        <f t="shared" si="47"/>
        <v>1025566.2944319113</v>
      </c>
      <c r="R63" s="115">
        <f>'Input Data (Review)'!$C$109/100/12</f>
        <v>2.9166666666666668E-3</v>
      </c>
      <c r="S63" s="105">
        <f t="shared" si="49"/>
        <v>2746.0617488205803</v>
      </c>
      <c r="T63" s="143">
        <f t="shared" si="48"/>
        <v>4273.7890972072819</v>
      </c>
      <c r="U63" s="10"/>
      <c r="V63" s="199"/>
      <c r="W63" t="s">
        <v>71</v>
      </c>
      <c r="X63" s="36">
        <f>N70</f>
        <v>835222.74916390004</v>
      </c>
      <c r="Y63" s="19"/>
      <c r="Z63" t="s">
        <v>175</v>
      </c>
    </row>
    <row r="64" spans="2:26" x14ac:dyDescent="0.25">
      <c r="B64" s="196"/>
      <c r="C64" s="100" t="s">
        <v>116</v>
      </c>
      <c r="E64" s="4">
        <f>Y41</f>
        <v>46493.274735393672</v>
      </c>
      <c r="F64" s="162" t="s">
        <v>206</v>
      </c>
      <c r="G64" s="100" t="s">
        <v>6</v>
      </c>
      <c r="H64" s="113">
        <f>'Input Data (Review)'!N28</f>
        <v>15000000</v>
      </c>
      <c r="I64" s="169">
        <f t="shared" ref="I64:I69" si="51">I63</f>
        <v>-1.43E-2</v>
      </c>
      <c r="J64" s="57">
        <f t="shared" si="42"/>
        <v>-214500</v>
      </c>
      <c r="K64" s="112">
        <f>'Input Data (Review)'!AL11</f>
        <v>396000</v>
      </c>
      <c r="L64" s="10">
        <f t="shared" si="43"/>
        <v>-198000</v>
      </c>
      <c r="M64" s="10">
        <f t="shared" si="44"/>
        <v>-198000</v>
      </c>
      <c r="N64" s="10">
        <f t="shared" si="50"/>
        <v>64659.409121998098</v>
      </c>
      <c r="O64" s="40">
        <f t="shared" si="45"/>
        <v>-133340.59087800191</v>
      </c>
      <c r="P64" s="59">
        <f t="shared" si="46"/>
        <v>81159.409121998091</v>
      </c>
      <c r="Q64" s="10">
        <f t="shared" si="47"/>
        <v>1106725.7035539094</v>
      </c>
      <c r="R64" s="115">
        <f>'Input Data (Review)'!$C$110/100/12</f>
        <v>2.5000000000000001E-3</v>
      </c>
      <c r="S64" s="105">
        <f t="shared" si="49"/>
        <v>2563.9157360797785</v>
      </c>
      <c r="T64" s="143">
        <f t="shared" si="48"/>
        <v>3663.2477976062419</v>
      </c>
      <c r="U64" s="10"/>
      <c r="V64" s="199"/>
      <c r="W64" t="s">
        <v>33</v>
      </c>
      <c r="Y64" s="40">
        <f>X63+X62</f>
        <v>-861277.25083609996</v>
      </c>
      <c r="Z64" t="s">
        <v>112</v>
      </c>
    </row>
    <row r="65" spans="2:26" x14ac:dyDescent="0.25">
      <c r="B65" s="196"/>
      <c r="C65" s="61" t="s">
        <v>161</v>
      </c>
      <c r="E65" s="24">
        <f>SUM(E62:E64)</f>
        <v>2610697.2038952271</v>
      </c>
      <c r="G65" s="100" t="s">
        <v>7</v>
      </c>
      <c r="H65" s="113">
        <f>'Input Data (Review)'!N29</f>
        <v>14000000</v>
      </c>
      <c r="I65" s="169">
        <f t="shared" si="51"/>
        <v>-1.43E-2</v>
      </c>
      <c r="J65" s="57">
        <f t="shared" si="42"/>
        <v>-200200</v>
      </c>
      <c r="K65" s="112">
        <f>'Input Data (Review)'!AL12</f>
        <v>360000</v>
      </c>
      <c r="L65" s="10">
        <f t="shared" si="43"/>
        <v>-180000</v>
      </c>
      <c r="M65" s="10">
        <f t="shared" si="44"/>
        <v>-180000</v>
      </c>
      <c r="N65" s="10">
        <f t="shared" si="50"/>
        <v>64659.409121998098</v>
      </c>
      <c r="O65" s="40">
        <f t="shared" si="45"/>
        <v>-115340.59087800191</v>
      </c>
      <c r="P65" s="59">
        <f t="shared" si="46"/>
        <v>84859.409121998091</v>
      </c>
      <c r="Q65" s="10">
        <f t="shared" si="47"/>
        <v>1191585.1126759076</v>
      </c>
      <c r="R65" s="115">
        <f>'Input Data (Review)'!$C$110/100/12</f>
        <v>2.5000000000000001E-3</v>
      </c>
      <c r="S65" s="105">
        <f t="shared" si="49"/>
        <v>2766.8142588847736</v>
      </c>
      <c r="T65" s="143">
        <f t="shared" si="48"/>
        <v>3663.2477976062419</v>
      </c>
      <c r="U65" s="10"/>
      <c r="V65" s="199"/>
      <c r="W65" t="s">
        <v>34</v>
      </c>
      <c r="Y65" s="65">
        <f>J70</f>
        <v>-2706000</v>
      </c>
      <c r="Z65" t="s">
        <v>162</v>
      </c>
    </row>
    <row r="66" spans="2:26" x14ac:dyDescent="0.25">
      <c r="B66" s="196"/>
      <c r="G66" s="100" t="s">
        <v>8</v>
      </c>
      <c r="H66" s="113">
        <f>'Input Data (Review)'!N30</f>
        <v>13000000</v>
      </c>
      <c r="I66" s="169">
        <f t="shared" si="51"/>
        <v>-1.43E-2</v>
      </c>
      <c r="J66" s="57">
        <f t="shared" si="42"/>
        <v>-185900</v>
      </c>
      <c r="K66" s="112">
        <f>'Input Data (Review)'!AL13</f>
        <v>360000</v>
      </c>
      <c r="L66" s="10">
        <f t="shared" si="43"/>
        <v>-180000</v>
      </c>
      <c r="M66" s="10">
        <f t="shared" si="44"/>
        <v>-180000</v>
      </c>
      <c r="N66" s="10">
        <f t="shared" si="50"/>
        <v>64659.409121998098</v>
      </c>
      <c r="O66" s="40">
        <f t="shared" si="45"/>
        <v>-115340.59087800191</v>
      </c>
      <c r="P66" s="59">
        <f t="shared" si="46"/>
        <v>70559.409121998091</v>
      </c>
      <c r="Q66" s="10">
        <f t="shared" si="47"/>
        <v>1262144.5217979057</v>
      </c>
      <c r="R66" s="115">
        <f>'Input Data (Review)'!$C$110/100/12</f>
        <v>2.5000000000000001E-3</v>
      </c>
      <c r="S66" s="105">
        <f t="shared" si="49"/>
        <v>2978.9627816897691</v>
      </c>
      <c r="T66" s="143">
        <f t="shared" si="48"/>
        <v>3663.2477976062419</v>
      </c>
      <c r="U66" s="10"/>
      <c r="V66" s="199"/>
      <c r="W66" t="s">
        <v>18</v>
      </c>
      <c r="Y66" s="78">
        <f>Y64-Y65</f>
        <v>1844722.7491639</v>
      </c>
      <c r="Z66" t="s">
        <v>215</v>
      </c>
    </row>
    <row r="67" spans="2:26" x14ac:dyDescent="0.25">
      <c r="B67" s="196"/>
      <c r="C67" s="18" t="s">
        <v>114</v>
      </c>
      <c r="D67" s="117">
        <f>'Input Data (Review)'!L38</f>
        <v>183000000</v>
      </c>
      <c r="F67" s="162" t="s">
        <v>207</v>
      </c>
      <c r="G67" s="100" t="s">
        <v>9</v>
      </c>
      <c r="H67" s="113">
        <f>'Input Data (Review)'!N31</f>
        <v>11000000</v>
      </c>
      <c r="I67" s="169">
        <f t="shared" si="51"/>
        <v>-1.43E-2</v>
      </c>
      <c r="J67" s="57">
        <f t="shared" si="42"/>
        <v>-157300</v>
      </c>
      <c r="K67" s="112">
        <f>'Input Data (Review)'!AL14</f>
        <v>297000</v>
      </c>
      <c r="L67" s="10">
        <f t="shared" si="43"/>
        <v>-148500</v>
      </c>
      <c r="M67" s="10">
        <f t="shared" si="44"/>
        <v>-148500</v>
      </c>
      <c r="N67" s="10">
        <f t="shared" si="50"/>
        <v>64659.409121998098</v>
      </c>
      <c r="O67" s="40">
        <f t="shared" si="45"/>
        <v>-83840.590878001909</v>
      </c>
      <c r="P67" s="59">
        <f t="shared" si="46"/>
        <v>73459.409121998091</v>
      </c>
      <c r="Q67" s="10">
        <f t="shared" si="47"/>
        <v>1335603.9309199038</v>
      </c>
      <c r="R67" s="115">
        <f>'Input Data (Review)'!$C$111/100/12</f>
        <v>2.5000000000000001E-3</v>
      </c>
      <c r="S67" s="105">
        <f t="shared" si="49"/>
        <v>3155.3613044947642</v>
      </c>
      <c r="T67" s="143">
        <f t="shared" si="48"/>
        <v>3663.2477976062419</v>
      </c>
      <c r="U67" s="10"/>
      <c r="V67" s="199"/>
      <c r="W67" t="s">
        <v>35</v>
      </c>
      <c r="Y67" s="40">
        <f>S70+T83</f>
        <v>28689.317687911058</v>
      </c>
      <c r="Z67" t="s">
        <v>216</v>
      </c>
    </row>
    <row r="68" spans="2:26" x14ac:dyDescent="0.25">
      <c r="B68" s="196"/>
      <c r="C68" s="61" t="s">
        <v>202</v>
      </c>
      <c r="E68" s="23">
        <f>IFERROR(ROUND(-E65/D67,4),0)</f>
        <v>-1.43E-2</v>
      </c>
      <c r="G68" s="100" t="s">
        <v>10</v>
      </c>
      <c r="H68" s="113">
        <f>'Input Data (Review)'!N32</f>
        <v>16000000</v>
      </c>
      <c r="I68" s="169">
        <f t="shared" si="51"/>
        <v>-1.43E-2</v>
      </c>
      <c r="J68" s="57">
        <f t="shared" si="42"/>
        <v>-228800</v>
      </c>
      <c r="K68" s="112">
        <f>'Input Data (Review)'!AL15</f>
        <v>135000</v>
      </c>
      <c r="L68" s="10">
        <f t="shared" si="43"/>
        <v>-67500</v>
      </c>
      <c r="M68" s="10">
        <f t="shared" si="44"/>
        <v>-67500</v>
      </c>
      <c r="N68" s="10">
        <f t="shared" si="50"/>
        <v>64659.409121998098</v>
      </c>
      <c r="O68" s="40">
        <f t="shared" si="45"/>
        <v>-2840.5908780019017</v>
      </c>
      <c r="P68" s="59">
        <f t="shared" si="46"/>
        <v>225959.40912199809</v>
      </c>
      <c r="Q68" s="10">
        <f t="shared" si="47"/>
        <v>1561563.3400419019</v>
      </c>
      <c r="R68" s="115">
        <f>'Input Data (Review)'!$C$111/100/12</f>
        <v>2.5000000000000001E-3</v>
      </c>
      <c r="S68" s="105">
        <f t="shared" si="49"/>
        <v>3339.0098272997598</v>
      </c>
      <c r="T68" s="143">
        <f t="shared" si="48"/>
        <v>3663.2477976062419</v>
      </c>
      <c r="U68" s="10"/>
      <c r="V68" s="200"/>
      <c r="W68" s="21"/>
      <c r="X68" s="21"/>
      <c r="Y68" s="22"/>
    </row>
    <row r="69" spans="2:26" x14ac:dyDescent="0.25">
      <c r="B69" s="196"/>
      <c r="G69" s="100" t="s">
        <v>11</v>
      </c>
      <c r="H69" s="113">
        <f>'Input Data (Review)'!N33</f>
        <v>20000000</v>
      </c>
      <c r="I69" s="169">
        <f t="shared" si="51"/>
        <v>-1.43E-2</v>
      </c>
      <c r="J69" s="57">
        <f t="shared" si="42"/>
        <v>-286000</v>
      </c>
      <c r="K69" s="112">
        <f>'Input Data (Review)'!AL16</f>
        <v>135000</v>
      </c>
      <c r="L69" s="10">
        <f t="shared" si="43"/>
        <v>-67500</v>
      </c>
      <c r="M69" s="10">
        <f t="shared" si="44"/>
        <v>-67500</v>
      </c>
      <c r="N69" s="10">
        <f t="shared" si="50"/>
        <v>64659.409121998098</v>
      </c>
      <c r="O69" s="40">
        <f t="shared" si="45"/>
        <v>-2840.5908780019017</v>
      </c>
      <c r="P69" s="59">
        <f t="shared" si="46"/>
        <v>283159.40912199812</v>
      </c>
      <c r="Q69" s="10">
        <f t="shared" si="47"/>
        <v>1844722.7491639</v>
      </c>
      <c r="R69" s="115">
        <f>'Input Data (Review)'!$C$111/100/12</f>
        <v>2.5000000000000001E-3</v>
      </c>
      <c r="S69" s="105">
        <f t="shared" si="49"/>
        <v>3903.9083501047548</v>
      </c>
      <c r="T69" s="143">
        <f t="shared" si="48"/>
        <v>3663.2477976062419</v>
      </c>
      <c r="U69" s="10"/>
    </row>
    <row r="70" spans="2:26" ht="15.75" thickBot="1" x14ac:dyDescent="0.3">
      <c r="B70" s="197"/>
      <c r="C70" s="137"/>
      <c r="D70" s="137"/>
      <c r="E70" s="137"/>
      <c r="F70" s="163"/>
      <c r="G70" s="118" t="s">
        <v>14</v>
      </c>
      <c r="H70" s="119">
        <f>SUM(H58:H69)</f>
        <v>184000000</v>
      </c>
      <c r="I70" s="120"/>
      <c r="J70" s="121">
        <f t="shared" ref="J70:P70" si="52">SUM(J58:J69)</f>
        <v>-2706000</v>
      </c>
      <c r="K70" s="122">
        <f t="shared" si="52"/>
        <v>3393000</v>
      </c>
      <c r="L70" s="123">
        <f t="shared" si="52"/>
        <v>-1696500</v>
      </c>
      <c r="M70" s="123">
        <f t="shared" si="52"/>
        <v>-1696500</v>
      </c>
      <c r="N70" s="123">
        <f t="shared" si="52"/>
        <v>835222.74916390004</v>
      </c>
      <c r="O70" s="121">
        <f t="shared" si="52"/>
        <v>-861277.25083609996</v>
      </c>
      <c r="P70" s="122">
        <f t="shared" si="52"/>
        <v>1844722.7491639</v>
      </c>
      <c r="Q70" s="124"/>
      <c r="R70" s="120"/>
      <c r="S70" s="123">
        <f>SUM(S58:S69)</f>
        <v>28689.317687911058</v>
      </c>
      <c r="T70" s="165">
        <f>SUM(T58:T69)</f>
        <v>47622.221368881153</v>
      </c>
      <c r="U70" s="11"/>
    </row>
    <row r="71" spans="2:26" x14ac:dyDescent="0.25">
      <c r="X71" s="1"/>
    </row>
  </sheetData>
  <mergeCells count="12">
    <mergeCell ref="B32:B44"/>
    <mergeCell ref="V33:V42"/>
    <mergeCell ref="B45:B57"/>
    <mergeCell ref="V46:V55"/>
    <mergeCell ref="B58:B70"/>
    <mergeCell ref="V59:V68"/>
    <mergeCell ref="G2:T2"/>
    <mergeCell ref="C5:E5"/>
    <mergeCell ref="B6:B18"/>
    <mergeCell ref="V7:V16"/>
    <mergeCell ref="B19:B31"/>
    <mergeCell ref="V20:V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DD7F5-1492-454F-B5B0-95B8F9FD5735}">
  <sheetPr>
    <tabColor theme="5"/>
  </sheetPr>
  <dimension ref="B1:Q43"/>
  <sheetViews>
    <sheetView topLeftCell="A3" workbookViewId="0">
      <selection activeCell="J28" sqref="J28"/>
    </sheetView>
  </sheetViews>
  <sheetFormatPr defaultRowHeight="15" x14ac:dyDescent="0.25"/>
  <cols>
    <col min="3" max="3" width="11.28515625" bestFit="1" customWidth="1"/>
    <col min="4" max="4" width="11.5703125" bestFit="1" customWidth="1"/>
    <col min="5" max="7" width="12.28515625" bestFit="1" customWidth="1"/>
    <col min="8" max="8" width="11.5703125" customWidth="1"/>
    <col min="9" max="9" width="8.42578125" bestFit="1" customWidth="1"/>
    <col min="10" max="10" width="11" customWidth="1"/>
    <col min="11" max="11" width="9.7109375" bestFit="1" customWidth="1"/>
    <col min="14" max="14" width="33.5703125" bestFit="1" customWidth="1"/>
    <col min="15" max="15" width="11.140625" customWidth="1"/>
    <col min="16" max="16" width="13" customWidth="1"/>
    <col min="17" max="17" width="43" bestFit="1" customWidth="1"/>
  </cols>
  <sheetData>
    <row r="1" spans="2:17" ht="15.75" thickBot="1" x14ac:dyDescent="0.3"/>
    <row r="2" spans="2:17" ht="15.75" x14ac:dyDescent="0.25">
      <c r="C2" s="207" t="s">
        <v>119</v>
      </c>
      <c r="D2" s="208"/>
      <c r="E2" s="208"/>
      <c r="F2" s="208"/>
      <c r="G2" s="208"/>
      <c r="H2" s="208"/>
      <c r="I2" s="208"/>
      <c r="J2" s="208"/>
      <c r="K2" s="209"/>
    </row>
    <row r="3" spans="2:17" ht="45" x14ac:dyDescent="0.25">
      <c r="C3" s="61"/>
      <c r="D3" s="75" t="s">
        <v>15</v>
      </c>
      <c r="E3" s="76" t="s">
        <v>117</v>
      </c>
      <c r="F3" s="76" t="s">
        <v>70</v>
      </c>
      <c r="G3" s="74" t="s">
        <v>33</v>
      </c>
      <c r="H3" s="73" t="s">
        <v>120</v>
      </c>
      <c r="I3" s="73" t="s">
        <v>22</v>
      </c>
      <c r="J3" s="73" t="s">
        <v>21</v>
      </c>
      <c r="K3" s="77" t="s">
        <v>91</v>
      </c>
    </row>
    <row r="4" spans="2:17" ht="15.75" thickBot="1" x14ac:dyDescent="0.3">
      <c r="C4" s="63"/>
      <c r="D4" s="109" t="s">
        <v>23</v>
      </c>
      <c r="E4" s="110" t="s">
        <v>137</v>
      </c>
      <c r="F4" s="110" t="s">
        <v>138</v>
      </c>
      <c r="G4" s="108" t="s">
        <v>139</v>
      </c>
      <c r="H4" s="107" t="s">
        <v>140</v>
      </c>
      <c r="I4" s="107" t="s">
        <v>26</v>
      </c>
      <c r="J4" s="107" t="s">
        <v>141</v>
      </c>
      <c r="K4" s="111"/>
    </row>
    <row r="5" spans="2:17" x14ac:dyDescent="0.25">
      <c r="B5" s="195">
        <v>2023</v>
      </c>
      <c r="C5" t="s">
        <v>0</v>
      </c>
      <c r="D5" s="59"/>
      <c r="E5" s="10">
        <f t="shared" ref="E5:E16" si="0">-D5/2</f>
        <v>0</v>
      </c>
      <c r="F5" s="10">
        <f t="shared" ref="F5:F16" si="1">-D5/2</f>
        <v>0</v>
      </c>
      <c r="G5" s="40">
        <f t="shared" ref="G5:G29" si="2">F5</f>
        <v>0</v>
      </c>
      <c r="H5" s="10">
        <f>G5</f>
        <v>0</v>
      </c>
      <c r="I5" s="60">
        <f>'Input Data (Review)'!$C$88/100/12</f>
        <v>3.9416666666666671E-3</v>
      </c>
      <c r="J5" s="105">
        <f t="shared" ref="J5:J10" si="3">H5*I5</f>
        <v>0</v>
      </c>
      <c r="K5" s="62"/>
      <c r="L5" s="10"/>
    </row>
    <row r="6" spans="2:17" x14ac:dyDescent="0.25">
      <c r="B6" s="196"/>
      <c r="C6" t="s">
        <v>1</v>
      </c>
      <c r="D6" s="59"/>
      <c r="E6" s="10">
        <f t="shared" si="0"/>
        <v>0</v>
      </c>
      <c r="F6" s="10">
        <f t="shared" si="1"/>
        <v>0</v>
      </c>
      <c r="G6" s="40">
        <f t="shared" si="2"/>
        <v>0</v>
      </c>
      <c r="H6" s="10">
        <f t="shared" ref="H6:H16" si="4">H5+G6</f>
        <v>0</v>
      </c>
      <c r="I6" s="60">
        <f>'Input Data (Review)'!$C$88/100/12</f>
        <v>3.9416666666666671E-3</v>
      </c>
      <c r="J6" s="105">
        <f t="shared" si="3"/>
        <v>0</v>
      </c>
      <c r="K6" s="62"/>
      <c r="L6" s="10"/>
      <c r="M6" s="138" t="s">
        <v>99</v>
      </c>
      <c r="N6" s="16"/>
      <c r="O6" s="16"/>
      <c r="P6" s="17"/>
    </row>
    <row r="7" spans="2:17" x14ac:dyDescent="0.25">
      <c r="B7" s="196"/>
      <c r="C7" t="s">
        <v>2</v>
      </c>
      <c r="D7" s="59"/>
      <c r="E7" s="10">
        <f t="shared" si="0"/>
        <v>0</v>
      </c>
      <c r="F7" s="10">
        <f t="shared" si="1"/>
        <v>0</v>
      </c>
      <c r="G7" s="40">
        <f t="shared" si="2"/>
        <v>0</v>
      </c>
      <c r="H7" s="10">
        <f t="shared" si="4"/>
        <v>0</v>
      </c>
      <c r="I7" s="60">
        <f>'Input Data (Review)'!$C$88/100/12</f>
        <v>3.9416666666666671E-3</v>
      </c>
      <c r="J7" s="105">
        <f t="shared" si="3"/>
        <v>0</v>
      </c>
      <c r="K7" s="62"/>
      <c r="L7" s="10"/>
      <c r="M7" s="79"/>
      <c r="N7" t="s">
        <v>100</v>
      </c>
      <c r="P7" s="40">
        <f>D17</f>
        <v>1409916.9100000001</v>
      </c>
      <c r="Q7" t="s">
        <v>110</v>
      </c>
    </row>
    <row r="8" spans="2:17" x14ac:dyDescent="0.25">
      <c r="B8" s="196"/>
      <c r="C8" t="s">
        <v>3</v>
      </c>
      <c r="D8" s="59"/>
      <c r="E8" s="10">
        <f t="shared" si="0"/>
        <v>0</v>
      </c>
      <c r="F8" s="10">
        <f t="shared" si="1"/>
        <v>0</v>
      </c>
      <c r="G8" s="40">
        <f t="shared" si="2"/>
        <v>0</v>
      </c>
      <c r="H8" s="10">
        <f t="shared" si="4"/>
        <v>0</v>
      </c>
      <c r="I8" s="60">
        <f>'Input Data (Review)'!$C$89/100/12</f>
        <v>4.15E-3</v>
      </c>
      <c r="J8" s="105">
        <f t="shared" si="3"/>
        <v>0</v>
      </c>
      <c r="K8" s="62"/>
      <c r="L8" s="10"/>
      <c r="M8" s="79"/>
      <c r="N8" t="s">
        <v>98</v>
      </c>
      <c r="P8" s="40">
        <f>E17</f>
        <v>-704958.45500000007</v>
      </c>
      <c r="Q8" t="s">
        <v>32</v>
      </c>
    </row>
    <row r="9" spans="2:17" x14ac:dyDescent="0.25">
      <c r="B9" s="196"/>
      <c r="C9" t="s">
        <v>4</v>
      </c>
      <c r="D9" s="59"/>
      <c r="E9" s="10">
        <f t="shared" si="0"/>
        <v>0</v>
      </c>
      <c r="F9" s="10">
        <f t="shared" si="1"/>
        <v>0</v>
      </c>
      <c r="G9" s="40">
        <f t="shared" si="2"/>
        <v>0</v>
      </c>
      <c r="H9" s="10">
        <f t="shared" si="4"/>
        <v>0</v>
      </c>
      <c r="I9" s="60">
        <f>'Input Data (Review)'!$C$89/100/12</f>
        <v>4.15E-3</v>
      </c>
      <c r="J9" s="105">
        <f t="shared" si="3"/>
        <v>0</v>
      </c>
      <c r="K9" s="62"/>
      <c r="L9" s="10"/>
      <c r="M9" s="79"/>
      <c r="N9" t="s">
        <v>121</v>
      </c>
      <c r="P9" s="40">
        <f>F17</f>
        <v>-704958.45500000007</v>
      </c>
      <c r="Q9" t="s">
        <v>122</v>
      </c>
    </row>
    <row r="10" spans="2:17" x14ac:dyDescent="0.25">
      <c r="B10" s="196"/>
      <c r="C10" t="s">
        <v>5</v>
      </c>
      <c r="D10" s="59"/>
      <c r="E10" s="10">
        <f t="shared" si="0"/>
        <v>0</v>
      </c>
      <c r="F10" s="10">
        <f t="shared" si="1"/>
        <v>0</v>
      </c>
      <c r="G10" s="40">
        <f t="shared" si="2"/>
        <v>0</v>
      </c>
      <c r="H10" s="10">
        <f t="shared" si="4"/>
        <v>0</v>
      </c>
      <c r="I10" s="60">
        <f>'Input Data (Review)'!$C$89/100/12</f>
        <v>4.15E-3</v>
      </c>
      <c r="J10" s="105">
        <f t="shared" si="3"/>
        <v>0</v>
      </c>
      <c r="K10" s="62"/>
      <c r="L10" s="10"/>
      <c r="M10" s="80"/>
      <c r="N10" s="21" t="s">
        <v>19</v>
      </c>
      <c r="O10" s="21"/>
      <c r="P10" s="65">
        <f>J17+K30</f>
        <v>-45375.449185750018</v>
      </c>
      <c r="Q10" t="s">
        <v>123</v>
      </c>
    </row>
    <row r="11" spans="2:17" x14ac:dyDescent="0.25">
      <c r="B11" s="196"/>
      <c r="C11" t="s">
        <v>6</v>
      </c>
      <c r="D11" s="112">
        <f>'Input Data (Review)'!W11</f>
        <v>256400.04</v>
      </c>
      <c r="E11" s="10">
        <f>-D11/2</f>
        <v>-128200.02</v>
      </c>
      <c r="F11" s="10">
        <f t="shared" si="1"/>
        <v>-128200.02</v>
      </c>
      <c r="G11" s="40">
        <f t="shared" si="2"/>
        <v>-128200.02</v>
      </c>
      <c r="H11" s="10">
        <f t="shared" si="4"/>
        <v>-128200.02</v>
      </c>
      <c r="I11" s="114">
        <f>'Input Data (Review)'!$C$90/100/12</f>
        <v>4.15E-3</v>
      </c>
      <c r="J11" s="105">
        <f>H10*I11</f>
        <v>0</v>
      </c>
      <c r="K11" s="62"/>
      <c r="L11" s="10"/>
    </row>
    <row r="12" spans="2:17" x14ac:dyDescent="0.25">
      <c r="B12" s="196"/>
      <c r="C12" t="s">
        <v>7</v>
      </c>
      <c r="D12" s="112">
        <f>'Input Data (Review)'!W12</f>
        <v>388490.9</v>
      </c>
      <c r="E12" s="10">
        <f t="shared" si="0"/>
        <v>-194245.45</v>
      </c>
      <c r="F12" s="10">
        <f t="shared" si="1"/>
        <v>-194245.45</v>
      </c>
      <c r="G12" s="40">
        <f t="shared" si="2"/>
        <v>-194245.45</v>
      </c>
      <c r="H12" s="10">
        <f t="shared" si="4"/>
        <v>-322445.47000000003</v>
      </c>
      <c r="I12" s="114">
        <f>'Input Data (Review)'!$C$90/100/12</f>
        <v>4.15E-3</v>
      </c>
      <c r="J12" s="105">
        <f t="shared" ref="J12:J16" si="5">H11*I12</f>
        <v>-532.03008299999999</v>
      </c>
      <c r="K12" s="62"/>
      <c r="L12" s="10"/>
    </row>
    <row r="13" spans="2:17" x14ac:dyDescent="0.25">
      <c r="B13" s="196"/>
      <c r="C13" t="s">
        <v>8</v>
      </c>
      <c r="D13" s="112">
        <f>'Input Data (Review)'!W13</f>
        <v>202525.97</v>
      </c>
      <c r="E13" s="10">
        <f t="shared" si="0"/>
        <v>-101262.985</v>
      </c>
      <c r="F13" s="10">
        <f t="shared" si="1"/>
        <v>-101262.985</v>
      </c>
      <c r="G13" s="40">
        <f t="shared" si="2"/>
        <v>-101262.985</v>
      </c>
      <c r="H13" s="10">
        <f t="shared" si="4"/>
        <v>-423708.45500000002</v>
      </c>
      <c r="I13" s="114">
        <f>'Input Data (Review)'!$C$90/100/12</f>
        <v>4.15E-3</v>
      </c>
      <c r="J13" s="105">
        <f t="shared" si="5"/>
        <v>-1338.1487005000001</v>
      </c>
      <c r="K13" s="62"/>
      <c r="L13" s="10"/>
    </row>
    <row r="14" spans="2:17" x14ac:dyDescent="0.25">
      <c r="B14" s="196"/>
      <c r="C14" t="s">
        <v>9</v>
      </c>
      <c r="D14" s="112">
        <f>'Input Data (Review)'!W14</f>
        <v>270000</v>
      </c>
      <c r="E14" s="10">
        <f t="shared" si="0"/>
        <v>-135000</v>
      </c>
      <c r="F14" s="10">
        <f t="shared" si="1"/>
        <v>-135000</v>
      </c>
      <c r="G14" s="40">
        <f t="shared" si="2"/>
        <v>-135000</v>
      </c>
      <c r="H14" s="10">
        <f t="shared" si="4"/>
        <v>-558708.45500000007</v>
      </c>
      <c r="I14" s="114">
        <f>'Input Data (Review)'!$C$91/100/12</f>
        <v>4.5750000000000001E-3</v>
      </c>
      <c r="J14" s="105">
        <f t="shared" si="5"/>
        <v>-1938.4661816250002</v>
      </c>
      <c r="K14" s="62"/>
      <c r="L14" s="10"/>
    </row>
    <row r="15" spans="2:17" x14ac:dyDescent="0.25">
      <c r="B15" s="196"/>
      <c r="C15" t="s">
        <v>10</v>
      </c>
      <c r="D15" s="112">
        <f>'Input Data (Review)'!W15</f>
        <v>150000</v>
      </c>
      <c r="E15" s="10">
        <f t="shared" si="0"/>
        <v>-75000</v>
      </c>
      <c r="F15" s="10">
        <f t="shared" si="1"/>
        <v>-75000</v>
      </c>
      <c r="G15" s="40">
        <f t="shared" si="2"/>
        <v>-75000</v>
      </c>
      <c r="H15" s="10">
        <f t="shared" si="4"/>
        <v>-633708.45500000007</v>
      </c>
      <c r="I15" s="114">
        <f>'Input Data (Review)'!$C$91/100/12</f>
        <v>4.5750000000000001E-3</v>
      </c>
      <c r="J15" s="105">
        <f t="shared" si="5"/>
        <v>-2556.0911816250004</v>
      </c>
      <c r="K15" s="62"/>
      <c r="L15" s="10"/>
    </row>
    <row r="16" spans="2:17" x14ac:dyDescent="0.25">
      <c r="B16" s="196"/>
      <c r="C16" t="s">
        <v>11</v>
      </c>
      <c r="D16" s="112">
        <f>'Input Data (Review)'!W16</f>
        <v>142500</v>
      </c>
      <c r="E16" s="10">
        <f t="shared" si="0"/>
        <v>-71250</v>
      </c>
      <c r="F16" s="10">
        <f t="shared" si="1"/>
        <v>-71250</v>
      </c>
      <c r="G16" s="40">
        <f t="shared" si="2"/>
        <v>-71250</v>
      </c>
      <c r="H16" s="10">
        <f t="shared" si="4"/>
        <v>-704958.45500000007</v>
      </c>
      <c r="I16" s="114">
        <f>'Input Data (Review)'!$C$91/100/12</f>
        <v>4.5750000000000001E-3</v>
      </c>
      <c r="J16" s="105">
        <f t="shared" si="5"/>
        <v>-2899.2161816250004</v>
      </c>
      <c r="K16" s="62"/>
      <c r="L16" s="10"/>
    </row>
    <row r="17" spans="2:17" ht="15.75" thickBot="1" x14ac:dyDescent="0.3">
      <c r="B17" s="197"/>
      <c r="C17" s="120" t="s">
        <v>14</v>
      </c>
      <c r="D17" s="122">
        <f>SUM(D5:D16)</f>
        <v>1409916.9100000001</v>
      </c>
      <c r="E17" s="123">
        <f>SUM(E5:E16)</f>
        <v>-704958.45500000007</v>
      </c>
      <c r="F17" s="123">
        <f>SUM(F5:F16)</f>
        <v>-704958.45500000007</v>
      </c>
      <c r="G17" s="121">
        <f>SUM(G5:G16)</f>
        <v>-704958.45500000007</v>
      </c>
      <c r="H17" s="124"/>
      <c r="I17" s="120"/>
      <c r="J17" s="123">
        <f>SUM(J5:J16)</f>
        <v>-9263.9523283750023</v>
      </c>
      <c r="K17" s="125">
        <f>SUM(K5:K16)</f>
        <v>0</v>
      </c>
      <c r="L17" s="11"/>
    </row>
    <row r="18" spans="2:17" x14ac:dyDescent="0.25">
      <c r="B18" s="195">
        <v>2024</v>
      </c>
      <c r="C18" s="101" t="s">
        <v>0</v>
      </c>
      <c r="D18" s="112">
        <f>'Input Data (Review)'!Z5</f>
        <v>144000</v>
      </c>
      <c r="E18" s="102">
        <f t="shared" ref="E18:E29" si="6">-D18/2</f>
        <v>-72000</v>
      </c>
      <c r="F18" s="102">
        <f t="shared" ref="F18:F29" si="7">-D18/2</f>
        <v>-72000</v>
      </c>
      <c r="G18" s="103">
        <f t="shared" si="2"/>
        <v>-72000</v>
      </c>
      <c r="H18" s="102">
        <f>G18</f>
        <v>-72000</v>
      </c>
      <c r="I18" s="168">
        <f>'Input Data (Review)'!$C$92/100/12</f>
        <v>4.5750000000000001E-3</v>
      </c>
      <c r="J18" s="104"/>
      <c r="K18" s="62">
        <f>$H$16*I18</f>
        <v>-3225.1849316250004</v>
      </c>
      <c r="L18" s="10"/>
    </row>
    <row r="19" spans="2:17" x14ac:dyDescent="0.25">
      <c r="B19" s="196"/>
      <c r="C19" s="100" t="s">
        <v>1</v>
      </c>
      <c r="D19" s="112">
        <f>'Input Data (Review)'!Z6</f>
        <v>112000</v>
      </c>
      <c r="E19" s="10">
        <f t="shared" si="6"/>
        <v>-56000</v>
      </c>
      <c r="F19" s="10">
        <f t="shared" si="7"/>
        <v>-56000</v>
      </c>
      <c r="G19" s="40">
        <f t="shared" si="2"/>
        <v>-56000</v>
      </c>
      <c r="H19" s="10">
        <f t="shared" ref="H19:H29" si="8">H18+G19</f>
        <v>-128000</v>
      </c>
      <c r="I19" s="114">
        <f>'Input Data (Review)'!$C$92/100/12</f>
        <v>4.5750000000000001E-3</v>
      </c>
      <c r="J19" s="105">
        <f>H18*I19</f>
        <v>-329.4</v>
      </c>
      <c r="K19" s="62">
        <f t="shared" ref="K19:K29" si="9">$H$16*I19</f>
        <v>-3225.1849316250004</v>
      </c>
      <c r="L19" s="10"/>
      <c r="M19" s="138" t="s">
        <v>99</v>
      </c>
      <c r="N19" s="16"/>
      <c r="O19" s="16"/>
      <c r="P19" s="17"/>
    </row>
    <row r="20" spans="2:17" x14ac:dyDescent="0.25">
      <c r="B20" s="196"/>
      <c r="C20" s="100" t="s">
        <v>2</v>
      </c>
      <c r="D20" s="112">
        <f>'Input Data (Review)'!Z7</f>
        <v>232000</v>
      </c>
      <c r="E20" s="10">
        <f t="shared" si="6"/>
        <v>-116000</v>
      </c>
      <c r="F20" s="10">
        <f t="shared" si="7"/>
        <v>-116000</v>
      </c>
      <c r="G20" s="40">
        <f t="shared" si="2"/>
        <v>-116000</v>
      </c>
      <c r="H20" s="10">
        <f t="shared" si="8"/>
        <v>-244000</v>
      </c>
      <c r="I20" s="114">
        <f>'Input Data (Review)'!$C$92/100/12</f>
        <v>4.5750000000000001E-3</v>
      </c>
      <c r="J20" s="105">
        <f t="shared" ref="J20:J29" si="10">H19*I20</f>
        <v>-585.6</v>
      </c>
      <c r="K20" s="62">
        <f t="shared" si="9"/>
        <v>-3225.1849316250004</v>
      </c>
      <c r="L20" s="10"/>
      <c r="M20" s="79"/>
      <c r="N20" t="s">
        <v>100</v>
      </c>
      <c r="P20" s="40">
        <f>D30</f>
        <v>808000</v>
      </c>
      <c r="Q20" t="s">
        <v>110</v>
      </c>
    </row>
    <row r="21" spans="2:17" x14ac:dyDescent="0.25">
      <c r="B21" s="196"/>
      <c r="C21" s="100" t="s">
        <v>3</v>
      </c>
      <c r="D21" s="112">
        <f>'Input Data (Review)'!Z8</f>
        <v>320000</v>
      </c>
      <c r="E21" s="10">
        <f t="shared" si="6"/>
        <v>-160000</v>
      </c>
      <c r="F21" s="10">
        <f t="shared" si="7"/>
        <v>-160000</v>
      </c>
      <c r="G21" s="40">
        <f t="shared" si="2"/>
        <v>-160000</v>
      </c>
      <c r="H21" s="10">
        <f t="shared" si="8"/>
        <v>-404000</v>
      </c>
      <c r="I21" s="114">
        <f>'Input Data (Review)'!$C$93/100/12</f>
        <v>4.1666666666666666E-3</v>
      </c>
      <c r="J21" s="105">
        <f t="shared" si="10"/>
        <v>-1016.6666666666666</v>
      </c>
      <c r="K21" s="62">
        <f t="shared" si="9"/>
        <v>-2937.3268958333338</v>
      </c>
      <c r="L21" s="10"/>
      <c r="M21" s="79"/>
      <c r="N21" t="s">
        <v>98</v>
      </c>
      <c r="P21" s="40">
        <f>E30</f>
        <v>-404000</v>
      </c>
      <c r="Q21" t="s">
        <v>32</v>
      </c>
    </row>
    <row r="22" spans="2:17" x14ac:dyDescent="0.25">
      <c r="B22" s="196"/>
      <c r="C22" s="100" t="s">
        <v>4</v>
      </c>
      <c r="D22" s="59"/>
      <c r="E22" s="10">
        <f t="shared" si="6"/>
        <v>0</v>
      </c>
      <c r="F22" s="10">
        <f t="shared" si="7"/>
        <v>0</v>
      </c>
      <c r="G22" s="40">
        <f t="shared" si="2"/>
        <v>0</v>
      </c>
      <c r="H22" s="10">
        <f t="shared" si="8"/>
        <v>-404000</v>
      </c>
      <c r="I22" s="114">
        <f>'Input Data (Review)'!$C$93/100/12</f>
        <v>4.1666666666666666E-3</v>
      </c>
      <c r="J22" s="105">
        <f t="shared" si="10"/>
        <v>-1683.3333333333333</v>
      </c>
      <c r="K22" s="62">
        <f t="shared" si="9"/>
        <v>-2937.3268958333338</v>
      </c>
      <c r="L22" s="10"/>
      <c r="M22" s="79"/>
      <c r="N22" t="s">
        <v>121</v>
      </c>
      <c r="P22" s="40">
        <f>F30</f>
        <v>-404000</v>
      </c>
      <c r="Q22" t="s">
        <v>124</v>
      </c>
    </row>
    <row r="23" spans="2:17" x14ac:dyDescent="0.25">
      <c r="B23" s="196"/>
      <c r="C23" s="100" t="s">
        <v>5</v>
      </c>
      <c r="D23" s="59"/>
      <c r="E23" s="10">
        <f t="shared" si="6"/>
        <v>0</v>
      </c>
      <c r="F23" s="10">
        <f t="shared" si="7"/>
        <v>0</v>
      </c>
      <c r="G23" s="40">
        <f t="shared" si="2"/>
        <v>0</v>
      </c>
      <c r="H23" s="10">
        <f t="shared" si="8"/>
        <v>-404000</v>
      </c>
      <c r="I23" s="114">
        <f>'Input Data (Review)'!$C$93/100/12</f>
        <v>4.1666666666666666E-3</v>
      </c>
      <c r="J23" s="105">
        <f t="shared" si="10"/>
        <v>-1683.3333333333333</v>
      </c>
      <c r="K23" s="62">
        <f t="shared" si="9"/>
        <v>-2937.3268958333338</v>
      </c>
      <c r="L23" s="10"/>
      <c r="M23" s="80"/>
      <c r="N23" s="21" t="s">
        <v>19</v>
      </c>
      <c r="O23" s="21"/>
      <c r="P23" s="65">
        <f>J30+K43</f>
        <v>-33578.333333333336</v>
      </c>
      <c r="Q23" t="s">
        <v>125</v>
      </c>
    </row>
    <row r="24" spans="2:17" x14ac:dyDescent="0.25">
      <c r="B24" s="196"/>
      <c r="C24" s="100" t="s">
        <v>6</v>
      </c>
      <c r="D24" s="59"/>
      <c r="E24" s="10">
        <f t="shared" si="6"/>
        <v>0</v>
      </c>
      <c r="F24" s="10">
        <f t="shared" si="7"/>
        <v>0</v>
      </c>
      <c r="G24" s="40">
        <f t="shared" si="2"/>
        <v>0</v>
      </c>
      <c r="H24" s="10">
        <f t="shared" si="8"/>
        <v>-404000</v>
      </c>
      <c r="I24" s="114">
        <f>'Input Data (Review)'!$C$94/100/12</f>
        <v>4.1666666666666666E-3</v>
      </c>
      <c r="J24" s="105">
        <f t="shared" si="10"/>
        <v>-1683.3333333333333</v>
      </c>
      <c r="K24" s="62">
        <f t="shared" si="9"/>
        <v>-2937.3268958333338</v>
      </c>
      <c r="L24" s="10"/>
    </row>
    <row r="25" spans="2:17" x14ac:dyDescent="0.25">
      <c r="B25" s="196"/>
      <c r="C25" s="100" t="s">
        <v>7</v>
      </c>
      <c r="D25" s="59"/>
      <c r="E25" s="10">
        <f t="shared" si="6"/>
        <v>0</v>
      </c>
      <c r="F25" s="10">
        <f t="shared" si="7"/>
        <v>0</v>
      </c>
      <c r="G25" s="40">
        <f t="shared" si="2"/>
        <v>0</v>
      </c>
      <c r="H25" s="10">
        <f t="shared" si="8"/>
        <v>-404000</v>
      </c>
      <c r="I25" s="114">
        <f>'Input Data (Review)'!$C$94/100/12</f>
        <v>4.1666666666666666E-3</v>
      </c>
      <c r="J25" s="105">
        <f t="shared" si="10"/>
        <v>-1683.3333333333333</v>
      </c>
      <c r="K25" s="62">
        <f t="shared" si="9"/>
        <v>-2937.3268958333338</v>
      </c>
      <c r="L25" s="10"/>
    </row>
    <row r="26" spans="2:17" x14ac:dyDescent="0.25">
      <c r="B26" s="196"/>
      <c r="C26" s="100" t="s">
        <v>8</v>
      </c>
      <c r="D26" s="59"/>
      <c r="E26" s="10">
        <f t="shared" si="6"/>
        <v>0</v>
      </c>
      <c r="F26" s="10">
        <f t="shared" si="7"/>
        <v>0</v>
      </c>
      <c r="G26" s="40">
        <f t="shared" si="2"/>
        <v>0</v>
      </c>
      <c r="H26" s="10">
        <f t="shared" si="8"/>
        <v>-404000</v>
      </c>
      <c r="I26" s="114">
        <f>'Input Data (Review)'!$C$94/100/12</f>
        <v>4.1666666666666666E-3</v>
      </c>
      <c r="J26" s="105">
        <f t="shared" si="10"/>
        <v>-1683.3333333333333</v>
      </c>
      <c r="K26" s="62">
        <f t="shared" si="9"/>
        <v>-2937.3268958333338</v>
      </c>
      <c r="L26" s="10"/>
    </row>
    <row r="27" spans="2:17" x14ac:dyDescent="0.25">
      <c r="B27" s="196"/>
      <c r="C27" s="100" t="s">
        <v>9</v>
      </c>
      <c r="D27" s="59"/>
      <c r="E27" s="10">
        <f t="shared" si="6"/>
        <v>0</v>
      </c>
      <c r="F27" s="10">
        <f t="shared" si="7"/>
        <v>0</v>
      </c>
      <c r="G27" s="40">
        <f t="shared" si="2"/>
        <v>0</v>
      </c>
      <c r="H27" s="10">
        <f t="shared" si="8"/>
        <v>-404000</v>
      </c>
      <c r="I27" s="114">
        <f>'Input Data (Review)'!$C$95/100/12</f>
        <v>4.1666666666666666E-3</v>
      </c>
      <c r="J27" s="105">
        <f t="shared" si="10"/>
        <v>-1683.3333333333333</v>
      </c>
      <c r="K27" s="62">
        <f t="shared" si="9"/>
        <v>-2937.3268958333338</v>
      </c>
      <c r="L27" s="10"/>
    </row>
    <row r="28" spans="2:17" x14ac:dyDescent="0.25">
      <c r="B28" s="196"/>
      <c r="C28" s="100" t="s">
        <v>10</v>
      </c>
      <c r="D28" s="59"/>
      <c r="E28" s="10">
        <f t="shared" si="6"/>
        <v>0</v>
      </c>
      <c r="F28" s="10">
        <f t="shared" si="7"/>
        <v>0</v>
      </c>
      <c r="G28" s="40">
        <f t="shared" si="2"/>
        <v>0</v>
      </c>
      <c r="H28" s="10">
        <f t="shared" si="8"/>
        <v>-404000</v>
      </c>
      <c r="I28" s="114">
        <f>'Input Data (Review)'!$C$95/100/12</f>
        <v>4.1666666666666666E-3</v>
      </c>
      <c r="J28" s="105">
        <f t="shared" si="10"/>
        <v>-1683.3333333333333</v>
      </c>
      <c r="K28" s="62">
        <f t="shared" si="9"/>
        <v>-2937.3268958333338</v>
      </c>
      <c r="L28" s="10"/>
    </row>
    <row r="29" spans="2:17" x14ac:dyDescent="0.25">
      <c r="B29" s="196"/>
      <c r="C29" s="100" t="s">
        <v>11</v>
      </c>
      <c r="D29" s="59"/>
      <c r="E29" s="10">
        <f t="shared" si="6"/>
        <v>0</v>
      </c>
      <c r="F29" s="10">
        <f t="shared" si="7"/>
        <v>0</v>
      </c>
      <c r="G29" s="40">
        <f t="shared" si="2"/>
        <v>0</v>
      </c>
      <c r="H29" s="10">
        <f t="shared" si="8"/>
        <v>-404000</v>
      </c>
      <c r="I29" s="114">
        <f>'Input Data (Review)'!$C$95/100/12</f>
        <v>4.1666666666666666E-3</v>
      </c>
      <c r="J29" s="105">
        <f t="shared" si="10"/>
        <v>-1683.3333333333333</v>
      </c>
      <c r="K29" s="62">
        <f t="shared" si="9"/>
        <v>-2937.3268958333338</v>
      </c>
      <c r="L29" s="10"/>
    </row>
    <row r="30" spans="2:17" ht="15.75" thickBot="1" x14ac:dyDescent="0.3">
      <c r="B30" s="197"/>
      <c r="C30" s="118" t="s">
        <v>14</v>
      </c>
      <c r="D30" s="122">
        <f>SUM(D18:D29)</f>
        <v>808000</v>
      </c>
      <c r="E30" s="123">
        <f>SUM(E18:E29)</f>
        <v>-404000</v>
      </c>
      <c r="F30" s="123">
        <f>SUM(F18:F29)</f>
        <v>-404000</v>
      </c>
      <c r="G30" s="121">
        <f>SUM(G18:G29)</f>
        <v>-404000</v>
      </c>
      <c r="H30" s="124"/>
      <c r="I30" s="120"/>
      <c r="J30" s="123">
        <f>SUM(J18:J29)</f>
        <v>-15398.333333333336</v>
      </c>
      <c r="K30" s="125">
        <f>SUM(K18:K29)</f>
        <v>-36111.496857375016</v>
      </c>
      <c r="L30" s="11"/>
    </row>
    <row r="31" spans="2:17" x14ac:dyDescent="0.25">
      <c r="B31" s="195">
        <v>2025</v>
      </c>
      <c r="C31" s="101" t="s">
        <v>0</v>
      </c>
      <c r="D31" s="59"/>
      <c r="E31" s="10"/>
      <c r="F31" s="10"/>
      <c r="G31" s="40"/>
      <c r="H31" s="10"/>
      <c r="I31" s="168">
        <f>'Input Data (Review)'!$C$96/100/12</f>
        <v>3.7499999999999999E-3</v>
      </c>
      <c r="J31" s="104"/>
      <c r="K31" s="62">
        <f>$H$29*I31</f>
        <v>-1515</v>
      </c>
    </row>
    <row r="32" spans="2:17" x14ac:dyDescent="0.25">
      <c r="B32" s="196"/>
      <c r="C32" s="100" t="s">
        <v>1</v>
      </c>
      <c r="D32" s="59"/>
      <c r="E32" s="10"/>
      <c r="F32" s="10"/>
      <c r="G32" s="40"/>
      <c r="H32" s="10"/>
      <c r="I32" s="114">
        <f>'Input Data (Review)'!$C$96/100/12</f>
        <v>3.7499999999999999E-3</v>
      </c>
      <c r="J32" s="105">
        <f>H31*I32</f>
        <v>0</v>
      </c>
      <c r="K32" s="62">
        <f t="shared" ref="K32:K42" si="11">$H$29*I32</f>
        <v>-1515</v>
      </c>
    </row>
    <row r="33" spans="2:11" x14ac:dyDescent="0.25">
      <c r="B33" s="196"/>
      <c r="C33" s="100" t="s">
        <v>2</v>
      </c>
      <c r="D33" s="59"/>
      <c r="E33" s="10"/>
      <c r="F33" s="10"/>
      <c r="G33" s="40"/>
      <c r="H33" s="10"/>
      <c r="I33" s="114">
        <f>'Input Data (Review)'!$C$96/100/12</f>
        <v>3.7499999999999999E-3</v>
      </c>
      <c r="J33" s="105">
        <f t="shared" ref="J33:J42" si="12">H32*I33</f>
        <v>0</v>
      </c>
      <c r="K33" s="62">
        <f t="shared" si="11"/>
        <v>-1515</v>
      </c>
    </row>
    <row r="34" spans="2:11" x14ac:dyDescent="0.25">
      <c r="B34" s="196"/>
      <c r="C34" s="100" t="s">
        <v>3</v>
      </c>
      <c r="D34" s="59"/>
      <c r="E34" s="10"/>
      <c r="F34" s="10"/>
      <c r="G34" s="40"/>
      <c r="H34" s="10"/>
      <c r="I34" s="114">
        <f>'Input Data (Review)'!$C$97/100/12</f>
        <v>3.7499999999999999E-3</v>
      </c>
      <c r="J34" s="105">
        <f t="shared" si="12"/>
        <v>0</v>
      </c>
      <c r="K34" s="62">
        <f t="shared" si="11"/>
        <v>-1515</v>
      </c>
    </row>
    <row r="35" spans="2:11" x14ac:dyDescent="0.25">
      <c r="B35" s="196"/>
      <c r="C35" s="100" t="s">
        <v>4</v>
      </c>
      <c r="D35" s="59"/>
      <c r="E35" s="10"/>
      <c r="F35" s="10"/>
      <c r="G35" s="40"/>
      <c r="H35" s="10"/>
      <c r="I35" s="114">
        <f>'Input Data (Review)'!$C$97/100/12</f>
        <v>3.7499999999999999E-3</v>
      </c>
      <c r="J35" s="105">
        <f t="shared" si="12"/>
        <v>0</v>
      </c>
      <c r="K35" s="62">
        <f t="shared" si="11"/>
        <v>-1515</v>
      </c>
    </row>
    <row r="36" spans="2:11" x14ac:dyDescent="0.25">
      <c r="B36" s="196"/>
      <c r="C36" s="100" t="s">
        <v>5</v>
      </c>
      <c r="D36" s="59"/>
      <c r="E36" s="10"/>
      <c r="F36" s="10"/>
      <c r="G36" s="40"/>
      <c r="H36" s="10"/>
      <c r="I36" s="114">
        <f>'Input Data (Review)'!$C$97/100/12</f>
        <v>3.7499999999999999E-3</v>
      </c>
      <c r="J36" s="105">
        <f t="shared" si="12"/>
        <v>0</v>
      </c>
      <c r="K36" s="62">
        <f t="shared" si="11"/>
        <v>-1515</v>
      </c>
    </row>
    <row r="37" spans="2:11" x14ac:dyDescent="0.25">
      <c r="B37" s="196"/>
      <c r="C37" s="100" t="s">
        <v>6</v>
      </c>
      <c r="D37" s="59"/>
      <c r="E37" s="10"/>
      <c r="F37" s="10"/>
      <c r="G37" s="40"/>
      <c r="H37" s="10"/>
      <c r="I37" s="114">
        <f>'Input Data (Review)'!$C$98/100/12</f>
        <v>3.7499999999999999E-3</v>
      </c>
      <c r="J37" s="105">
        <f t="shared" si="12"/>
        <v>0</v>
      </c>
      <c r="K37" s="62">
        <f t="shared" si="11"/>
        <v>-1515</v>
      </c>
    </row>
    <row r="38" spans="2:11" x14ac:dyDescent="0.25">
      <c r="B38" s="196"/>
      <c r="C38" s="100" t="s">
        <v>7</v>
      </c>
      <c r="D38" s="59"/>
      <c r="E38" s="10"/>
      <c r="F38" s="10"/>
      <c r="G38" s="40"/>
      <c r="H38" s="10"/>
      <c r="I38" s="114">
        <f>'Input Data (Review)'!$C$98/100/12</f>
        <v>3.7499999999999999E-3</v>
      </c>
      <c r="J38" s="105">
        <f t="shared" si="12"/>
        <v>0</v>
      </c>
      <c r="K38" s="62">
        <f t="shared" si="11"/>
        <v>-1515</v>
      </c>
    </row>
    <row r="39" spans="2:11" x14ac:dyDescent="0.25">
      <c r="B39" s="196"/>
      <c r="C39" s="100" t="s">
        <v>8</v>
      </c>
      <c r="D39" s="59"/>
      <c r="E39" s="10"/>
      <c r="F39" s="10"/>
      <c r="G39" s="40"/>
      <c r="H39" s="10"/>
      <c r="I39" s="114">
        <f>'Input Data (Review)'!$C$98/100/12</f>
        <v>3.7499999999999999E-3</v>
      </c>
      <c r="J39" s="105">
        <f t="shared" si="12"/>
        <v>0</v>
      </c>
      <c r="K39" s="62">
        <f t="shared" si="11"/>
        <v>-1515</v>
      </c>
    </row>
    <row r="40" spans="2:11" x14ac:dyDescent="0.25">
      <c r="B40" s="196"/>
      <c r="C40" s="100" t="s">
        <v>9</v>
      </c>
      <c r="D40" s="59"/>
      <c r="E40" s="10"/>
      <c r="F40" s="10"/>
      <c r="G40" s="40"/>
      <c r="H40" s="10"/>
      <c r="I40" s="114">
        <f>'Input Data (Review)'!$C$99/100/12</f>
        <v>3.7499999999999999E-3</v>
      </c>
      <c r="J40" s="105">
        <f t="shared" si="12"/>
        <v>0</v>
      </c>
      <c r="K40" s="62">
        <f t="shared" si="11"/>
        <v>-1515</v>
      </c>
    </row>
    <row r="41" spans="2:11" x14ac:dyDescent="0.25">
      <c r="B41" s="196"/>
      <c r="C41" s="100" t="s">
        <v>10</v>
      </c>
      <c r="D41" s="59"/>
      <c r="E41" s="10"/>
      <c r="F41" s="10"/>
      <c r="G41" s="40"/>
      <c r="H41" s="10"/>
      <c r="I41" s="114">
        <f>'Input Data (Review)'!$C$99/100/12</f>
        <v>3.7499999999999999E-3</v>
      </c>
      <c r="J41" s="105">
        <f t="shared" si="12"/>
        <v>0</v>
      </c>
      <c r="K41" s="62">
        <f t="shared" si="11"/>
        <v>-1515</v>
      </c>
    </row>
    <row r="42" spans="2:11" x14ac:dyDescent="0.25">
      <c r="B42" s="196"/>
      <c r="C42" s="100" t="s">
        <v>11</v>
      </c>
      <c r="D42" s="59"/>
      <c r="E42" s="10"/>
      <c r="F42" s="10"/>
      <c r="G42" s="40"/>
      <c r="H42" s="10"/>
      <c r="I42" s="114">
        <f>'Input Data (Review)'!$C$99/100/12</f>
        <v>3.7499999999999999E-3</v>
      </c>
      <c r="J42" s="105">
        <f t="shared" si="12"/>
        <v>0</v>
      </c>
      <c r="K42" s="62">
        <f t="shared" si="11"/>
        <v>-1515</v>
      </c>
    </row>
    <row r="43" spans="2:11" ht="15.75" thickBot="1" x14ac:dyDescent="0.3">
      <c r="B43" s="197"/>
      <c r="C43" s="118" t="s">
        <v>14</v>
      </c>
      <c r="D43" s="122">
        <f>SUM(D31:D42)</f>
        <v>0</v>
      </c>
      <c r="E43" s="123">
        <f>SUM(E31:E42)</f>
        <v>0</v>
      </c>
      <c r="F43" s="123">
        <f>SUM(F31:F42)</f>
        <v>0</v>
      </c>
      <c r="G43" s="121">
        <f>SUM(G31:G42)</f>
        <v>0</v>
      </c>
      <c r="H43" s="124"/>
      <c r="I43" s="120"/>
      <c r="J43" s="123">
        <f>SUM(J31:J42)</f>
        <v>0</v>
      </c>
      <c r="K43" s="125">
        <f>SUM(K31:K42)</f>
        <v>-18180</v>
      </c>
    </row>
  </sheetData>
  <mergeCells count="4">
    <mergeCell ref="C2:K2"/>
    <mergeCell ref="B5:B17"/>
    <mergeCell ref="B18:B30"/>
    <mergeCell ref="B31:B4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B9227-0118-446B-8D64-1A77E54DA1B2}">
  <sheetPr>
    <tabColor theme="5"/>
  </sheetPr>
  <dimension ref="B1:I41"/>
  <sheetViews>
    <sheetView workbookViewId="0">
      <selection activeCell="H1" sqref="H1"/>
    </sheetView>
  </sheetViews>
  <sheetFormatPr defaultRowHeight="15" x14ac:dyDescent="0.25"/>
  <cols>
    <col min="2" max="2" width="32.42578125" customWidth="1"/>
    <col min="3" max="3" width="35.85546875" bestFit="1" customWidth="1"/>
    <col min="4" max="4" width="15.42578125" bestFit="1" customWidth="1"/>
    <col min="5" max="8" width="17.42578125" bestFit="1" customWidth="1"/>
    <col min="9" max="9" width="40.140625" bestFit="1" customWidth="1"/>
  </cols>
  <sheetData>
    <row r="1" spans="2:9" ht="15.75" thickBot="1" x14ac:dyDescent="0.3"/>
    <row r="2" spans="2:9" ht="15.75" x14ac:dyDescent="0.25">
      <c r="B2" s="82"/>
      <c r="C2" s="83" t="s">
        <v>97</v>
      </c>
      <c r="D2" s="84">
        <v>2024</v>
      </c>
      <c r="E2" s="85">
        <v>2025</v>
      </c>
      <c r="F2" s="85">
        <v>2026</v>
      </c>
      <c r="G2" s="85">
        <v>2027</v>
      </c>
      <c r="H2" s="86">
        <v>2028</v>
      </c>
    </row>
    <row r="3" spans="2:9" x14ac:dyDescent="0.25">
      <c r="B3" s="210" t="s">
        <v>171</v>
      </c>
      <c r="C3" s="44"/>
      <c r="D3" s="15"/>
      <c r="E3" s="16"/>
      <c r="F3" s="16"/>
      <c r="G3" s="16"/>
      <c r="H3" s="87"/>
    </row>
    <row r="4" spans="2:9" x14ac:dyDescent="0.25">
      <c r="B4" s="211"/>
      <c r="C4" s="45" t="s">
        <v>85</v>
      </c>
      <c r="D4" s="81">
        <f>'Power Purchased True-Up (Rev.)'!D8</f>
        <v>7.2859999999999994E-2</v>
      </c>
      <c r="E4" s="53">
        <f>'Power Purchased True-Up (Rev.)'!D21</f>
        <v>0.08</v>
      </c>
      <c r="F4" s="53">
        <f>'Power Purchased True-Up (Rev.)'!D34</f>
        <v>0.09</v>
      </c>
      <c r="G4" s="53">
        <f>'Power Purchased True-Up (Rev.)'!D47</f>
        <v>0.1</v>
      </c>
      <c r="H4" s="88">
        <f>'Power Purchased True-Up (Rev.)'!D60</f>
        <v>9.5000000000000001E-2</v>
      </c>
      <c r="I4" t="s">
        <v>82</v>
      </c>
    </row>
    <row r="5" spans="2:9" x14ac:dyDescent="0.25">
      <c r="B5" s="211"/>
      <c r="C5" s="45" t="s">
        <v>86</v>
      </c>
      <c r="D5" s="42">
        <f>'Power Purchased True-Up (Rev.)'!D9</f>
        <v>2592935.1225999999</v>
      </c>
      <c r="E5" s="38">
        <f>'Power Purchased True-Up (Rev.)'!D22</f>
        <v>3054497.8222000003</v>
      </c>
      <c r="F5" s="38">
        <f>'Power Purchased True-Up (Rev.)'!D35</f>
        <v>3390036.7749750004</v>
      </c>
      <c r="G5" s="38">
        <f>'Power Purchased True-Up (Rev.)'!D48</f>
        <v>3789228.5277500004</v>
      </c>
      <c r="H5" s="89">
        <f>'Power Purchased True-Up (Rev.)'!D61</f>
        <v>3669568.5888625002</v>
      </c>
      <c r="I5" t="s">
        <v>217</v>
      </c>
    </row>
    <row r="6" spans="2:9" x14ac:dyDescent="0.25">
      <c r="B6" s="211"/>
      <c r="C6" s="45"/>
      <c r="D6" s="18"/>
      <c r="E6" s="216"/>
      <c r="F6" s="216"/>
      <c r="G6" s="216"/>
      <c r="H6" s="90"/>
      <c r="I6" s="10"/>
    </row>
    <row r="7" spans="2:9" x14ac:dyDescent="0.25">
      <c r="B7" s="211"/>
      <c r="C7" s="45" t="s">
        <v>131</v>
      </c>
      <c r="D7" s="41">
        <f>'Power Purchased True-Up (Rev.)'!E10</f>
        <v>1296467.5612999999</v>
      </c>
      <c r="E7" s="37">
        <f>'Power Purchased True-Up (Rev.)'!E23</f>
        <v>1527248.9111000001</v>
      </c>
      <c r="F7" s="37">
        <f>'Power Purchased True-Up (Rev.)'!E36</f>
        <v>1695018.3874875002</v>
      </c>
      <c r="G7" s="37">
        <f>'Power Purchased True-Up (Rev.)'!E49</f>
        <v>1894614.2638750002</v>
      </c>
      <c r="H7" s="126">
        <f>'Power Purchased True-Up (Rev.)'!E62</f>
        <v>1834784.2944312501</v>
      </c>
      <c r="I7" t="s">
        <v>84</v>
      </c>
    </row>
    <row r="8" spans="2:9" x14ac:dyDescent="0.25">
      <c r="B8" s="211"/>
      <c r="C8" s="45" t="s">
        <v>77</v>
      </c>
      <c r="D8" s="18"/>
      <c r="E8" s="216"/>
      <c r="F8" s="219">
        <f>-D26</f>
        <v>-321540.83333333331</v>
      </c>
      <c r="G8" s="219">
        <f>-E26</f>
        <v>953842.42856374534</v>
      </c>
      <c r="H8" s="62">
        <f>-F26</f>
        <v>775912.90946397721</v>
      </c>
      <c r="I8" t="s">
        <v>83</v>
      </c>
    </row>
    <row r="9" spans="2:9" x14ac:dyDescent="0.25">
      <c r="B9" s="211"/>
      <c r="C9" s="45" t="s">
        <v>218</v>
      </c>
      <c r="D9" s="18"/>
      <c r="E9" s="219">
        <f>'Power Purchased True-Up (Rev.)'!E26</f>
        <v>750333.90418575006</v>
      </c>
      <c r="F9" s="219">
        <f>'Power Purchased True-Up (Rev.)'!E39</f>
        <v>437578.33333333331</v>
      </c>
      <c r="G9" s="219"/>
      <c r="H9" s="62"/>
      <c r="I9" t="s">
        <v>80</v>
      </c>
    </row>
    <row r="10" spans="2:9" x14ac:dyDescent="0.25">
      <c r="B10" s="211"/>
      <c r="C10" s="46" t="s">
        <v>167</v>
      </c>
      <c r="D10" s="220">
        <f t="shared" ref="D10:E10" si="0">D7+D8+D9</f>
        <v>1296467.5612999999</v>
      </c>
      <c r="E10" s="220">
        <f t="shared" si="0"/>
        <v>2277582.8152857502</v>
      </c>
      <c r="F10" s="220">
        <f>F7+F8+F9</f>
        <v>1811055.8874875002</v>
      </c>
      <c r="G10" s="220">
        <f t="shared" ref="G10:H10" si="1">G7+G8+G9</f>
        <v>2848456.6924387454</v>
      </c>
      <c r="H10" s="92">
        <f t="shared" si="1"/>
        <v>2610697.2038952271</v>
      </c>
      <c r="I10" t="s">
        <v>136</v>
      </c>
    </row>
    <row r="11" spans="2:9" x14ac:dyDescent="0.25">
      <c r="B11" s="211"/>
      <c r="C11" s="45"/>
      <c r="D11" s="18"/>
      <c r="E11" s="216"/>
      <c r="F11" s="216"/>
      <c r="G11" s="216"/>
      <c r="H11" s="90"/>
    </row>
    <row r="12" spans="2:9" x14ac:dyDescent="0.25">
      <c r="B12" s="211"/>
      <c r="C12" s="45" t="s">
        <v>87</v>
      </c>
      <c r="D12" s="42">
        <f>'Power Purchased True-Up (Rev.)'!D15</f>
        <v>185090366</v>
      </c>
      <c r="E12" s="38">
        <f>'Power Purchased True-Up (Rev.)'!D29</f>
        <v>181380662</v>
      </c>
      <c r="F12" s="38">
        <f>'Power Purchased True-Up (Rev.)'!D42</f>
        <v>181000000</v>
      </c>
      <c r="G12" s="38">
        <f>'Power Purchased True-Up (Rev.)'!D54</f>
        <v>185000000</v>
      </c>
      <c r="H12" s="89">
        <f>'Power Purchased True-Up (Rev.)'!D67</f>
        <v>183000000</v>
      </c>
      <c r="I12" t="s">
        <v>81</v>
      </c>
    </row>
    <row r="13" spans="2:9" x14ac:dyDescent="0.25">
      <c r="B13" s="211"/>
      <c r="C13" s="45"/>
      <c r="D13" s="18"/>
      <c r="E13" s="216"/>
      <c r="F13" s="216"/>
      <c r="G13" s="216"/>
      <c r="H13" s="90"/>
    </row>
    <row r="14" spans="2:9" x14ac:dyDescent="0.25">
      <c r="B14" s="212"/>
      <c r="C14" s="48" t="s">
        <v>168</v>
      </c>
      <c r="D14" s="54">
        <f>-D10/D12</f>
        <v>-7.0045113061151972E-3</v>
      </c>
      <c r="E14" s="55">
        <f>-E10/E12</f>
        <v>-1.2556921946209184E-2</v>
      </c>
      <c r="F14" s="55">
        <f>-F10/F12</f>
        <v>-1.0005833632527626E-2</v>
      </c>
      <c r="G14" s="55">
        <f>-G10/G12</f>
        <v>-1.5397063202371596E-2</v>
      </c>
      <c r="H14" s="93">
        <f>-H10/H12</f>
        <v>-1.426610493931818E-2</v>
      </c>
      <c r="I14" t="s">
        <v>169</v>
      </c>
    </row>
    <row r="15" spans="2:9" x14ac:dyDescent="0.25">
      <c r="B15" s="210" t="s">
        <v>72</v>
      </c>
      <c r="C15" s="45"/>
      <c r="D15" s="51"/>
      <c r="E15" s="52"/>
      <c r="F15" s="52"/>
      <c r="G15" s="52"/>
      <c r="H15" s="94"/>
    </row>
    <row r="16" spans="2:9" x14ac:dyDescent="0.25">
      <c r="B16" s="211"/>
      <c r="C16" s="45" t="s">
        <v>66</v>
      </c>
      <c r="D16" s="41">
        <f>-'Power Purchased True-Up (Rev.)'!X10</f>
        <v>1120000</v>
      </c>
      <c r="E16" s="37">
        <f>-'Power Purchased True-Up (Rev.)'!X23</f>
        <v>1555125</v>
      </c>
      <c r="F16" s="37">
        <f>-'Power Purchased True-Up (Rev.)'!X36</f>
        <v>1602250</v>
      </c>
      <c r="G16" s="37">
        <f>-'Power Purchased True-Up (Rev.)'!X49</f>
        <v>1701875</v>
      </c>
      <c r="H16" s="91">
        <f>-'Power Purchased True-Up (Rev.)'!X62</f>
        <v>1696500</v>
      </c>
      <c r="I16" t="s">
        <v>80</v>
      </c>
    </row>
    <row r="17" spans="2:9" x14ac:dyDescent="0.25">
      <c r="B17" s="211"/>
      <c r="C17" s="45" t="s">
        <v>78</v>
      </c>
      <c r="D17" s="41"/>
      <c r="E17" s="37">
        <f>-'Power Purchased True-Up (Rev.)'!X24</f>
        <v>-500222.60279050004</v>
      </c>
      <c r="F17" s="37">
        <f>-'Power Purchased True-Up (Rev.)'!X37</f>
        <v>-327469.63472858345</v>
      </c>
      <c r="G17" s="37">
        <f>-'Power Purchased True-Up (Rev.)'!X50</f>
        <v>-674574.1190424969</v>
      </c>
      <c r="H17" s="91">
        <f>-'Power Purchased True-Up (Rev.)'!X63</f>
        <v>-835222.74916390004</v>
      </c>
      <c r="I17" t="s">
        <v>219</v>
      </c>
    </row>
    <row r="18" spans="2:9" x14ac:dyDescent="0.25">
      <c r="B18" s="211"/>
      <c r="C18" s="46" t="s">
        <v>79</v>
      </c>
      <c r="D18" s="41">
        <f>D16+D17</f>
        <v>1120000</v>
      </c>
      <c r="E18" s="37">
        <f>E16+E17</f>
        <v>1054902.3972095</v>
      </c>
      <c r="F18" s="219">
        <f>F16+F17</f>
        <v>1274780.3652714165</v>
      </c>
      <c r="G18" s="219">
        <f>G16+G17</f>
        <v>1027300.8809575031</v>
      </c>
      <c r="H18" s="62">
        <f>H16+H17</f>
        <v>861277.25083609996</v>
      </c>
      <c r="I18" t="s">
        <v>135</v>
      </c>
    </row>
    <row r="19" spans="2:9" x14ac:dyDescent="0.25">
      <c r="B19" s="211"/>
      <c r="C19" s="45"/>
      <c r="D19" s="41"/>
      <c r="E19" s="37"/>
      <c r="F19" s="37"/>
      <c r="G19" s="37"/>
      <c r="H19" s="91"/>
    </row>
    <row r="20" spans="2:9" x14ac:dyDescent="0.25">
      <c r="B20" s="211"/>
      <c r="C20" s="46" t="s">
        <v>65</v>
      </c>
      <c r="D20" s="41">
        <f>-'Power Purchased True-Up (Rev.)'!Y13</f>
        <v>819000</v>
      </c>
      <c r="E20" s="37">
        <f>-'Power Purchased True-Up (Rev.)'!Y26</f>
        <v>1961400</v>
      </c>
      <c r="F20" s="37">
        <f>-'Power Purchased True-Up (Rev.)'!Y39</f>
        <v>2004200</v>
      </c>
      <c r="G20" s="37">
        <f>-'Power Purchased True-Up (Rev.)'!Y52</f>
        <v>2492600</v>
      </c>
      <c r="H20" s="91">
        <f>-'Power Purchased True-Up (Rev.)'!Y65</f>
        <v>2706000</v>
      </c>
      <c r="I20" t="s">
        <v>80</v>
      </c>
    </row>
    <row r="21" spans="2:9" x14ac:dyDescent="0.25">
      <c r="B21" s="211"/>
      <c r="C21" s="47"/>
      <c r="D21" s="20"/>
      <c r="E21" s="21"/>
      <c r="F21" s="21"/>
      <c r="G21" s="21"/>
      <c r="H21" s="95"/>
    </row>
    <row r="22" spans="2:9" x14ac:dyDescent="0.25">
      <c r="B22" s="211"/>
      <c r="C22" s="45"/>
      <c r="D22" s="18"/>
      <c r="E22" s="216"/>
      <c r="F22" s="216"/>
      <c r="G22" s="216"/>
      <c r="H22" s="90"/>
    </row>
    <row r="23" spans="2:9" x14ac:dyDescent="0.25">
      <c r="B23" s="211"/>
      <c r="C23" s="45" t="s">
        <v>18</v>
      </c>
      <c r="D23" s="42">
        <f>D18-D20</f>
        <v>301000</v>
      </c>
      <c r="E23" s="38">
        <f>E18-E20</f>
        <v>-906497.60279050004</v>
      </c>
      <c r="F23" s="38">
        <f>F18-F20</f>
        <v>-729419.63472858351</v>
      </c>
      <c r="G23" s="38">
        <f>G18-G20</f>
        <v>-1465299.1190424969</v>
      </c>
      <c r="H23" s="89">
        <f>H18-H20</f>
        <v>-1844722.7491639</v>
      </c>
      <c r="I23" t="s">
        <v>80</v>
      </c>
    </row>
    <row r="24" spans="2:9" x14ac:dyDescent="0.25">
      <c r="B24" s="211"/>
      <c r="C24" s="45" t="s">
        <v>35</v>
      </c>
      <c r="D24" s="42">
        <f>-'Power Purchased True-Up (Rev.)'!S18</f>
        <v>6995.833333333333</v>
      </c>
      <c r="E24" s="38">
        <f>-'Power Purchased True-Up (Rev.)'!S31</f>
        <v>-11084.921661625311</v>
      </c>
      <c r="F24" s="38">
        <f>-'Power Purchased True-Up (Rev.)'!S44</f>
        <v>-19140.038433071808</v>
      </c>
      <c r="G24" s="38">
        <f>-'Power Purchased True-Up (Rev.)'!S57</f>
        <v>-17560.420052027308</v>
      </c>
      <c r="H24" s="89">
        <f>-'Power Purchased True-Up (Rev.)'!S70</f>
        <v>-28689.317687911058</v>
      </c>
      <c r="I24" t="s">
        <v>80</v>
      </c>
    </row>
    <row r="25" spans="2:9" x14ac:dyDescent="0.25">
      <c r="B25" s="211"/>
      <c r="C25" s="45" t="s">
        <v>67</v>
      </c>
      <c r="D25" s="42">
        <f>-'Power Purchased True-Up (Rev.)'!T31</f>
        <v>13545</v>
      </c>
      <c r="E25" s="38">
        <f>-'Power Purchased True-Up (Rev.)'!T44</f>
        <v>-36259.904111620002</v>
      </c>
      <c r="F25" s="38">
        <f>-'Power Purchased True-Up (Rev.)'!T57</f>
        <v>-27353.236302321864</v>
      </c>
      <c r="G25" s="38">
        <f>-'Power Purchased True-Up (Rev.)'!T70</f>
        <v>-47622.221368881153</v>
      </c>
      <c r="H25" s="89">
        <f>-'Power Purchased True-Up (Rev.)'!P70*'Input Data (Review)'!C111/100</f>
        <v>-55341.682474917005</v>
      </c>
      <c r="I25" t="s">
        <v>80</v>
      </c>
    </row>
    <row r="26" spans="2:9" x14ac:dyDescent="0.25">
      <c r="B26" s="211"/>
      <c r="C26" s="46" t="s">
        <v>68</v>
      </c>
      <c r="D26" s="43">
        <f>SUM(D23:D25)</f>
        <v>321540.83333333331</v>
      </c>
      <c r="E26" s="220">
        <f>SUM(E23:E25)</f>
        <v>-953842.42856374534</v>
      </c>
      <c r="F26" s="220">
        <f>SUM(F23:F25)</f>
        <v>-775912.90946397721</v>
      </c>
      <c r="G26" s="220">
        <f>SUM(G23:G25)</f>
        <v>-1530481.7604634054</v>
      </c>
      <c r="H26" s="92">
        <f>SUM(H23:H25)</f>
        <v>-1928753.7493267281</v>
      </c>
    </row>
    <row r="27" spans="2:9" ht="15.75" thickBot="1" x14ac:dyDescent="0.3">
      <c r="B27" s="213"/>
      <c r="C27" s="96"/>
      <c r="D27" s="97"/>
      <c r="E27" s="98"/>
      <c r="F27" s="98"/>
      <c r="G27" s="98"/>
      <c r="H27" s="64"/>
    </row>
    <row r="29" spans="2:9" x14ac:dyDescent="0.25">
      <c r="D29" s="140">
        <f>D2</f>
        <v>2024</v>
      </c>
      <c r="E29" s="140">
        <f>E2</f>
        <v>2025</v>
      </c>
      <c r="F29" s="140">
        <f>F2</f>
        <v>2026</v>
      </c>
      <c r="G29" s="140">
        <f>G2</f>
        <v>2027</v>
      </c>
      <c r="H29" s="140">
        <f>H2</f>
        <v>2028</v>
      </c>
    </row>
    <row r="30" spans="2:9" x14ac:dyDescent="0.25">
      <c r="B30" s="15" t="s">
        <v>170</v>
      </c>
      <c r="C30" s="16"/>
      <c r="D30" s="16"/>
      <c r="E30" s="16"/>
      <c r="F30" s="16"/>
      <c r="G30" s="16"/>
      <c r="H30" s="17"/>
    </row>
    <row r="31" spans="2:9" x14ac:dyDescent="0.25">
      <c r="B31" s="18"/>
      <c r="C31" s="221" t="str">
        <f t="shared" ref="C31:H31" si="2">C7</f>
        <v>Forecast net GA Savings</v>
      </c>
      <c r="D31" s="219">
        <f t="shared" si="2"/>
        <v>1296467.5612999999</v>
      </c>
      <c r="E31" s="219">
        <f t="shared" si="2"/>
        <v>1527248.9111000001</v>
      </c>
      <c r="F31" s="219">
        <f t="shared" si="2"/>
        <v>1695018.3874875002</v>
      </c>
      <c r="G31" s="219">
        <f t="shared" si="2"/>
        <v>1894614.2638750002</v>
      </c>
      <c r="H31" s="40">
        <f t="shared" si="2"/>
        <v>1834784.2944312501</v>
      </c>
    </row>
    <row r="32" spans="2:9" x14ac:dyDescent="0.25">
      <c r="B32" s="18"/>
      <c r="C32" s="221" t="s">
        <v>88</v>
      </c>
      <c r="D32" s="37">
        <f>-'Power Purchased True-Up (Rev.)'!Y12-'Power Purchased True-Up (Rev.)'!E10</f>
        <v>-176467.56129999994</v>
      </c>
      <c r="E32" s="37">
        <f>-'Power Purchased True-Up (Rev.)'!Y25-'Power Purchased True-Up (Rev.)'!E23</f>
        <v>-472346.51389050018</v>
      </c>
      <c r="F32" s="37">
        <f>-'Power Purchased True-Up (Rev.)'!Y38-'Power Purchased True-Up (Rev.)'!E36</f>
        <v>-420238.02221608371</v>
      </c>
      <c r="G32" s="37">
        <f>-'Power Purchased True-Up (Rev.)'!Y51-'Power Purchased True-Up (Rev.)'!E49</f>
        <v>-867313.38291749707</v>
      </c>
      <c r="H32" s="39">
        <f>-'Power Purchased True-Up (Rev.)'!Y64-'Power Purchased True-Up (Rev.)'!E62</f>
        <v>-973507.04359515011</v>
      </c>
    </row>
    <row r="33" spans="2:8" x14ac:dyDescent="0.25">
      <c r="B33" s="18"/>
      <c r="C33" s="221" t="str">
        <f>C20</f>
        <v>Actual credited to customers</v>
      </c>
      <c r="D33" s="219">
        <f>-D20</f>
        <v>-819000</v>
      </c>
      <c r="E33" s="219">
        <f>-E20</f>
        <v>-1961400</v>
      </c>
      <c r="F33" s="219">
        <f>-F20</f>
        <v>-2004200</v>
      </c>
      <c r="G33" s="219">
        <f>-G20</f>
        <v>-2492600</v>
      </c>
      <c r="H33" s="40">
        <f>-H20</f>
        <v>-2706000</v>
      </c>
    </row>
    <row r="34" spans="2:8" x14ac:dyDescent="0.25">
      <c r="B34" s="18"/>
      <c r="C34" s="216" t="s">
        <v>18</v>
      </c>
      <c r="D34" s="219">
        <f>SUM(D31:D33)</f>
        <v>301000</v>
      </c>
      <c r="E34" s="219">
        <f>SUM(E31:E33)</f>
        <v>-906497.60279050004</v>
      </c>
      <c r="F34" s="219">
        <f>SUM(F31:F33)</f>
        <v>-729419.63472858351</v>
      </c>
      <c r="G34" s="219">
        <f>SUM(G31:G33)</f>
        <v>-1465299.1190424969</v>
      </c>
      <c r="H34" s="40">
        <f>SUM(H31:H33)</f>
        <v>-1844722.7491639</v>
      </c>
    </row>
    <row r="35" spans="2:8" x14ac:dyDescent="0.25">
      <c r="B35" s="18"/>
      <c r="C35" s="216" t="s">
        <v>90</v>
      </c>
      <c r="D35" s="37">
        <f>-'Power Purchased True-Up (Rev.)'!S18</f>
        <v>6995.833333333333</v>
      </c>
      <c r="E35" s="37">
        <f>-'Power Purchased True-Up (Rev.)'!S31</f>
        <v>-11084.921661625311</v>
      </c>
      <c r="F35" s="37">
        <f>-'Power Purchased True-Up (Rev.)'!S44</f>
        <v>-19140.038433071808</v>
      </c>
      <c r="G35" s="37">
        <f>-'Power Purchased True-Up (Rev.)'!S57</f>
        <v>-17560.420052027308</v>
      </c>
      <c r="H35" s="39">
        <f>-'Power Purchased True-Up (Rev.)'!S70</f>
        <v>-28689.317687911058</v>
      </c>
    </row>
    <row r="36" spans="2:8" x14ac:dyDescent="0.25">
      <c r="B36" s="18"/>
      <c r="C36" s="216" t="s">
        <v>156</v>
      </c>
      <c r="D36" s="37"/>
      <c r="E36" s="37">
        <f>-'Power Purchased True-Up (Rev.)'!T31</f>
        <v>13545</v>
      </c>
      <c r="F36" s="37">
        <f>-'Power Purchased True-Up (Rev.)'!T44</f>
        <v>-36259.904111620002</v>
      </c>
      <c r="G36" s="37">
        <f>-'Power Purchased True-Up (Rev.)'!T57</f>
        <v>-27353.236302321864</v>
      </c>
      <c r="H36" s="39">
        <f>-'Power Purchased True-Up (Rev.)'!T70</f>
        <v>-47622.221368881153</v>
      </c>
    </row>
    <row r="37" spans="2:8" x14ac:dyDescent="0.25">
      <c r="B37" s="18"/>
      <c r="C37" s="221" t="s">
        <v>71</v>
      </c>
      <c r="D37" s="219"/>
      <c r="E37" s="219"/>
      <c r="F37" s="219">
        <f>-(D34+D35+E36)</f>
        <v>-321540.83333333331</v>
      </c>
      <c r="G37" s="219">
        <f t="shared" ref="G37:H37" si="3">-(E34+E35+F36)</f>
        <v>953842.42856374534</v>
      </c>
      <c r="H37" s="40">
        <f t="shared" si="3"/>
        <v>775912.90946397721</v>
      </c>
    </row>
    <row r="38" spans="2:8" x14ac:dyDescent="0.25">
      <c r="B38" s="20"/>
      <c r="C38" s="99" t="s">
        <v>89</v>
      </c>
      <c r="D38" s="49">
        <f>SUM(D31:D37)</f>
        <v>608995.83333333337</v>
      </c>
      <c r="E38" s="49">
        <f>SUM(E31:E37)</f>
        <v>-1810535.1272426255</v>
      </c>
      <c r="F38" s="49">
        <f>SUM(F31:F37)</f>
        <v>-1835780.045335192</v>
      </c>
      <c r="G38" s="49">
        <f>SUM(G31:G37)</f>
        <v>-2021669.4658755977</v>
      </c>
      <c r="H38" s="50">
        <f>SUM(H31:H37)</f>
        <v>-2989844.1279206146</v>
      </c>
    </row>
    <row r="41" spans="2:8" x14ac:dyDescent="0.25">
      <c r="H41" s="156"/>
    </row>
  </sheetData>
  <mergeCells count="2">
    <mergeCell ref="B3:B14"/>
    <mergeCell ref="B15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Input Data</vt:lpstr>
      <vt:lpstr>Power Purchased True-Up</vt:lpstr>
      <vt:lpstr>2023-24 Overcollection</vt:lpstr>
      <vt:lpstr>Summary</vt:lpstr>
      <vt:lpstr>Input Data (Review)</vt:lpstr>
      <vt:lpstr>Power Purchased True-Up (Rev.)</vt:lpstr>
      <vt:lpstr>2023-24 Overcollection (Rev.)</vt:lpstr>
      <vt:lpstr>Summary (Rev.)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2023-09-29T16:45:48Z</dcterms:created>
  <dcterms:modified xsi:type="dcterms:W3CDTF">2024-02-25T20:34:02Z</dcterms:modified>
</cp:coreProperties>
</file>