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julieqiuling_lee_hydroone_com/Documents/Desktop/CPUC/"/>
    </mc:Choice>
  </mc:AlternateContent>
  <xr:revisionPtr revIDLastSave="0" documentId="8_{829D103E-8DA6-4BB3-98F0-EEF13AC0FD7E}" xr6:coauthVersionLast="47" xr6:coauthVersionMax="47" xr10:uidLastSave="{00000000-0000-0000-0000-000000000000}"/>
  <bookViews>
    <workbookView xWindow="-120" yWindow="-120" windowWidth="29040" windowHeight="15840" xr2:uid="{C2806829-A3E6-4282-AA14-9A71F87B6E39}"/>
  </bookViews>
  <sheets>
    <sheet name="Residential" sheetId="1" r:id="rId1"/>
    <sheet name="GS&lt;50kW" sheetId="2" r:id="rId2"/>
    <sheet name="GS 50-4,999k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" l="1"/>
  <c r="L7" i="3"/>
  <c r="D27" i="3"/>
  <c r="G27" i="3" s="1"/>
  <c r="L26" i="3"/>
  <c r="G26" i="3"/>
  <c r="M23" i="3"/>
  <c r="H23" i="3"/>
  <c r="E23" i="3"/>
  <c r="C21" i="3"/>
  <c r="E21" i="3" s="1"/>
  <c r="C20" i="3"/>
  <c r="E20" i="3" s="1"/>
  <c r="F16" i="3"/>
  <c r="K16" i="3" s="1"/>
  <c r="M16" i="3" s="1"/>
  <c r="C16" i="3"/>
  <c r="E16" i="3" s="1"/>
  <c r="G14" i="3"/>
  <c r="C14" i="3"/>
  <c r="E14" i="3" s="1"/>
  <c r="G13" i="3"/>
  <c r="F11" i="3"/>
  <c r="K11" i="3" s="1"/>
  <c r="M11" i="3" s="1"/>
  <c r="M10" i="3"/>
  <c r="K10" i="3"/>
  <c r="H10" i="3"/>
  <c r="E10" i="3"/>
  <c r="K9" i="3"/>
  <c r="M9" i="3" s="1"/>
  <c r="H9" i="3"/>
  <c r="E9" i="3"/>
  <c r="G7" i="3"/>
  <c r="C7" i="3"/>
  <c r="E7" i="3" s="1"/>
  <c r="E8" i="3" s="1"/>
  <c r="C11" i="3"/>
  <c r="E11" i="3" s="1"/>
  <c r="F20" i="3"/>
  <c r="G29" i="2"/>
  <c r="L29" i="2" s="1"/>
  <c r="M26" i="2"/>
  <c r="H26" i="2"/>
  <c r="E26" i="2"/>
  <c r="K19" i="2"/>
  <c r="M19" i="2" s="1"/>
  <c r="H19" i="2"/>
  <c r="F19" i="2"/>
  <c r="F20" i="2" s="1"/>
  <c r="K17" i="2"/>
  <c r="M17" i="2" s="1"/>
  <c r="H17" i="2"/>
  <c r="E17" i="2"/>
  <c r="F16" i="2"/>
  <c r="K16" i="2" s="1"/>
  <c r="D16" i="2"/>
  <c r="C16" i="2"/>
  <c r="E16" i="2" s="1"/>
  <c r="E18" i="2" s="1"/>
  <c r="L14" i="2"/>
  <c r="G14" i="2"/>
  <c r="F14" i="2"/>
  <c r="K14" i="2" s="1"/>
  <c r="M14" i="2" s="1"/>
  <c r="C14" i="2"/>
  <c r="E14" i="2" s="1"/>
  <c r="K13" i="2"/>
  <c r="M13" i="2" s="1"/>
  <c r="H13" i="2"/>
  <c r="F13" i="2"/>
  <c r="C13" i="2"/>
  <c r="E13" i="2" s="1"/>
  <c r="L12" i="2"/>
  <c r="F12" i="2"/>
  <c r="K12" i="2" s="1"/>
  <c r="M12" i="2" s="1"/>
  <c r="C12" i="2"/>
  <c r="E12" i="2" s="1"/>
  <c r="K11" i="2"/>
  <c r="M11" i="2" s="1"/>
  <c r="H11" i="2"/>
  <c r="E11" i="2"/>
  <c r="M10" i="2"/>
  <c r="L10" i="2"/>
  <c r="K10" i="2"/>
  <c r="H10" i="2"/>
  <c r="E10" i="2"/>
  <c r="E15" i="2" s="1"/>
  <c r="G8" i="2"/>
  <c r="L8" i="2" s="1"/>
  <c r="E8" i="2"/>
  <c r="C8" i="2"/>
  <c r="F8" i="2" s="1"/>
  <c r="L7" i="2"/>
  <c r="G7" i="2"/>
  <c r="C7" i="2"/>
  <c r="F7" i="2" s="1"/>
  <c r="G6" i="2"/>
  <c r="L6" i="2" s="1"/>
  <c r="E6" i="2"/>
  <c r="C6" i="2"/>
  <c r="F6" i="2" s="1"/>
  <c r="D30" i="2"/>
  <c r="G30" i="2" s="1"/>
  <c r="L30" i="2" s="1"/>
  <c r="D31" i="1"/>
  <c r="G31" i="1" s="1"/>
  <c r="G30" i="1"/>
  <c r="H27" i="1"/>
  <c r="E27" i="1"/>
  <c r="F20" i="1"/>
  <c r="F21" i="1" s="1"/>
  <c r="C20" i="1"/>
  <c r="E20" i="1" s="1"/>
  <c r="H18" i="1"/>
  <c r="E18" i="1"/>
  <c r="F17" i="1"/>
  <c r="D17" i="1"/>
  <c r="G14" i="1"/>
  <c r="F14" i="1"/>
  <c r="C14" i="1"/>
  <c r="E14" i="1" s="1"/>
  <c r="F13" i="1"/>
  <c r="H13" i="1" s="1"/>
  <c r="C13" i="1"/>
  <c r="E13" i="1" s="1"/>
  <c r="F12" i="1"/>
  <c r="C12" i="1"/>
  <c r="E12" i="1" s="1"/>
  <c r="H11" i="1"/>
  <c r="E11" i="1"/>
  <c r="E10" i="1"/>
  <c r="G8" i="1"/>
  <c r="C8" i="1"/>
  <c r="E8" i="1" s="1"/>
  <c r="G7" i="1"/>
  <c r="F7" i="1"/>
  <c r="E7" i="1"/>
  <c r="C7" i="1"/>
  <c r="G6" i="1"/>
  <c r="C6" i="1"/>
  <c r="F6" i="1" s="1"/>
  <c r="C17" i="1"/>
  <c r="G17" i="1" l="1"/>
  <c r="H17" i="1" s="1"/>
  <c r="H19" i="1" s="1"/>
  <c r="I19" i="1" s="1"/>
  <c r="J19" i="1" s="1"/>
  <c r="H14" i="1"/>
  <c r="E17" i="1"/>
  <c r="E19" i="1" s="1"/>
  <c r="K6" i="2"/>
  <c r="M6" i="2" s="1"/>
  <c r="H6" i="2"/>
  <c r="M15" i="2"/>
  <c r="K20" i="3"/>
  <c r="H20" i="3"/>
  <c r="F22" i="3"/>
  <c r="H22" i="3" s="1"/>
  <c r="F21" i="3"/>
  <c r="H21" i="3" s="1"/>
  <c r="E9" i="2"/>
  <c r="H8" i="2"/>
  <c r="K8" i="2"/>
  <c r="M8" i="2" s="1"/>
  <c r="L16" i="2"/>
  <c r="M16" i="2" s="1"/>
  <c r="M18" i="2" s="1"/>
  <c r="N18" i="2" s="1"/>
  <c r="O18" i="2" s="1"/>
  <c r="K7" i="2"/>
  <c r="M7" i="2" s="1"/>
  <c r="H7" i="2"/>
  <c r="F25" i="2"/>
  <c r="H25" i="2" s="1"/>
  <c r="H20" i="2"/>
  <c r="H21" i="2" s="1"/>
  <c r="F23" i="2"/>
  <c r="H23" i="2" s="1"/>
  <c r="F24" i="2"/>
  <c r="H24" i="2" s="1"/>
  <c r="K20" i="2"/>
  <c r="L27" i="3"/>
  <c r="H16" i="3"/>
  <c r="C12" i="3"/>
  <c r="E12" i="3" s="1"/>
  <c r="F14" i="3"/>
  <c r="H11" i="3"/>
  <c r="E7" i="2"/>
  <c r="G16" i="2"/>
  <c r="H16" i="2" s="1"/>
  <c r="H18" i="2" s="1"/>
  <c r="I18" i="2" s="1"/>
  <c r="J18" i="2" s="1"/>
  <c r="C19" i="2"/>
  <c r="F12" i="3"/>
  <c r="C17" i="3"/>
  <c r="E17" i="3" s="1"/>
  <c r="E18" i="3" s="1"/>
  <c r="C22" i="3"/>
  <c r="E22" i="3" s="1"/>
  <c r="E24" i="3" s="1"/>
  <c r="H12" i="2"/>
  <c r="H15" i="2" s="1"/>
  <c r="H14" i="2"/>
  <c r="F17" i="3"/>
  <c r="F7" i="3"/>
  <c r="C13" i="3"/>
  <c r="E13" i="3" s="1"/>
  <c r="E15" i="3" s="1"/>
  <c r="F13" i="3"/>
  <c r="H6" i="1"/>
  <c r="E15" i="1"/>
  <c r="E16" i="1" s="1"/>
  <c r="H21" i="1"/>
  <c r="F25" i="1"/>
  <c r="H25" i="1" s="1"/>
  <c r="F24" i="1"/>
  <c r="H24" i="1" s="1"/>
  <c r="F26" i="1"/>
  <c r="H26" i="1" s="1"/>
  <c r="E6" i="1"/>
  <c r="E9" i="1" s="1"/>
  <c r="H10" i="1"/>
  <c r="H15" i="1" s="1"/>
  <c r="H16" i="1" s="1"/>
  <c r="C21" i="1"/>
  <c r="F8" i="1"/>
  <c r="H7" i="1"/>
  <c r="H12" i="1"/>
  <c r="H20" i="1"/>
  <c r="I15" i="2" l="1"/>
  <c r="J15" i="2" s="1"/>
  <c r="H22" i="2"/>
  <c r="E19" i="3"/>
  <c r="E25" i="3"/>
  <c r="H13" i="3"/>
  <c r="K13" i="3"/>
  <c r="M13" i="3" s="1"/>
  <c r="K22" i="3"/>
  <c r="M22" i="3" s="1"/>
  <c r="K21" i="3"/>
  <c r="M21" i="3" s="1"/>
  <c r="M20" i="3"/>
  <c r="M24" i="3" s="1"/>
  <c r="N24" i="3" s="1"/>
  <c r="O24" i="3" s="1"/>
  <c r="M20" i="2"/>
  <c r="M21" i="2" s="1"/>
  <c r="K25" i="2"/>
  <c r="M25" i="2" s="1"/>
  <c r="K24" i="2"/>
  <c r="M24" i="2" s="1"/>
  <c r="K23" i="2"/>
  <c r="M23" i="2" s="1"/>
  <c r="M22" i="2"/>
  <c r="N15" i="2"/>
  <c r="O15" i="2" s="1"/>
  <c r="K7" i="3"/>
  <c r="M7" i="3" s="1"/>
  <c r="M8" i="3" s="1"/>
  <c r="H7" i="3"/>
  <c r="H8" i="3" s="1"/>
  <c r="H9" i="2"/>
  <c r="K12" i="3"/>
  <c r="M12" i="3" s="1"/>
  <c r="H12" i="3"/>
  <c r="M9" i="2"/>
  <c r="H24" i="3"/>
  <c r="I24" i="3" s="1"/>
  <c r="J24" i="3" s="1"/>
  <c r="H27" i="2"/>
  <c r="C20" i="2"/>
  <c r="E19" i="2"/>
  <c r="K14" i="3"/>
  <c r="M14" i="3" s="1"/>
  <c r="H14" i="3"/>
  <c r="H15" i="3" s="1"/>
  <c r="K17" i="3"/>
  <c r="M17" i="3" s="1"/>
  <c r="M18" i="3" s="1"/>
  <c r="N18" i="3" s="1"/>
  <c r="O18" i="3" s="1"/>
  <c r="H17" i="3"/>
  <c r="H18" i="3" s="1"/>
  <c r="I18" i="3" s="1"/>
  <c r="J18" i="3" s="1"/>
  <c r="C24" i="1"/>
  <c r="E24" i="1" s="1"/>
  <c r="E21" i="1"/>
  <c r="E22" i="1" s="1"/>
  <c r="C26" i="1"/>
  <c r="E26" i="1" s="1"/>
  <c r="C25" i="1"/>
  <c r="E25" i="1" s="1"/>
  <c r="H8" i="1"/>
  <c r="H9" i="1" s="1"/>
  <c r="I16" i="1"/>
  <c r="J16" i="1" s="1"/>
  <c r="H23" i="1"/>
  <c r="H28" i="1"/>
  <c r="H22" i="1"/>
  <c r="I15" i="3" l="1"/>
  <c r="J15" i="3" s="1"/>
  <c r="H19" i="3"/>
  <c r="I19" i="3" s="1"/>
  <c r="J19" i="3" s="1"/>
  <c r="N8" i="3"/>
  <c r="O8" i="3" s="1"/>
  <c r="M27" i="2"/>
  <c r="E20" i="2"/>
  <c r="E21" i="2" s="1"/>
  <c r="C25" i="2"/>
  <c r="E25" i="2" s="1"/>
  <c r="C23" i="2"/>
  <c r="E23" i="2" s="1"/>
  <c r="E27" i="2" s="1"/>
  <c r="I27" i="2" s="1"/>
  <c r="J27" i="2" s="1"/>
  <c r="C24" i="2"/>
  <c r="E24" i="2" s="1"/>
  <c r="M28" i="2"/>
  <c r="N9" i="2"/>
  <c r="O9" i="2" s="1"/>
  <c r="E26" i="3"/>
  <c r="E28" i="3" s="1"/>
  <c r="E27" i="3"/>
  <c r="M15" i="3"/>
  <c r="M25" i="3" s="1"/>
  <c r="H28" i="2"/>
  <c r="I9" i="2"/>
  <c r="J9" i="2" s="1"/>
  <c r="I8" i="3"/>
  <c r="J8" i="3" s="1"/>
  <c r="H25" i="3"/>
  <c r="H29" i="1"/>
  <c r="I9" i="1"/>
  <c r="J9" i="1" s="1"/>
  <c r="E28" i="1"/>
  <c r="E29" i="1" s="1"/>
  <c r="E23" i="1"/>
  <c r="I23" i="1" s="1"/>
  <c r="J23" i="1" s="1"/>
  <c r="I22" i="1"/>
  <c r="J22" i="1" s="1"/>
  <c r="I28" i="1"/>
  <c r="J28" i="1" s="1"/>
  <c r="N25" i="3" l="1"/>
  <c r="O25" i="3" s="1"/>
  <c r="M26" i="3"/>
  <c r="M27" i="3"/>
  <c r="E22" i="2"/>
  <c r="I21" i="2"/>
  <c r="J21" i="2" s="1"/>
  <c r="N21" i="2" s="1"/>
  <c r="E28" i="2"/>
  <c r="I25" i="3"/>
  <c r="J25" i="3" s="1"/>
  <c r="H26" i="3"/>
  <c r="H28" i="3" s="1"/>
  <c r="I28" i="3" s="1"/>
  <c r="J28" i="3" s="1"/>
  <c r="H27" i="3"/>
  <c r="N15" i="3"/>
  <c r="O15" i="3" s="1"/>
  <c r="M19" i="3"/>
  <c r="N19" i="3" s="1"/>
  <c r="O19" i="3" s="1"/>
  <c r="M30" i="2"/>
  <c r="M29" i="2"/>
  <c r="M31" i="2" s="1"/>
  <c r="N27" i="2"/>
  <c r="O27" i="2" s="1"/>
  <c r="H30" i="2"/>
  <c r="H29" i="2"/>
  <c r="E30" i="1"/>
  <c r="E31" i="1"/>
  <c r="E32" i="1" s="1"/>
  <c r="I29" i="1"/>
  <c r="J29" i="1" s="1"/>
  <c r="H31" i="1"/>
  <c r="H30" i="1"/>
  <c r="H32" i="1" l="1"/>
  <c r="H31" i="2"/>
  <c r="M28" i="3"/>
  <c r="N28" i="3" s="1"/>
  <c r="O28" i="3" s="1"/>
  <c r="I32" i="1"/>
  <c r="J32" i="1" s="1"/>
  <c r="N22" i="2"/>
  <c r="O22" i="2" s="1"/>
  <c r="I22" i="2"/>
  <c r="J22" i="2" s="1"/>
  <c r="E30" i="2"/>
  <c r="E29" i="2"/>
  <c r="E31" i="2" s="1"/>
  <c r="I28" i="2"/>
  <c r="J28" i="2" s="1"/>
  <c r="N28" i="2"/>
  <c r="O28" i="2" s="1"/>
  <c r="I31" i="2" l="1"/>
  <c r="J31" i="2" s="1"/>
  <c r="N31" i="2"/>
  <c r="O31" i="2" s="1"/>
</calcChain>
</file>

<file path=xl/sharedStrings.xml><?xml version="1.0" encoding="utf-8"?>
<sst xmlns="http://schemas.openxmlformats.org/spreadsheetml/2006/main" count="133" uniqueCount="53">
  <si>
    <t>Residential</t>
  </si>
  <si>
    <t>Monthly Consumption (kWh)</t>
  </si>
  <si>
    <t>Loss Factor - CPUC</t>
  </si>
  <si>
    <t>Bill Component</t>
  </si>
  <si>
    <t>Volume</t>
  </si>
  <si>
    <t>Price</t>
  </si>
  <si>
    <t>TOU Off-Peak</t>
  </si>
  <si>
    <t>TOU Mid-Peak</t>
  </si>
  <si>
    <t>TOU On-Peak</t>
  </si>
  <si>
    <t>Total Commodity Charges</t>
  </si>
  <si>
    <t>DX Fixed Charge</t>
  </si>
  <si>
    <t>DX Fixed Rider</t>
  </si>
  <si>
    <t>DX Vol Charge</t>
  </si>
  <si>
    <t>DX LV Charge</t>
  </si>
  <si>
    <t>DX Vol Rider</t>
  </si>
  <si>
    <t>Total Distribution Charges</t>
  </si>
  <si>
    <t>Total Distribution Charges (after DRP)</t>
  </si>
  <si>
    <t>Cost of Losses</t>
  </si>
  <si>
    <t>SME</t>
  </si>
  <si>
    <t>Total Pass-Through Charges</t>
  </si>
  <si>
    <t>RTSR-N</t>
  </si>
  <si>
    <t>RTSR-C</t>
  </si>
  <si>
    <t>Total Transmission Charges</t>
  </si>
  <si>
    <t>Total Delivery Charges (after DRP)</t>
  </si>
  <si>
    <t>WMSC</t>
  </si>
  <si>
    <t>CBR-B</t>
  </si>
  <si>
    <t>RRRP</t>
  </si>
  <si>
    <t>SSS</t>
  </si>
  <si>
    <t>Total Regulatory Charges</t>
  </si>
  <si>
    <t>Total Bill</t>
  </si>
  <si>
    <t>HST</t>
  </si>
  <si>
    <t>OER</t>
  </si>
  <si>
    <t>Total Bill with Taxes and Rebates</t>
  </si>
  <si>
    <t>General Service &lt; 50kW</t>
  </si>
  <si>
    <t>Total Delivery Charges</t>
  </si>
  <si>
    <t>General Service 50-4,999 kW</t>
  </si>
  <si>
    <t>Monthly Peak (kW)</t>
  </si>
  <si>
    <t>Weighted Average Hourly Spot Price</t>
  </si>
  <si>
    <t>GA Rate Rider</t>
  </si>
  <si>
    <t>After Harmonization to Hydro One Rate Structure (based on approved 2024 Hydro One rates)</t>
  </si>
  <si>
    <t>Loss Factor - Hydro One</t>
  </si>
  <si>
    <t>Before Harmonization to Hydro One Rate Structure (based on proposed Chapleau 2024 rates per EB-2023-0011)</t>
  </si>
  <si>
    <t>After Harmonization to Hydro One Rate Structure - before mitigation (based on approved 2024 Hydro One rates for GSe class)</t>
  </si>
  <si>
    <t>After Harmonization to Hydro One Rate Structure - after mitigation (based on approved 2024 Hydro One rates for GSe class)</t>
  </si>
  <si>
    <t>After Harmonization to Hydro One Rate Structure - before mitigation (based on approved 2024 Hydro One rates for GSd class)</t>
  </si>
  <si>
    <t>After Harmonization to Hydro One Rate Structure - after mitigation (based on approved 2024 Hydro One rates for GSd class)</t>
  </si>
  <si>
    <t>Proposed 2024 Total Charge ($) [A]</t>
  </si>
  <si>
    <t>Proposed 2024 Total Charge ($) [B]</t>
  </si>
  <si>
    <t>Difference ($) [C=B-A]</t>
  </si>
  <si>
    <t>Difference (%) [D=C/A]</t>
  </si>
  <si>
    <t>Proposed 2024 Total Charge ($) [E]</t>
  </si>
  <si>
    <t>Difference ($) [F=E-A]</t>
  </si>
  <si>
    <t>Difference (%) [G=F/A]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</si>
</sst>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&quot;$&quot;#,##0.00"/>
    <numFmt numFmtId="166" formatCode="&quot;$&quot;#,##0.000"/>
    <numFmt numFmtId="167" formatCode="&quot;$&quot;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0">
    <xf numFmtId="0" fontId="0" fillId="0" borderId="0" xfId="0"/>
    <xf numFmtId="0" fontId="2" fillId="0" borderId="4" xfId="0" applyFont="1" applyBorder="1" applyAlignment="1">
      <alignment vertical="center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24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0" xfId="0" applyFont="1"/>
    <xf numFmtId="165" fontId="2" fillId="0" borderId="15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2" fillId="0" borderId="22" xfId="0" applyFont="1" applyBorder="1"/>
    <xf numFmtId="164" fontId="0" fillId="0" borderId="35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3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4" xfId="0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165" fontId="2" fillId="0" borderId="45" xfId="0" applyNumberFormat="1" applyFon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5" fontId="2" fillId="0" borderId="43" xfId="0" applyNumberFormat="1" applyFont="1" applyBorder="1" applyAlignment="1">
      <alignment horizontal="center"/>
    </xf>
    <xf numFmtId="9" fontId="2" fillId="0" borderId="28" xfId="1" applyFont="1" applyBorder="1" applyAlignment="1">
      <alignment horizontal="center"/>
    </xf>
    <xf numFmtId="9" fontId="0" fillId="0" borderId="24" xfId="1" applyFont="1" applyBorder="1" applyAlignment="1">
      <alignment horizontal="center"/>
    </xf>
    <xf numFmtId="9" fontId="0" fillId="0" borderId="25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2" fillId="0" borderId="26" xfId="1" applyFont="1" applyBorder="1" applyAlignment="1">
      <alignment horizontal="center"/>
    </xf>
    <xf numFmtId="9" fontId="2" fillId="0" borderId="24" xfId="1" applyFon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37" fontId="2" fillId="0" borderId="36" xfId="2" applyNumberFormat="1" applyFont="1" applyBorder="1" applyAlignment="1" applyProtection="1">
      <alignment horizontal="center" vertical="center"/>
      <protection locked="0"/>
    </xf>
    <xf numFmtId="164" fontId="2" fillId="0" borderId="28" xfId="1" applyNumberFormat="1" applyFont="1" applyFill="1" applyBorder="1" applyAlignment="1">
      <alignment horizontal="center" vertical="center" wrapText="1"/>
    </xf>
    <xf numFmtId="165" fontId="0" fillId="0" borderId="19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64" fontId="2" fillId="0" borderId="44" xfId="1" applyNumberFormat="1" applyFont="1" applyFill="1" applyBorder="1" applyAlignment="1">
      <alignment horizontal="center" vertical="center" wrapText="1"/>
    </xf>
    <xf numFmtId="164" fontId="0" fillId="0" borderId="4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5" fontId="2" fillId="2" borderId="28" xfId="0" applyNumberFormat="1" applyFont="1" applyFill="1" applyBorder="1" applyAlignment="1">
      <alignment horizontal="center"/>
    </xf>
    <xf numFmtId="165" fontId="2" fillId="2" borderId="44" xfId="0" applyNumberFormat="1" applyFont="1" applyFill="1" applyBorder="1" applyAlignment="1">
      <alignment horizontal="center"/>
    </xf>
    <xf numFmtId="165" fontId="2" fillId="2" borderId="27" xfId="0" applyNumberFormat="1" applyFont="1" applyFill="1" applyBorder="1" applyAlignment="1">
      <alignment horizontal="center"/>
    </xf>
    <xf numFmtId="9" fontId="2" fillId="2" borderId="28" xfId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9" fontId="2" fillId="0" borderId="44" xfId="1" applyFont="1" applyBorder="1" applyAlignment="1">
      <alignment horizontal="center"/>
    </xf>
    <xf numFmtId="9" fontId="0" fillId="0" borderId="35" xfId="1" applyFont="1" applyBorder="1" applyAlignment="1">
      <alignment horizontal="center"/>
    </xf>
    <xf numFmtId="9" fontId="0" fillId="0" borderId="36" xfId="1" applyFont="1" applyBorder="1" applyAlignment="1">
      <alignment horizontal="center"/>
    </xf>
    <xf numFmtId="9" fontId="0" fillId="0" borderId="47" xfId="1" applyFont="1" applyBorder="1" applyAlignment="1">
      <alignment horizontal="center"/>
    </xf>
    <xf numFmtId="9" fontId="2" fillId="0" borderId="47" xfId="1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9" fontId="0" fillId="0" borderId="29" xfId="1" applyFont="1" applyBorder="1" applyAlignment="1">
      <alignment horizontal="center"/>
    </xf>
    <xf numFmtId="9" fontId="0" fillId="0" borderId="38" xfId="1" applyFont="1" applyBorder="1" applyAlignment="1">
      <alignment horizontal="center"/>
    </xf>
    <xf numFmtId="9" fontId="2" fillId="0" borderId="38" xfId="1" applyFont="1" applyBorder="1" applyAlignment="1">
      <alignment horizontal="center"/>
    </xf>
    <xf numFmtId="9" fontId="2" fillId="0" borderId="21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9" fontId="2" fillId="0" borderId="29" xfId="1" applyFont="1" applyBorder="1" applyAlignment="1">
      <alignment horizontal="center"/>
    </xf>
    <xf numFmtId="164" fontId="2" fillId="2" borderId="28" xfId="1" applyNumberFormat="1" applyFont="1" applyFill="1" applyBorder="1" applyAlignment="1">
      <alignment horizontal="center"/>
    </xf>
    <xf numFmtId="9" fontId="2" fillId="0" borderId="26" xfId="1" applyFont="1" applyFill="1" applyBorder="1" applyAlignment="1">
      <alignment horizontal="center"/>
    </xf>
    <xf numFmtId="9" fontId="2" fillId="2" borderId="44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21" xfId="1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0" borderId="4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5" xfId="0" applyBorder="1" applyAlignment="1">
      <alignment horizontal="left"/>
    </xf>
  </cellXfs>
  <cellStyles count="3">
    <cellStyle name="Comma 4" xfId="2" xr:uid="{0BFB68AA-720E-49F5-A41E-F5721CB3C601}"/>
    <cellStyle name="Normal" xfId="0" builtinId="0"/>
    <cellStyle name="Percent" xfId="1" builtinId="5"/>
  </cellStyles>
  <dxfs count="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1C2B-7620-4911-87B7-F3565B25C334}">
  <dimension ref="A1:J34"/>
  <sheetViews>
    <sheetView tabSelected="1" zoomScale="85" zoomScaleNormal="85" workbookViewId="0">
      <selection activeCell="G10" sqref="G10"/>
    </sheetView>
  </sheetViews>
  <sheetFormatPr defaultRowHeight="15" x14ac:dyDescent="0.25"/>
  <cols>
    <col min="1" max="1" width="27.42578125" bestFit="1" customWidth="1"/>
    <col min="2" max="2" width="8.42578125" customWidth="1"/>
    <col min="3" max="3" width="13.140625" style="40" customWidth="1"/>
    <col min="4" max="4" width="13.140625" customWidth="1"/>
    <col min="5" max="5" width="15" bestFit="1" customWidth="1"/>
    <col min="6" max="6" width="10.85546875" style="40" customWidth="1"/>
    <col min="7" max="7" width="11" customWidth="1"/>
    <col min="8" max="8" width="14.140625" customWidth="1"/>
    <col min="9" max="9" width="13.28515625" style="41" customWidth="1"/>
    <col min="10" max="10" width="13.140625" style="39" customWidth="1"/>
  </cols>
  <sheetData>
    <row r="1" spans="1:10" ht="15.75" thickBot="1" x14ac:dyDescent="0.3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0" ht="28.5" customHeight="1" x14ac:dyDescent="0.25">
      <c r="A2" s="1" t="s">
        <v>1</v>
      </c>
      <c r="B2" s="51">
        <v>750</v>
      </c>
      <c r="C2" s="149" t="s">
        <v>41</v>
      </c>
      <c r="D2" s="150"/>
      <c r="E2" s="151"/>
      <c r="F2" s="149" t="s">
        <v>39</v>
      </c>
      <c r="G2" s="150"/>
      <c r="H2" s="151"/>
      <c r="I2" s="133" t="s">
        <v>48</v>
      </c>
      <c r="J2" s="136" t="s">
        <v>49</v>
      </c>
    </row>
    <row r="3" spans="1:10" ht="15" customHeight="1" x14ac:dyDescent="0.25">
      <c r="A3" s="3" t="s">
        <v>2</v>
      </c>
      <c r="B3" s="52">
        <v>1.0705</v>
      </c>
      <c r="C3" s="152"/>
      <c r="D3" s="153"/>
      <c r="E3" s="154"/>
      <c r="F3" s="152"/>
      <c r="G3" s="153"/>
      <c r="H3" s="154"/>
      <c r="I3" s="134"/>
      <c r="J3" s="137"/>
    </row>
    <row r="4" spans="1:10" ht="15.75" thickBot="1" x14ac:dyDescent="0.3">
      <c r="A4" s="5" t="s">
        <v>40</v>
      </c>
      <c r="B4" s="53">
        <v>1.0760000000000001</v>
      </c>
      <c r="C4" s="155"/>
      <c r="D4" s="156"/>
      <c r="E4" s="157"/>
      <c r="F4" s="155"/>
      <c r="G4" s="156"/>
      <c r="H4" s="157"/>
      <c r="I4" s="134"/>
      <c r="J4" s="137"/>
    </row>
    <row r="5" spans="1:10" ht="45.75" thickBot="1" x14ac:dyDescent="0.3">
      <c r="A5" s="141" t="s">
        <v>3</v>
      </c>
      <c r="B5" s="142"/>
      <c r="C5" s="59" t="s">
        <v>4</v>
      </c>
      <c r="D5" s="7" t="s">
        <v>5</v>
      </c>
      <c r="E5" s="60" t="s">
        <v>46</v>
      </c>
      <c r="F5" s="59" t="s">
        <v>4</v>
      </c>
      <c r="G5" s="7" t="s">
        <v>5</v>
      </c>
      <c r="H5" s="60" t="s">
        <v>47</v>
      </c>
      <c r="I5" s="135"/>
      <c r="J5" s="138"/>
    </row>
    <row r="6" spans="1:10" x14ac:dyDescent="0.25">
      <c r="A6" s="143" t="s">
        <v>6</v>
      </c>
      <c r="B6" s="144"/>
      <c r="C6" s="25">
        <f>B$2*0.63</f>
        <v>472.5</v>
      </c>
      <c r="D6" s="92">
        <v>8.6999999999999994E-2</v>
      </c>
      <c r="E6" s="61">
        <f t="shared" ref="E6:E8" si="0">C6*D6</f>
        <v>41.107499999999995</v>
      </c>
      <c r="F6" s="25">
        <f>C6</f>
        <v>472.5</v>
      </c>
      <c r="G6" s="92">
        <f>D6</f>
        <v>8.6999999999999994E-2</v>
      </c>
      <c r="H6" s="61">
        <f t="shared" ref="H6:H8" si="1">F6*G6</f>
        <v>41.107499999999995</v>
      </c>
      <c r="I6" s="68"/>
      <c r="J6" s="11"/>
    </row>
    <row r="7" spans="1:10" x14ac:dyDescent="0.25">
      <c r="A7" s="145" t="s">
        <v>7</v>
      </c>
      <c r="B7" s="146"/>
      <c r="C7" s="34">
        <f>B$2*0.18</f>
        <v>135</v>
      </c>
      <c r="D7" s="93">
        <v>0.122</v>
      </c>
      <c r="E7" s="62">
        <f t="shared" si="0"/>
        <v>16.47</v>
      </c>
      <c r="F7" s="34">
        <f t="shared" ref="F7:F8" si="2">C7</f>
        <v>135</v>
      </c>
      <c r="G7" s="93">
        <f>D7</f>
        <v>0.122</v>
      </c>
      <c r="H7" s="62">
        <f t="shared" si="1"/>
        <v>16.47</v>
      </c>
      <c r="I7" s="69"/>
      <c r="J7" s="14"/>
    </row>
    <row r="8" spans="1:10" ht="15.75" thickBot="1" x14ac:dyDescent="0.3">
      <c r="A8" s="147" t="s">
        <v>8</v>
      </c>
      <c r="B8" s="148"/>
      <c r="C8" s="36">
        <f>B$2*0.19</f>
        <v>142.5</v>
      </c>
      <c r="D8" s="94">
        <v>0.182</v>
      </c>
      <c r="E8" s="63">
        <f t="shared" si="0"/>
        <v>25.934999999999999</v>
      </c>
      <c r="F8" s="36">
        <f t="shared" si="2"/>
        <v>142.5</v>
      </c>
      <c r="G8" s="94">
        <f>D8</f>
        <v>0.182</v>
      </c>
      <c r="H8" s="63">
        <f t="shared" si="1"/>
        <v>25.934999999999999</v>
      </c>
      <c r="I8" s="70"/>
      <c r="J8" s="17"/>
    </row>
    <row r="9" spans="1:10" s="19" customFormat="1" ht="15.75" thickBot="1" x14ac:dyDescent="0.3">
      <c r="A9" s="139" t="s">
        <v>9</v>
      </c>
      <c r="B9" s="140"/>
      <c r="C9" s="64"/>
      <c r="D9" s="18"/>
      <c r="E9" s="65">
        <f>SUM(E6:E8)</f>
        <v>83.512499999999989</v>
      </c>
      <c r="F9" s="64"/>
      <c r="G9" s="18"/>
      <c r="H9" s="65">
        <f>SUM(H6:H8)</f>
        <v>83.512499999999989</v>
      </c>
      <c r="I9" s="71">
        <f>(H9-E9)</f>
        <v>0</v>
      </c>
      <c r="J9" s="82">
        <f>I9/E9</f>
        <v>0</v>
      </c>
    </row>
    <row r="10" spans="1:10" x14ac:dyDescent="0.25">
      <c r="A10" s="143" t="s">
        <v>10</v>
      </c>
      <c r="B10" s="144"/>
      <c r="C10" s="25">
        <v>1</v>
      </c>
      <c r="D10" s="10">
        <v>59.58</v>
      </c>
      <c r="E10" s="61">
        <f>C10*D10</f>
        <v>59.58</v>
      </c>
      <c r="F10" s="25">
        <v>1</v>
      </c>
      <c r="G10" s="10">
        <v>68.3</v>
      </c>
      <c r="H10" s="61">
        <f>F10*G10</f>
        <v>68.3</v>
      </c>
      <c r="I10" s="68"/>
      <c r="J10" s="83"/>
    </row>
    <row r="11" spans="1:10" x14ac:dyDescent="0.25">
      <c r="A11" s="145" t="s">
        <v>11</v>
      </c>
      <c r="B11" s="146"/>
      <c r="C11" s="34">
        <v>1</v>
      </c>
      <c r="D11" s="13">
        <v>0</v>
      </c>
      <c r="E11" s="62">
        <f t="shared" ref="E11:E14" si="3">C11*D11</f>
        <v>0</v>
      </c>
      <c r="F11" s="34">
        <v>1</v>
      </c>
      <c r="G11" s="13">
        <v>0</v>
      </c>
      <c r="H11" s="62">
        <f t="shared" ref="H11:H14" si="4">F11*G11</f>
        <v>0</v>
      </c>
      <c r="I11" s="69"/>
      <c r="J11" s="84"/>
    </row>
    <row r="12" spans="1:10" x14ac:dyDescent="0.25">
      <c r="A12" s="145" t="s">
        <v>12</v>
      </c>
      <c r="B12" s="146"/>
      <c r="C12" s="34">
        <f>B$2</f>
        <v>750</v>
      </c>
      <c r="D12" s="96">
        <v>0</v>
      </c>
      <c r="E12" s="62">
        <f t="shared" si="3"/>
        <v>0</v>
      </c>
      <c r="F12" s="34">
        <f>B$2</f>
        <v>750</v>
      </c>
      <c r="G12" s="96">
        <v>0</v>
      </c>
      <c r="H12" s="62">
        <f t="shared" si="4"/>
        <v>0</v>
      </c>
      <c r="I12" s="69"/>
      <c r="J12" s="84"/>
    </row>
    <row r="13" spans="1:10" x14ac:dyDescent="0.25">
      <c r="A13" s="145" t="s">
        <v>13</v>
      </c>
      <c r="B13" s="146"/>
      <c r="C13" s="34">
        <f>B$2</f>
        <v>750</v>
      </c>
      <c r="D13" s="96">
        <v>2E-3</v>
      </c>
      <c r="E13" s="62">
        <f t="shared" si="3"/>
        <v>1.5</v>
      </c>
      <c r="F13" s="34">
        <f>B$2</f>
        <v>750</v>
      </c>
      <c r="G13" s="96">
        <v>0</v>
      </c>
      <c r="H13" s="62">
        <f t="shared" si="4"/>
        <v>0</v>
      </c>
      <c r="I13" s="69"/>
      <c r="J13" s="84"/>
    </row>
    <row r="14" spans="1:10" x14ac:dyDescent="0.25">
      <c r="A14" s="145" t="s">
        <v>14</v>
      </c>
      <c r="B14" s="146"/>
      <c r="C14" s="34">
        <f>B$2</f>
        <v>750</v>
      </c>
      <c r="D14" s="96">
        <v>2.3E-3</v>
      </c>
      <c r="E14" s="62">
        <f t="shared" si="3"/>
        <v>1.7249999999999999</v>
      </c>
      <c r="F14" s="34">
        <f>B$2</f>
        <v>750</v>
      </c>
      <c r="G14" s="96">
        <f>D14</f>
        <v>2.3E-3</v>
      </c>
      <c r="H14" s="62">
        <f t="shared" si="4"/>
        <v>1.7249999999999999</v>
      </c>
      <c r="I14" s="69"/>
      <c r="J14" s="84"/>
    </row>
    <row r="15" spans="1:10" ht="15.75" thickBot="1" x14ac:dyDescent="0.3">
      <c r="A15" s="163" t="s">
        <v>15</v>
      </c>
      <c r="B15" s="164"/>
      <c r="C15" s="36"/>
      <c r="D15" s="16"/>
      <c r="E15" s="66">
        <f>SUM(E10:E14)</f>
        <v>62.805</v>
      </c>
      <c r="F15" s="36"/>
      <c r="G15" s="16"/>
      <c r="H15" s="66">
        <f>SUM(H10:H14)</f>
        <v>70.024999999999991</v>
      </c>
      <c r="I15" s="70"/>
      <c r="J15" s="85"/>
    </row>
    <row r="16" spans="1:10" ht="15.75" thickBot="1" x14ac:dyDescent="0.3">
      <c r="A16" s="139" t="s">
        <v>16</v>
      </c>
      <c r="B16" s="140"/>
      <c r="C16" s="64"/>
      <c r="D16" s="18"/>
      <c r="E16" s="65">
        <f>IF(E15&gt;39.49,(39.49+E11+E13+E14),E15)</f>
        <v>42.715000000000003</v>
      </c>
      <c r="F16" s="64"/>
      <c r="G16" s="18"/>
      <c r="H16" s="65">
        <f>IF(H15&gt;39.49,(39.49+H11+H13+H14),H15)</f>
        <v>41.215000000000003</v>
      </c>
      <c r="I16" s="71">
        <f>(H16-E16)</f>
        <v>-1.5</v>
      </c>
      <c r="J16" s="82">
        <f>I16/E16</f>
        <v>-3.5116469624253771E-2</v>
      </c>
    </row>
    <row r="17" spans="1:10" x14ac:dyDescent="0.25">
      <c r="A17" s="143" t="s">
        <v>17</v>
      </c>
      <c r="B17" s="144"/>
      <c r="C17" s="25">
        <f>B2*B3-B2</f>
        <v>52.875</v>
      </c>
      <c r="D17" s="95">
        <f>D6*0.63+D7*0.18+D8*0.19</f>
        <v>0.11135</v>
      </c>
      <c r="E17" s="61">
        <f t="shared" ref="E17" si="5">C17*D17</f>
        <v>5.8876312500000001</v>
      </c>
      <c r="F17" s="25">
        <f>B2*B4-B2</f>
        <v>57</v>
      </c>
      <c r="G17" s="95">
        <f>G6*0.63+G7*0.18+G8*0.19</f>
        <v>0.11135</v>
      </c>
      <c r="H17" s="61">
        <f t="shared" ref="H17" si="6">F17*G17</f>
        <v>6.3469500000000005</v>
      </c>
      <c r="I17" s="68"/>
      <c r="J17" s="83"/>
    </row>
    <row r="18" spans="1:10" ht="15.75" thickBot="1" x14ac:dyDescent="0.3">
      <c r="A18" s="147" t="s">
        <v>18</v>
      </c>
      <c r="B18" s="148"/>
      <c r="C18" s="36">
        <v>1</v>
      </c>
      <c r="D18" s="16">
        <v>0.42</v>
      </c>
      <c r="E18" s="63">
        <f>C18*D18</f>
        <v>0.42</v>
      </c>
      <c r="F18" s="36">
        <v>1</v>
      </c>
      <c r="G18" s="16">
        <v>0.42</v>
      </c>
      <c r="H18" s="63">
        <f>F18*G18</f>
        <v>0.42</v>
      </c>
      <c r="I18" s="70"/>
      <c r="J18" s="85"/>
    </row>
    <row r="19" spans="1:10" ht="15.75" thickBot="1" x14ac:dyDescent="0.3">
      <c r="A19" s="139" t="s">
        <v>19</v>
      </c>
      <c r="B19" s="140"/>
      <c r="C19" s="30"/>
      <c r="D19" s="91"/>
      <c r="E19" s="65">
        <f>SUM(E17:E18)</f>
        <v>6.30763125</v>
      </c>
      <c r="F19" s="30"/>
      <c r="G19" s="91"/>
      <c r="H19" s="65">
        <f>SUM(H17:H18)</f>
        <v>6.7669500000000005</v>
      </c>
      <c r="I19" s="71">
        <f>(H19-E19)</f>
        <v>0.45931875000000044</v>
      </c>
      <c r="J19" s="82">
        <f>I19/E19</f>
        <v>7.2819531103692922E-2</v>
      </c>
    </row>
    <row r="20" spans="1:10" x14ac:dyDescent="0.25">
      <c r="A20" s="143" t="s">
        <v>20</v>
      </c>
      <c r="B20" s="144"/>
      <c r="C20" s="25">
        <f>B$2*B$3</f>
        <v>802.875</v>
      </c>
      <c r="D20" s="95">
        <v>9.2999999999999992E-3</v>
      </c>
      <c r="E20" s="61">
        <f t="shared" ref="E20:E21" si="7">C20*D20</f>
        <v>7.4667374999999998</v>
      </c>
      <c r="F20" s="25">
        <f>B$2*B4</f>
        <v>807</v>
      </c>
      <c r="G20" s="95">
        <v>1.18E-2</v>
      </c>
      <c r="H20" s="61">
        <f t="shared" ref="H20:H21" si="8">F20*G20</f>
        <v>9.5226000000000006</v>
      </c>
      <c r="I20" s="68"/>
      <c r="J20" s="83"/>
    </row>
    <row r="21" spans="1:10" x14ac:dyDescent="0.25">
      <c r="A21" s="145" t="s">
        <v>21</v>
      </c>
      <c r="B21" s="146"/>
      <c r="C21" s="34">
        <f>C20</f>
        <v>802.875</v>
      </c>
      <c r="D21" s="96">
        <v>1.6000000000000001E-3</v>
      </c>
      <c r="E21" s="62">
        <f t="shared" si="7"/>
        <v>1.2846</v>
      </c>
      <c r="F21" s="34">
        <f>F20</f>
        <v>807</v>
      </c>
      <c r="G21" s="96">
        <v>8.6999999999999994E-3</v>
      </c>
      <c r="H21" s="62">
        <f t="shared" si="8"/>
        <v>7.0208999999999993</v>
      </c>
      <c r="I21" s="69"/>
      <c r="J21" s="84"/>
    </row>
    <row r="22" spans="1:10" ht="15.75" thickBot="1" x14ac:dyDescent="0.3">
      <c r="A22" s="163" t="s">
        <v>22</v>
      </c>
      <c r="B22" s="164"/>
      <c r="C22" s="36"/>
      <c r="D22" s="97"/>
      <c r="E22" s="66">
        <f>SUM(E20:E21)</f>
        <v>8.7513375</v>
      </c>
      <c r="F22" s="36"/>
      <c r="G22" s="97"/>
      <c r="H22" s="66">
        <f>SUM(H20:H21)</f>
        <v>16.543500000000002</v>
      </c>
      <c r="I22" s="72">
        <f>(H22-E22)</f>
        <v>7.7921625000000017</v>
      </c>
      <c r="J22" s="86">
        <f>I22/E22</f>
        <v>0.89039675363908677</v>
      </c>
    </row>
    <row r="23" spans="1:10" ht="15.75" thickBot="1" x14ac:dyDescent="0.3">
      <c r="A23" s="139" t="s">
        <v>23</v>
      </c>
      <c r="B23" s="140"/>
      <c r="C23" s="30"/>
      <c r="D23" s="99"/>
      <c r="E23" s="65">
        <f>SUM(E16,E19,E22)</f>
        <v>57.773968750000002</v>
      </c>
      <c r="F23" s="30"/>
      <c r="G23" s="99"/>
      <c r="H23" s="65">
        <f>SUM(H16,H19,H22)</f>
        <v>64.525450000000006</v>
      </c>
      <c r="I23" s="71">
        <f>(H23-E23)</f>
        <v>6.7514812500000048</v>
      </c>
      <c r="J23" s="82">
        <f>I23/E23</f>
        <v>0.11686026416525185</v>
      </c>
    </row>
    <row r="24" spans="1:10" x14ac:dyDescent="0.25">
      <c r="A24" s="143" t="s">
        <v>24</v>
      </c>
      <c r="B24" s="144"/>
      <c r="C24" s="25">
        <f>C21</f>
        <v>802.875</v>
      </c>
      <c r="D24" s="95">
        <v>4.1000000000000003E-3</v>
      </c>
      <c r="E24" s="61">
        <f t="shared" ref="E24:E27" si="9">C24*D24</f>
        <v>3.2917875000000003</v>
      </c>
      <c r="F24" s="25">
        <f>F21</f>
        <v>807</v>
      </c>
      <c r="G24" s="95">
        <v>4.1000000000000003E-3</v>
      </c>
      <c r="H24" s="61">
        <f t="shared" ref="H24:H27" si="10">F24*G24</f>
        <v>3.3087000000000004</v>
      </c>
      <c r="I24" s="68"/>
      <c r="J24" s="83"/>
    </row>
    <row r="25" spans="1:10" x14ac:dyDescent="0.25">
      <c r="A25" s="145" t="s">
        <v>25</v>
      </c>
      <c r="B25" s="146"/>
      <c r="C25" s="34">
        <f>C21</f>
        <v>802.875</v>
      </c>
      <c r="D25" s="96">
        <v>4.0000000000000002E-4</v>
      </c>
      <c r="E25" s="62">
        <f t="shared" si="9"/>
        <v>0.32114999999999999</v>
      </c>
      <c r="F25" s="34">
        <f>F21</f>
        <v>807</v>
      </c>
      <c r="G25" s="96">
        <v>4.0000000000000002E-4</v>
      </c>
      <c r="H25" s="62">
        <f t="shared" si="10"/>
        <v>0.32280000000000003</v>
      </c>
      <c r="I25" s="69"/>
      <c r="J25" s="84"/>
    </row>
    <row r="26" spans="1:10" x14ac:dyDescent="0.25">
      <c r="A26" s="145" t="s">
        <v>26</v>
      </c>
      <c r="B26" s="146"/>
      <c r="C26" s="34">
        <f>C21</f>
        <v>802.875</v>
      </c>
      <c r="D26" s="96">
        <v>6.9999999999999999E-4</v>
      </c>
      <c r="E26" s="62">
        <f t="shared" si="9"/>
        <v>0.56201250000000003</v>
      </c>
      <c r="F26" s="34">
        <f>F21</f>
        <v>807</v>
      </c>
      <c r="G26" s="96">
        <v>6.9999999999999999E-4</v>
      </c>
      <c r="H26" s="62">
        <f t="shared" si="10"/>
        <v>0.56489999999999996</v>
      </c>
      <c r="I26" s="69"/>
      <c r="J26" s="84"/>
    </row>
    <row r="27" spans="1:10" ht="15.75" thickBot="1" x14ac:dyDescent="0.3">
      <c r="A27" s="147" t="s">
        <v>27</v>
      </c>
      <c r="B27" s="148"/>
      <c r="C27" s="36">
        <v>1</v>
      </c>
      <c r="D27" s="16">
        <v>0.25</v>
      </c>
      <c r="E27" s="63">
        <f t="shared" si="9"/>
        <v>0.25</v>
      </c>
      <c r="F27" s="36">
        <v>1</v>
      </c>
      <c r="G27" s="16">
        <v>0.25</v>
      </c>
      <c r="H27" s="63">
        <f t="shared" si="10"/>
        <v>0.25</v>
      </c>
      <c r="I27" s="70"/>
      <c r="J27" s="85"/>
    </row>
    <row r="28" spans="1:10" ht="15.75" thickBot="1" x14ac:dyDescent="0.3">
      <c r="A28" s="139" t="s">
        <v>28</v>
      </c>
      <c r="B28" s="140"/>
      <c r="C28" s="30"/>
      <c r="D28" s="21"/>
      <c r="E28" s="65">
        <f>SUM(E24:E27)</f>
        <v>4.4249499999999999</v>
      </c>
      <c r="F28" s="30"/>
      <c r="G28" s="21"/>
      <c r="H28" s="65">
        <f>SUM(H24:H27)</f>
        <v>4.4464000000000006</v>
      </c>
      <c r="I28" s="71">
        <f>(H28-E28)</f>
        <v>2.1450000000000635E-2</v>
      </c>
      <c r="J28" s="82">
        <f>I28/E28</f>
        <v>4.8475124012702141E-3</v>
      </c>
    </row>
    <row r="29" spans="1:10" x14ac:dyDescent="0.25">
      <c r="A29" s="161" t="s">
        <v>29</v>
      </c>
      <c r="B29" s="162"/>
      <c r="C29" s="25"/>
      <c r="D29" s="9"/>
      <c r="E29" s="67">
        <f>E9+E16+E19+E22+E28</f>
        <v>145.71141875000001</v>
      </c>
      <c r="F29" s="25"/>
      <c r="G29" s="9"/>
      <c r="H29" s="67">
        <f>H9+H16+H19+H22+H28</f>
        <v>152.48435000000001</v>
      </c>
      <c r="I29" s="73">
        <f>(H29-E29)</f>
        <v>6.7729312499999992</v>
      </c>
      <c r="J29" s="87">
        <f>I29/E29</f>
        <v>4.6481815276402272E-2</v>
      </c>
    </row>
    <row r="30" spans="1:10" x14ac:dyDescent="0.25">
      <c r="A30" s="145" t="s">
        <v>30</v>
      </c>
      <c r="B30" s="146"/>
      <c r="C30" s="34"/>
      <c r="D30" s="33">
        <v>0.13</v>
      </c>
      <c r="E30" s="62">
        <f>E29*D30</f>
        <v>18.942484437500003</v>
      </c>
      <c r="F30" s="34"/>
      <c r="G30" s="33">
        <f>D30</f>
        <v>0.13</v>
      </c>
      <c r="H30" s="62">
        <f>H29*G30</f>
        <v>19.822965500000002</v>
      </c>
      <c r="I30" s="69"/>
      <c r="J30" s="84"/>
    </row>
    <row r="31" spans="1:10" ht="15.75" thickBot="1" x14ac:dyDescent="0.3">
      <c r="A31" s="147" t="s">
        <v>31</v>
      </c>
      <c r="B31" s="148"/>
      <c r="C31" s="36"/>
      <c r="D31" s="35">
        <f>IF((B4*12)&gt;250000,0,-19.3%)</f>
        <v>-0.193</v>
      </c>
      <c r="E31" s="63">
        <f>E29*D31</f>
        <v>-28.122303818750002</v>
      </c>
      <c r="F31" s="26"/>
      <c r="G31" s="50">
        <f>D31</f>
        <v>-0.193</v>
      </c>
      <c r="H31" s="74">
        <f>H29*G31</f>
        <v>-29.429479550000003</v>
      </c>
      <c r="I31" s="70"/>
      <c r="J31" s="85"/>
    </row>
    <row r="32" spans="1:10" ht="15.75" thickBot="1" x14ac:dyDescent="0.3">
      <c r="A32" s="139" t="s">
        <v>32</v>
      </c>
      <c r="B32" s="140"/>
      <c r="C32" s="30"/>
      <c r="D32" s="21"/>
      <c r="E32" s="113">
        <f>SUM(E29:E31)</f>
        <v>136.53159936875002</v>
      </c>
      <c r="F32" s="30"/>
      <c r="G32" s="21"/>
      <c r="H32" s="114">
        <f>SUM(H29:H31)</f>
        <v>142.87783595000002</v>
      </c>
      <c r="I32" s="115">
        <f>(H32-E32)</f>
        <v>6.3462365812499968</v>
      </c>
      <c r="J32" s="116">
        <f>I32/E32</f>
        <v>4.6481815276402251E-2</v>
      </c>
    </row>
    <row r="34" spans="3:10" s="38" customFormat="1" x14ac:dyDescent="0.25">
      <c r="C34" s="37"/>
      <c r="F34" s="37"/>
      <c r="I34" s="39"/>
      <c r="J34" s="39"/>
    </row>
  </sheetData>
  <mergeCells count="33">
    <mergeCell ref="A1:J1"/>
    <mergeCell ref="A29:B29"/>
    <mergeCell ref="A30:B30"/>
    <mergeCell ref="A31:B31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F2:H4"/>
    <mergeCell ref="A32:B32"/>
    <mergeCell ref="A23:B23"/>
    <mergeCell ref="A24:B24"/>
    <mergeCell ref="A25:B25"/>
    <mergeCell ref="A26:B26"/>
    <mergeCell ref="A27:B27"/>
    <mergeCell ref="A28:B28"/>
    <mergeCell ref="I2:I5"/>
    <mergeCell ref="J2:J5"/>
    <mergeCell ref="A16:B16"/>
    <mergeCell ref="A5:B5"/>
    <mergeCell ref="A6:B6"/>
    <mergeCell ref="A7:B7"/>
    <mergeCell ref="A8:B8"/>
    <mergeCell ref="A9:B9"/>
    <mergeCell ref="A10:B10"/>
    <mergeCell ref="C2:E4"/>
  </mergeCells>
  <pageMargins left="0.7" right="0.7" top="0.75" bottom="0.75" header="0.3" footer="0.3"/>
  <pageSetup orientation="portrait" r:id="rId1"/>
  <ignoredErrors>
    <ignoredError sqref="E9:J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EC74-EC5B-4F95-B228-1563F8A54E8C}">
  <dimension ref="A1:O33"/>
  <sheetViews>
    <sheetView zoomScale="85" zoomScaleNormal="85" workbookViewId="0">
      <selection activeCell="J31" sqref="J31"/>
    </sheetView>
  </sheetViews>
  <sheetFormatPr defaultRowHeight="15" x14ac:dyDescent="0.25"/>
  <cols>
    <col min="1" max="1" width="27.42578125" bestFit="1" customWidth="1"/>
    <col min="2" max="2" width="8.28515625" customWidth="1"/>
    <col min="3" max="3" width="11.85546875" style="40" customWidth="1"/>
    <col min="4" max="4" width="11.85546875" customWidth="1"/>
    <col min="5" max="5" width="15" bestFit="1" customWidth="1"/>
    <col min="6" max="6" width="13.140625" style="40" customWidth="1"/>
    <col min="7" max="7" width="13.140625" customWidth="1"/>
    <col min="8" max="8" width="14" customWidth="1"/>
    <col min="9" max="9" width="12.42578125" style="41" customWidth="1"/>
    <col min="10" max="10" width="13" style="39" customWidth="1"/>
    <col min="11" max="11" width="12" customWidth="1"/>
    <col min="12" max="12" width="13" customWidth="1"/>
    <col min="13" max="13" width="14.5703125" customWidth="1"/>
    <col min="14" max="14" width="12.7109375" customWidth="1"/>
    <col min="15" max="15" width="13.42578125" customWidth="1"/>
  </cols>
  <sheetData>
    <row r="1" spans="1:15" ht="20.25" customHeight="1" thickBot="1" x14ac:dyDescent="0.3">
      <c r="A1" s="141" t="s">
        <v>33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65"/>
    </row>
    <row r="2" spans="1:15" ht="14.45" customHeight="1" x14ac:dyDescent="0.25">
      <c r="A2" s="42" t="s">
        <v>1</v>
      </c>
      <c r="B2" s="43">
        <v>2000</v>
      </c>
      <c r="C2" s="149" t="s">
        <v>41</v>
      </c>
      <c r="D2" s="150"/>
      <c r="E2" s="151"/>
      <c r="F2" s="149" t="s">
        <v>42</v>
      </c>
      <c r="G2" s="150"/>
      <c r="H2" s="150"/>
      <c r="I2" s="150"/>
      <c r="J2" s="151"/>
      <c r="K2" s="149" t="s">
        <v>43</v>
      </c>
      <c r="L2" s="150"/>
      <c r="M2" s="150"/>
      <c r="N2" s="150"/>
      <c r="O2" s="151"/>
    </row>
    <row r="3" spans="1:15" ht="14.45" customHeight="1" x14ac:dyDescent="0.25">
      <c r="A3" s="3" t="s">
        <v>2</v>
      </c>
      <c r="B3" s="4">
        <v>1.0705</v>
      </c>
      <c r="C3" s="152"/>
      <c r="D3" s="153"/>
      <c r="E3" s="154"/>
      <c r="F3" s="152"/>
      <c r="G3" s="153"/>
      <c r="H3" s="153"/>
      <c r="I3" s="153"/>
      <c r="J3" s="154"/>
      <c r="K3" s="152"/>
      <c r="L3" s="153"/>
      <c r="M3" s="153"/>
      <c r="N3" s="153"/>
      <c r="O3" s="154"/>
    </row>
    <row r="4" spans="1:15" ht="15.75" thickBot="1" x14ac:dyDescent="0.3">
      <c r="A4" s="5" t="s">
        <v>40</v>
      </c>
      <c r="B4" s="6">
        <v>1.0960000000000001</v>
      </c>
      <c r="C4" s="155"/>
      <c r="D4" s="156"/>
      <c r="E4" s="157"/>
      <c r="F4" s="152"/>
      <c r="G4" s="153"/>
      <c r="H4" s="153"/>
      <c r="I4" s="153"/>
      <c r="J4" s="154"/>
      <c r="K4" s="152"/>
      <c r="L4" s="153"/>
      <c r="M4" s="153"/>
      <c r="N4" s="153"/>
      <c r="O4" s="154"/>
    </row>
    <row r="5" spans="1:15" ht="45.75" thickBot="1" x14ac:dyDescent="0.3">
      <c r="A5" s="141" t="s">
        <v>3</v>
      </c>
      <c r="B5" s="142"/>
      <c r="C5" s="59" t="s">
        <v>4</v>
      </c>
      <c r="D5" s="7" t="s">
        <v>5</v>
      </c>
      <c r="E5" s="75" t="s">
        <v>46</v>
      </c>
      <c r="F5" s="59" t="s">
        <v>4</v>
      </c>
      <c r="G5" s="7" t="s">
        <v>5</v>
      </c>
      <c r="H5" s="8" t="s">
        <v>47</v>
      </c>
      <c r="I5" s="8" t="s">
        <v>48</v>
      </c>
      <c r="J5" s="104" t="s">
        <v>49</v>
      </c>
      <c r="K5" s="59" t="s">
        <v>4</v>
      </c>
      <c r="L5" s="7" t="s">
        <v>5</v>
      </c>
      <c r="M5" s="8" t="s">
        <v>50</v>
      </c>
      <c r="N5" s="8" t="s">
        <v>51</v>
      </c>
      <c r="O5" s="90" t="s">
        <v>52</v>
      </c>
    </row>
    <row r="6" spans="1:15" x14ac:dyDescent="0.25">
      <c r="A6" s="143" t="s">
        <v>6</v>
      </c>
      <c r="B6" s="144"/>
      <c r="C6" s="25">
        <f>B$2*0.63</f>
        <v>1260</v>
      </c>
      <c r="D6" s="92">
        <v>8.6999999999999994E-2</v>
      </c>
      <c r="E6" s="76">
        <f t="shared" ref="E6:E8" si="0">C6*D6</f>
        <v>109.61999999999999</v>
      </c>
      <c r="F6" s="22">
        <f>C6</f>
        <v>1260</v>
      </c>
      <c r="G6" s="102">
        <f>D6</f>
        <v>8.6999999999999994E-2</v>
      </c>
      <c r="H6" s="24">
        <f t="shared" ref="H6:H8" si="1">F6*G6</f>
        <v>109.61999999999999</v>
      </c>
      <c r="I6" s="23"/>
      <c r="J6" s="45"/>
      <c r="K6" s="25">
        <f>F6</f>
        <v>1260</v>
      </c>
      <c r="L6" s="92">
        <f>G6</f>
        <v>8.6999999999999994E-2</v>
      </c>
      <c r="M6" s="10">
        <f t="shared" ref="M6:M8" si="2">K6*L6</f>
        <v>109.61999999999999</v>
      </c>
      <c r="N6" s="9"/>
      <c r="O6" s="11"/>
    </row>
    <row r="7" spans="1:15" x14ac:dyDescent="0.25">
      <c r="A7" s="145" t="s">
        <v>7</v>
      </c>
      <c r="B7" s="146"/>
      <c r="C7" s="34">
        <f>B$2*0.18</f>
        <v>360</v>
      </c>
      <c r="D7" s="93">
        <v>0.122</v>
      </c>
      <c r="E7" s="77">
        <f t="shared" si="0"/>
        <v>43.92</v>
      </c>
      <c r="F7" s="34">
        <f t="shared" ref="F7:F8" si="3">C7</f>
        <v>360</v>
      </c>
      <c r="G7" s="93">
        <f>D7</f>
        <v>0.122</v>
      </c>
      <c r="H7" s="13">
        <f t="shared" si="1"/>
        <v>43.92</v>
      </c>
      <c r="I7" s="12"/>
      <c r="J7" s="46"/>
      <c r="K7" s="34">
        <f t="shared" ref="K7:L20" si="4">F7</f>
        <v>360</v>
      </c>
      <c r="L7" s="93">
        <f t="shared" si="4"/>
        <v>0.122</v>
      </c>
      <c r="M7" s="13">
        <f t="shared" si="2"/>
        <v>43.92</v>
      </c>
      <c r="N7" s="12"/>
      <c r="O7" s="14"/>
    </row>
    <row r="8" spans="1:15" ht="15.75" thickBot="1" x14ac:dyDescent="0.3">
      <c r="A8" s="147" t="s">
        <v>8</v>
      </c>
      <c r="B8" s="148"/>
      <c r="C8" s="36">
        <f>B$2*0.19</f>
        <v>380</v>
      </c>
      <c r="D8" s="94">
        <v>0.182</v>
      </c>
      <c r="E8" s="78">
        <f t="shared" si="0"/>
        <v>69.16</v>
      </c>
      <c r="F8" s="26">
        <f t="shared" si="3"/>
        <v>380</v>
      </c>
      <c r="G8" s="103">
        <f>D8</f>
        <v>0.182</v>
      </c>
      <c r="H8" s="47">
        <f t="shared" si="1"/>
        <v>69.16</v>
      </c>
      <c r="I8" s="27"/>
      <c r="J8" s="105"/>
      <c r="K8" s="36">
        <f t="shared" si="4"/>
        <v>380</v>
      </c>
      <c r="L8" s="94">
        <f t="shared" si="4"/>
        <v>0.182</v>
      </c>
      <c r="M8" s="16">
        <f t="shared" si="2"/>
        <v>69.16</v>
      </c>
      <c r="N8" s="15"/>
      <c r="O8" s="17"/>
    </row>
    <row r="9" spans="1:15" s="19" customFormat="1" ht="15.75" thickBot="1" x14ac:dyDescent="0.3">
      <c r="A9" s="139" t="s">
        <v>9</v>
      </c>
      <c r="B9" s="140"/>
      <c r="C9" s="64"/>
      <c r="D9" s="18"/>
      <c r="E9" s="79">
        <f>SUM(E6:E8)</f>
        <v>222.7</v>
      </c>
      <c r="F9" s="64"/>
      <c r="G9" s="18"/>
      <c r="H9" s="18">
        <f>SUM(H6:H8)</f>
        <v>222.7</v>
      </c>
      <c r="I9" s="18">
        <f>(H9-E9)</f>
        <v>0</v>
      </c>
      <c r="J9" s="118">
        <f>I9/E9</f>
        <v>0</v>
      </c>
      <c r="K9" s="64"/>
      <c r="L9" s="18"/>
      <c r="M9" s="18">
        <f>SUM(M6:M8)</f>
        <v>222.7</v>
      </c>
      <c r="N9" s="18">
        <f>(M9-E9)</f>
        <v>0</v>
      </c>
      <c r="O9" s="82">
        <f>N9/E9</f>
        <v>0</v>
      </c>
    </row>
    <row r="10" spans="1:15" x14ac:dyDescent="0.25">
      <c r="A10" s="143" t="s">
        <v>10</v>
      </c>
      <c r="B10" s="144"/>
      <c r="C10" s="25">
        <v>1</v>
      </c>
      <c r="D10" s="10">
        <v>40.36</v>
      </c>
      <c r="E10" s="76">
        <f>C10*D10</f>
        <v>40.36</v>
      </c>
      <c r="F10" s="22">
        <v>1</v>
      </c>
      <c r="G10" s="24">
        <v>32.78</v>
      </c>
      <c r="H10" s="24">
        <f>F10*G10</f>
        <v>32.78</v>
      </c>
      <c r="I10" s="23"/>
      <c r="J10" s="119"/>
      <c r="K10" s="25">
        <f t="shared" si="4"/>
        <v>1</v>
      </c>
      <c r="L10" s="10">
        <f>D10</f>
        <v>40.36</v>
      </c>
      <c r="M10" s="10">
        <f>K10*L10</f>
        <v>40.36</v>
      </c>
      <c r="N10" s="9"/>
      <c r="O10" s="83"/>
    </row>
    <row r="11" spans="1:15" x14ac:dyDescent="0.25">
      <c r="A11" s="145" t="s">
        <v>11</v>
      </c>
      <c r="B11" s="146"/>
      <c r="C11" s="34">
        <v>1</v>
      </c>
      <c r="D11" s="13">
        <v>0</v>
      </c>
      <c r="E11" s="77">
        <f t="shared" ref="E11:E14" si="5">C11*D11</f>
        <v>0</v>
      </c>
      <c r="F11" s="34">
        <v>1</v>
      </c>
      <c r="G11" s="13">
        <v>0</v>
      </c>
      <c r="H11" s="13">
        <f t="shared" ref="H11:H14" si="6">F11*G11</f>
        <v>0</v>
      </c>
      <c r="I11" s="12"/>
      <c r="J11" s="120"/>
      <c r="K11" s="34">
        <f t="shared" si="4"/>
        <v>1</v>
      </c>
      <c r="L11" s="13">
        <v>0</v>
      </c>
      <c r="M11" s="13">
        <f t="shared" ref="M11:M14" si="7">K11*L11</f>
        <v>0</v>
      </c>
      <c r="N11" s="12"/>
      <c r="O11" s="84"/>
    </row>
    <row r="12" spans="1:15" x14ac:dyDescent="0.25">
      <c r="A12" s="145" t="s">
        <v>12</v>
      </c>
      <c r="B12" s="146"/>
      <c r="C12" s="34">
        <f>B$2</f>
        <v>2000</v>
      </c>
      <c r="D12" s="96">
        <v>3.0300000000000001E-2</v>
      </c>
      <c r="E12" s="77">
        <f t="shared" si="5"/>
        <v>60.6</v>
      </c>
      <c r="F12" s="34">
        <f>B$2</f>
        <v>2000</v>
      </c>
      <c r="G12" s="96">
        <v>7.3099999999999998E-2</v>
      </c>
      <c r="H12" s="13">
        <f t="shared" si="6"/>
        <v>146.19999999999999</v>
      </c>
      <c r="I12" s="12"/>
      <c r="J12" s="120"/>
      <c r="K12" s="34">
        <f t="shared" si="4"/>
        <v>2000</v>
      </c>
      <c r="L12" s="96">
        <f>D12</f>
        <v>3.0300000000000001E-2</v>
      </c>
      <c r="M12" s="13">
        <f t="shared" si="7"/>
        <v>60.6</v>
      </c>
      <c r="N12" s="12"/>
      <c r="O12" s="84"/>
    </row>
    <row r="13" spans="1:15" x14ac:dyDescent="0.25">
      <c r="A13" s="145" t="s">
        <v>13</v>
      </c>
      <c r="B13" s="146"/>
      <c r="C13" s="34">
        <f>B$2</f>
        <v>2000</v>
      </c>
      <c r="D13" s="96">
        <v>2E-3</v>
      </c>
      <c r="E13" s="77">
        <f t="shared" si="5"/>
        <v>4</v>
      </c>
      <c r="F13" s="34">
        <f>B$2</f>
        <v>2000</v>
      </c>
      <c r="G13" s="96">
        <v>0</v>
      </c>
      <c r="H13" s="13">
        <f t="shared" si="6"/>
        <v>0</v>
      </c>
      <c r="I13" s="12"/>
      <c r="J13" s="120"/>
      <c r="K13" s="34">
        <f t="shared" si="4"/>
        <v>2000</v>
      </c>
      <c r="L13" s="96">
        <v>0</v>
      </c>
      <c r="M13" s="13">
        <f t="shared" si="7"/>
        <v>0</v>
      </c>
      <c r="N13" s="12"/>
      <c r="O13" s="84"/>
    </row>
    <row r="14" spans="1:15" ht="15.75" thickBot="1" x14ac:dyDescent="0.3">
      <c r="A14" s="147" t="s">
        <v>14</v>
      </c>
      <c r="B14" s="148"/>
      <c r="C14" s="36">
        <f>B$2</f>
        <v>2000</v>
      </c>
      <c r="D14" s="97">
        <v>2.3999999999999998E-3</v>
      </c>
      <c r="E14" s="78">
        <f t="shared" si="5"/>
        <v>4.8</v>
      </c>
      <c r="F14" s="26">
        <f>B$2</f>
        <v>2000</v>
      </c>
      <c r="G14" s="98">
        <f>D14</f>
        <v>2.3999999999999998E-3</v>
      </c>
      <c r="H14" s="47">
        <f t="shared" si="6"/>
        <v>4.8</v>
      </c>
      <c r="I14" s="27"/>
      <c r="J14" s="121"/>
      <c r="K14" s="36">
        <f t="shared" si="4"/>
        <v>2000</v>
      </c>
      <c r="L14" s="97">
        <f>D14</f>
        <v>2.3999999999999998E-3</v>
      </c>
      <c r="M14" s="16">
        <f t="shared" si="7"/>
        <v>4.8</v>
      </c>
      <c r="N14" s="15"/>
      <c r="O14" s="85"/>
    </row>
    <row r="15" spans="1:15" ht="15.75" thickBot="1" x14ac:dyDescent="0.3">
      <c r="A15" s="139" t="s">
        <v>15</v>
      </c>
      <c r="B15" s="140"/>
      <c r="C15" s="30"/>
      <c r="D15" s="91"/>
      <c r="E15" s="79">
        <f>SUM(E10:E14)</f>
        <v>109.76</v>
      </c>
      <c r="F15" s="30"/>
      <c r="G15" s="91"/>
      <c r="H15" s="18">
        <f>SUM(H10:H14)</f>
        <v>183.78</v>
      </c>
      <c r="I15" s="18">
        <f>(H15-E15)</f>
        <v>74.02</v>
      </c>
      <c r="J15" s="118">
        <f>I15/E15</f>
        <v>0.6743804664723031</v>
      </c>
      <c r="K15" s="30"/>
      <c r="L15" s="91"/>
      <c r="M15" s="18">
        <f>SUM(M10:M14)</f>
        <v>105.76</v>
      </c>
      <c r="N15" s="18">
        <f>(M15-E15)</f>
        <v>-4</v>
      </c>
      <c r="O15" s="82">
        <f>N15/E15</f>
        <v>-3.6443148688046642E-2</v>
      </c>
    </row>
    <row r="16" spans="1:15" x14ac:dyDescent="0.25">
      <c r="A16" s="143" t="s">
        <v>17</v>
      </c>
      <c r="B16" s="144"/>
      <c r="C16" s="25">
        <f>B2*B3-B2</f>
        <v>141</v>
      </c>
      <c r="D16" s="95">
        <f>D6*0.63+D7*0.18+D8*0.19</f>
        <v>0.11135</v>
      </c>
      <c r="E16" s="76">
        <f t="shared" ref="E16" si="8">C16*D16</f>
        <v>15.70035</v>
      </c>
      <c r="F16" s="22">
        <f>B2*B4-B2</f>
        <v>192</v>
      </c>
      <c r="G16" s="100">
        <f>G6*0.63+G7*0.18+G8*0.19</f>
        <v>0.11135</v>
      </c>
      <c r="H16" s="24">
        <f t="shared" ref="H16" si="9">F16*G16</f>
        <v>21.379200000000001</v>
      </c>
      <c r="I16" s="23"/>
      <c r="J16" s="119"/>
      <c r="K16" s="25">
        <f t="shared" si="4"/>
        <v>192</v>
      </c>
      <c r="L16" s="95">
        <f>L6*0.63+L7*0.18+L8*0.19</f>
        <v>0.11135</v>
      </c>
      <c r="M16" s="10">
        <f t="shared" ref="M16" si="10">K16*L16</f>
        <v>21.379200000000001</v>
      </c>
      <c r="N16" s="9"/>
      <c r="O16" s="83"/>
    </row>
    <row r="17" spans="1:15" ht="15.75" thickBot="1" x14ac:dyDescent="0.3">
      <c r="A17" s="147" t="s">
        <v>18</v>
      </c>
      <c r="B17" s="148"/>
      <c r="C17" s="36">
        <v>1</v>
      </c>
      <c r="D17" s="16">
        <v>0.42</v>
      </c>
      <c r="E17" s="78">
        <f>C17*D17</f>
        <v>0.42</v>
      </c>
      <c r="F17" s="26">
        <v>1</v>
      </c>
      <c r="G17" s="47">
        <v>0.42</v>
      </c>
      <c r="H17" s="47">
        <f>F17*G17</f>
        <v>0.42</v>
      </c>
      <c r="I17" s="27"/>
      <c r="J17" s="121"/>
      <c r="K17" s="36">
        <f t="shared" si="4"/>
        <v>1</v>
      </c>
      <c r="L17" s="16">
        <v>0.42</v>
      </c>
      <c r="M17" s="16">
        <f>K17*L17</f>
        <v>0.42</v>
      </c>
      <c r="N17" s="15"/>
      <c r="O17" s="85"/>
    </row>
    <row r="18" spans="1:15" ht="15.75" thickBot="1" x14ac:dyDescent="0.3">
      <c r="A18" s="139" t="s">
        <v>19</v>
      </c>
      <c r="B18" s="140"/>
      <c r="C18" s="30"/>
      <c r="D18" s="91"/>
      <c r="E18" s="79">
        <f>SUM(E16:E17)</f>
        <v>16.120350000000002</v>
      </c>
      <c r="F18" s="30"/>
      <c r="G18" s="91"/>
      <c r="H18" s="18">
        <f>SUM(H16:H17)</f>
        <v>21.799200000000003</v>
      </c>
      <c r="I18" s="18">
        <f>(H18-E18)</f>
        <v>5.6788500000000006</v>
      </c>
      <c r="J18" s="118">
        <f>I18/E18</f>
        <v>0.3522783314258065</v>
      </c>
      <c r="K18" s="30"/>
      <c r="L18" s="91"/>
      <c r="M18" s="18">
        <f>SUM(M16:M17)</f>
        <v>21.799200000000003</v>
      </c>
      <c r="N18" s="18">
        <f>(M18-E18)</f>
        <v>5.6788500000000006</v>
      </c>
      <c r="O18" s="82">
        <f>N18/E18</f>
        <v>0.3522783314258065</v>
      </c>
    </row>
    <row r="19" spans="1:15" x14ac:dyDescent="0.25">
      <c r="A19" s="143" t="s">
        <v>20</v>
      </c>
      <c r="B19" s="144"/>
      <c r="C19" s="25">
        <f>B$2*B$3</f>
        <v>2141</v>
      </c>
      <c r="D19" s="95">
        <v>8.2000000000000007E-3</v>
      </c>
      <c r="E19" s="76">
        <f t="shared" ref="E19:E20" si="11">C19*D19</f>
        <v>17.5562</v>
      </c>
      <c r="F19" s="22">
        <f>B$2*B4</f>
        <v>2192</v>
      </c>
      <c r="G19" s="100">
        <v>9.2999999999999992E-3</v>
      </c>
      <c r="H19" s="24">
        <f t="shared" ref="H19:H20" si="12">F19*G19</f>
        <v>20.385599999999997</v>
      </c>
      <c r="I19" s="23"/>
      <c r="J19" s="119"/>
      <c r="K19" s="25">
        <f t="shared" si="4"/>
        <v>2192</v>
      </c>
      <c r="L19" s="95">
        <v>9.2999999999999992E-3</v>
      </c>
      <c r="M19" s="10">
        <f t="shared" ref="M19:M20" si="13">K19*L19</f>
        <v>20.385599999999997</v>
      </c>
      <c r="N19" s="9"/>
      <c r="O19" s="83"/>
    </row>
    <row r="20" spans="1:15" x14ac:dyDescent="0.25">
      <c r="A20" s="145" t="s">
        <v>21</v>
      </c>
      <c r="B20" s="146"/>
      <c r="C20" s="34">
        <f>C19</f>
        <v>2141</v>
      </c>
      <c r="D20" s="96">
        <v>1.6000000000000001E-3</v>
      </c>
      <c r="E20" s="77">
        <f t="shared" si="11"/>
        <v>3.4256000000000002</v>
      </c>
      <c r="F20" s="34">
        <f>F19</f>
        <v>2192</v>
      </c>
      <c r="G20" s="96">
        <v>7.4000000000000003E-3</v>
      </c>
      <c r="H20" s="13">
        <f t="shared" si="12"/>
        <v>16.220800000000001</v>
      </c>
      <c r="I20" s="12"/>
      <c r="J20" s="120"/>
      <c r="K20" s="34">
        <f t="shared" si="4"/>
        <v>2192</v>
      </c>
      <c r="L20" s="96">
        <v>7.4000000000000003E-3</v>
      </c>
      <c r="M20" s="13">
        <f t="shared" si="13"/>
        <v>16.220800000000001</v>
      </c>
      <c r="N20" s="12"/>
      <c r="O20" s="84"/>
    </row>
    <row r="21" spans="1:15" ht="15.75" thickBot="1" x14ac:dyDescent="0.3">
      <c r="A21" s="163" t="s">
        <v>22</v>
      </c>
      <c r="B21" s="164"/>
      <c r="C21" s="36"/>
      <c r="D21" s="16"/>
      <c r="E21" s="80">
        <f>SUM(E19:E20)</f>
        <v>20.9818</v>
      </c>
      <c r="F21" s="26"/>
      <c r="G21" s="47"/>
      <c r="H21" s="28">
        <f>SUM(H19:H20)</f>
        <v>36.606399999999994</v>
      </c>
      <c r="I21" s="28">
        <f>(H21-E21)</f>
        <v>15.624599999999994</v>
      </c>
      <c r="J21" s="122">
        <f>I21/E21</f>
        <v>0.74467395552335802</v>
      </c>
      <c r="K21" s="36"/>
      <c r="L21" s="16"/>
      <c r="M21" s="20">
        <f>SUM(M19:M20)</f>
        <v>36.606399999999994</v>
      </c>
      <c r="N21" s="20">
        <f>(M21-J21)</f>
        <v>35.861726044476633</v>
      </c>
      <c r="O21" s="131">
        <f>N21/E21</f>
        <v>1.7091825317406817</v>
      </c>
    </row>
    <row r="22" spans="1:15" ht="15.75" thickBot="1" x14ac:dyDescent="0.3">
      <c r="A22" s="139" t="s">
        <v>34</v>
      </c>
      <c r="B22" s="140"/>
      <c r="C22" s="30"/>
      <c r="D22" s="91"/>
      <c r="E22" s="79">
        <f>SUM(E15,E18,E21)</f>
        <v>146.86215000000001</v>
      </c>
      <c r="F22" s="30"/>
      <c r="G22" s="91"/>
      <c r="H22" s="18">
        <f>SUM(H15,H18,H21)</f>
        <v>242.18560000000002</v>
      </c>
      <c r="I22" s="18">
        <f>(H22-E22)</f>
        <v>95.323450000000008</v>
      </c>
      <c r="J22" s="118">
        <f>I22/E22</f>
        <v>0.64906750990639861</v>
      </c>
      <c r="K22" s="30"/>
      <c r="L22" s="91"/>
      <c r="M22" s="18">
        <f>SUM(M15,M18,M21)</f>
        <v>164.16559999999998</v>
      </c>
      <c r="N22" s="18">
        <f>(M22-E22)</f>
        <v>17.30344999999997</v>
      </c>
      <c r="O22" s="82">
        <f>N22/E22</f>
        <v>0.11782103149109534</v>
      </c>
    </row>
    <row r="23" spans="1:15" x14ac:dyDescent="0.25">
      <c r="A23" s="143" t="s">
        <v>24</v>
      </c>
      <c r="B23" s="144"/>
      <c r="C23" s="25">
        <f>C20</f>
        <v>2141</v>
      </c>
      <c r="D23" s="95">
        <v>4.1000000000000003E-3</v>
      </c>
      <c r="E23" s="76">
        <f t="shared" ref="E23:E26" si="14">C23*D23</f>
        <v>8.7781000000000002</v>
      </c>
      <c r="F23" s="22">
        <f>F20</f>
        <v>2192</v>
      </c>
      <c r="G23" s="100">
        <v>4.1000000000000003E-3</v>
      </c>
      <c r="H23" s="24">
        <f t="shared" ref="H23:H26" si="15">F23*G23</f>
        <v>8.9872000000000014</v>
      </c>
      <c r="I23" s="23"/>
      <c r="J23" s="119"/>
      <c r="K23" s="25">
        <f>K20</f>
        <v>2192</v>
      </c>
      <c r="L23" s="95">
        <v>4.1000000000000003E-3</v>
      </c>
      <c r="M23" s="10">
        <f t="shared" ref="M23:M26" si="16">K23*L23</f>
        <v>8.9872000000000014</v>
      </c>
      <c r="N23" s="9"/>
      <c r="O23" s="83"/>
    </row>
    <row r="24" spans="1:15" x14ac:dyDescent="0.25">
      <c r="A24" s="145" t="s">
        <v>25</v>
      </c>
      <c r="B24" s="146"/>
      <c r="C24" s="34">
        <f>C20</f>
        <v>2141</v>
      </c>
      <c r="D24" s="96">
        <v>4.0000000000000002E-4</v>
      </c>
      <c r="E24" s="77">
        <f t="shared" si="14"/>
        <v>0.85640000000000005</v>
      </c>
      <c r="F24" s="34">
        <f>F20</f>
        <v>2192</v>
      </c>
      <c r="G24" s="96">
        <v>4.0000000000000002E-4</v>
      </c>
      <c r="H24" s="13">
        <f t="shared" si="15"/>
        <v>0.87680000000000002</v>
      </c>
      <c r="I24" s="12"/>
      <c r="J24" s="120"/>
      <c r="K24" s="34">
        <f>K20</f>
        <v>2192</v>
      </c>
      <c r="L24" s="96">
        <v>4.0000000000000002E-4</v>
      </c>
      <c r="M24" s="13">
        <f t="shared" si="16"/>
        <v>0.87680000000000002</v>
      </c>
      <c r="N24" s="12"/>
      <c r="O24" s="84"/>
    </row>
    <row r="25" spans="1:15" x14ac:dyDescent="0.25">
      <c r="A25" s="145" t="s">
        <v>26</v>
      </c>
      <c r="B25" s="146"/>
      <c r="C25" s="34">
        <f>C20</f>
        <v>2141</v>
      </c>
      <c r="D25" s="96">
        <v>6.9999999999999999E-4</v>
      </c>
      <c r="E25" s="77">
        <f t="shared" si="14"/>
        <v>1.4986999999999999</v>
      </c>
      <c r="F25" s="34">
        <f>F20</f>
        <v>2192</v>
      </c>
      <c r="G25" s="96">
        <v>6.9999999999999999E-4</v>
      </c>
      <c r="H25" s="13">
        <f t="shared" si="15"/>
        <v>1.5344</v>
      </c>
      <c r="I25" s="12"/>
      <c r="J25" s="120"/>
      <c r="K25" s="34">
        <f>K20</f>
        <v>2192</v>
      </c>
      <c r="L25" s="96">
        <v>6.9999999999999999E-4</v>
      </c>
      <c r="M25" s="13">
        <f t="shared" si="16"/>
        <v>1.5344</v>
      </c>
      <c r="N25" s="12"/>
      <c r="O25" s="84"/>
    </row>
    <row r="26" spans="1:15" ht="15.75" thickBot="1" x14ac:dyDescent="0.3">
      <c r="A26" s="147" t="s">
        <v>27</v>
      </c>
      <c r="B26" s="148"/>
      <c r="C26" s="36">
        <v>1</v>
      </c>
      <c r="D26" s="16">
        <v>0.25</v>
      </c>
      <c r="E26" s="78">
        <f t="shared" si="14"/>
        <v>0.25</v>
      </c>
      <c r="F26" s="26">
        <v>1</v>
      </c>
      <c r="G26" s="47">
        <v>0.25</v>
      </c>
      <c r="H26" s="47">
        <f t="shared" si="15"/>
        <v>0.25</v>
      </c>
      <c r="I26" s="27"/>
      <c r="J26" s="121"/>
      <c r="K26" s="36">
        <v>1</v>
      </c>
      <c r="L26" s="16">
        <v>0.25</v>
      </c>
      <c r="M26" s="16">
        <f t="shared" si="16"/>
        <v>0.25</v>
      </c>
      <c r="N26" s="15"/>
      <c r="O26" s="85"/>
    </row>
    <row r="27" spans="1:15" ht="15.75" thickBot="1" x14ac:dyDescent="0.3">
      <c r="A27" s="139" t="s">
        <v>28</v>
      </c>
      <c r="B27" s="140"/>
      <c r="C27" s="30"/>
      <c r="D27" s="21"/>
      <c r="E27" s="79">
        <f>SUM(E23:E26)</f>
        <v>11.3832</v>
      </c>
      <c r="F27" s="30"/>
      <c r="G27" s="21"/>
      <c r="H27" s="18">
        <f>SUM(H23:H26)</f>
        <v>11.648400000000001</v>
      </c>
      <c r="I27" s="18">
        <f>(H27-E27)</f>
        <v>0.2652000000000001</v>
      </c>
      <c r="J27" s="118">
        <f>I27/E27</f>
        <v>2.3297491039426532E-2</v>
      </c>
      <c r="K27" s="30"/>
      <c r="L27" s="21"/>
      <c r="M27" s="18">
        <f>SUM(M23:M26)</f>
        <v>11.648400000000001</v>
      </c>
      <c r="N27" s="18">
        <f>(M27-E27)</f>
        <v>0.2652000000000001</v>
      </c>
      <c r="O27" s="82">
        <f>N27/E27</f>
        <v>2.3297491039426532E-2</v>
      </c>
    </row>
    <row r="28" spans="1:15" x14ac:dyDescent="0.25">
      <c r="A28" s="161" t="s">
        <v>29</v>
      </c>
      <c r="B28" s="162"/>
      <c r="C28" s="25"/>
      <c r="D28" s="9"/>
      <c r="E28" s="81">
        <f>E9+E15+E18+E21+E27</f>
        <v>380.94534999999996</v>
      </c>
      <c r="F28" s="22"/>
      <c r="G28" s="23"/>
      <c r="H28" s="32">
        <f>H9+H15+H18+H21+H27</f>
        <v>476.53399999999999</v>
      </c>
      <c r="I28" s="32">
        <f>(H28-E28)</f>
        <v>95.58865000000003</v>
      </c>
      <c r="J28" s="123">
        <f>I28/E28</f>
        <v>0.25092483738153004</v>
      </c>
      <c r="K28" s="25"/>
      <c r="L28" s="9"/>
      <c r="M28" s="31">
        <f>M9+M15+M18+M21+M27</f>
        <v>398.51399999999995</v>
      </c>
      <c r="N28" s="31">
        <f>(M28-E28)</f>
        <v>17.568649999999991</v>
      </c>
      <c r="O28" s="87">
        <f>N28/E28</f>
        <v>4.611855742562547E-2</v>
      </c>
    </row>
    <row r="29" spans="1:15" x14ac:dyDescent="0.25">
      <c r="A29" s="145" t="s">
        <v>30</v>
      </c>
      <c r="B29" s="146"/>
      <c r="C29" s="34"/>
      <c r="D29" s="33">
        <v>0.13</v>
      </c>
      <c r="E29" s="77">
        <f>E28*D29</f>
        <v>49.522895499999997</v>
      </c>
      <c r="F29" s="34"/>
      <c r="G29" s="33">
        <f>D29</f>
        <v>0.13</v>
      </c>
      <c r="H29" s="13">
        <f>H28*G29</f>
        <v>61.949420000000003</v>
      </c>
      <c r="I29" s="12"/>
      <c r="J29" s="120"/>
      <c r="K29" s="34"/>
      <c r="L29" s="33">
        <f>G29</f>
        <v>0.13</v>
      </c>
      <c r="M29" s="13">
        <f>M28*L29</f>
        <v>51.806819999999995</v>
      </c>
      <c r="N29" s="12"/>
      <c r="O29" s="84"/>
    </row>
    <row r="30" spans="1:15" ht="15.75" thickBot="1" x14ac:dyDescent="0.3">
      <c r="A30" s="147" t="s">
        <v>31</v>
      </c>
      <c r="B30" s="148"/>
      <c r="C30" s="36"/>
      <c r="D30" s="35">
        <f>IF((B3*12)&gt;250000,0,-19.3%)</f>
        <v>-0.193</v>
      </c>
      <c r="E30" s="78">
        <f>E28*D30</f>
        <v>-73.522452549999997</v>
      </c>
      <c r="F30" s="26"/>
      <c r="G30" s="50">
        <f>D30</f>
        <v>-0.193</v>
      </c>
      <c r="H30" s="47">
        <f>H28*G30</f>
        <v>-91.971062000000003</v>
      </c>
      <c r="I30" s="27"/>
      <c r="J30" s="121"/>
      <c r="K30" s="36"/>
      <c r="L30" s="35">
        <f>G30</f>
        <v>-0.193</v>
      </c>
      <c r="M30" s="16">
        <f>M28*L30</f>
        <v>-76.913201999999998</v>
      </c>
      <c r="N30" s="15"/>
      <c r="O30" s="85"/>
    </row>
    <row r="31" spans="1:15" ht="15.75" thickBot="1" x14ac:dyDescent="0.3">
      <c r="A31" s="139" t="s">
        <v>32</v>
      </c>
      <c r="B31" s="140"/>
      <c r="C31" s="30"/>
      <c r="D31" s="21"/>
      <c r="E31" s="114">
        <f>SUM(E28:E30)</f>
        <v>356.94579294999994</v>
      </c>
      <c r="F31" s="30"/>
      <c r="G31" s="21"/>
      <c r="H31" s="117">
        <f>SUM(H28:H30)</f>
        <v>446.51235800000001</v>
      </c>
      <c r="I31" s="117">
        <f>(H31-E31)</f>
        <v>89.566565050000065</v>
      </c>
      <c r="J31" s="132">
        <f>I31/E31</f>
        <v>0.25092483738153015</v>
      </c>
      <c r="K31" s="30"/>
      <c r="L31" s="21"/>
      <c r="M31" s="117">
        <f>SUM(M28:M30)</f>
        <v>373.40761799999996</v>
      </c>
      <c r="N31" s="117">
        <f>(M31-E31)</f>
        <v>16.461825050000016</v>
      </c>
      <c r="O31" s="130">
        <f>N31/E31</f>
        <v>4.6118557425625539E-2</v>
      </c>
    </row>
    <row r="33" spans="3:10" s="38" customFormat="1" x14ac:dyDescent="0.25">
      <c r="C33" s="37"/>
      <c r="F33" s="37"/>
      <c r="I33" s="39"/>
      <c r="J33" s="39"/>
    </row>
  </sheetData>
  <mergeCells count="31">
    <mergeCell ref="A29:B29"/>
    <mergeCell ref="A30:B30"/>
    <mergeCell ref="A31:B31"/>
    <mergeCell ref="C2:E4"/>
    <mergeCell ref="F2:J4"/>
    <mergeCell ref="A27:B27"/>
    <mergeCell ref="A28:B28"/>
    <mergeCell ref="A16:B16"/>
    <mergeCell ref="A5:B5"/>
    <mergeCell ref="A6:B6"/>
    <mergeCell ref="A7:B7"/>
    <mergeCell ref="A8:B8"/>
    <mergeCell ref="A9:B9"/>
    <mergeCell ref="A10:B10"/>
    <mergeCell ref="A26:B26"/>
    <mergeCell ref="A17:B17"/>
    <mergeCell ref="A1:O1"/>
    <mergeCell ref="K2:O4"/>
    <mergeCell ref="A23:B23"/>
    <mergeCell ref="A24:B24"/>
    <mergeCell ref="A25:B25"/>
    <mergeCell ref="A11:B11"/>
    <mergeCell ref="A12:B12"/>
    <mergeCell ref="A13:B13"/>
    <mergeCell ref="A14:B14"/>
    <mergeCell ref="A15:B15"/>
    <mergeCell ref="A18:B18"/>
    <mergeCell ref="A19:B19"/>
    <mergeCell ref="A20:B20"/>
    <mergeCell ref="A21:B21"/>
    <mergeCell ref="A22:B22"/>
  </mergeCells>
  <pageMargins left="0.7" right="0.7" top="0.75" bottom="0.75" header="0.3" footer="0.3"/>
  <pageSetup orientation="portrait" r:id="rId1"/>
  <ignoredErrors>
    <ignoredError sqref="E9:N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4097-4623-404B-88B3-989E99D1ACDA}">
  <dimension ref="A1:O30"/>
  <sheetViews>
    <sheetView zoomScale="85" zoomScaleNormal="85" workbookViewId="0">
      <selection activeCell="J28" sqref="H28:J28"/>
    </sheetView>
  </sheetViews>
  <sheetFormatPr defaultRowHeight="15" x14ac:dyDescent="0.25"/>
  <cols>
    <col min="1" max="1" width="27.42578125" bestFit="1" customWidth="1"/>
    <col min="2" max="2" width="9" customWidth="1"/>
    <col min="3" max="3" width="11.7109375" style="40" customWidth="1"/>
    <col min="4" max="4" width="11.7109375" customWidth="1"/>
    <col min="5" max="5" width="15" bestFit="1" customWidth="1"/>
    <col min="6" max="6" width="10.85546875" style="40" customWidth="1"/>
    <col min="7" max="7" width="11.85546875" customWidth="1"/>
    <col min="8" max="8" width="14.42578125" customWidth="1"/>
    <col min="9" max="9" width="12.85546875" style="41" customWidth="1"/>
    <col min="10" max="10" width="13.28515625" style="39" customWidth="1"/>
    <col min="11" max="12" width="11.28515625" customWidth="1"/>
    <col min="13" max="13" width="14.5703125" customWidth="1"/>
    <col min="14" max="14" width="13.140625" customWidth="1"/>
    <col min="15" max="15" width="13" customWidth="1"/>
  </cols>
  <sheetData>
    <row r="1" spans="1:15" ht="15.75" thickBot="1" x14ac:dyDescent="0.3">
      <c r="A1" s="158" t="s">
        <v>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60"/>
    </row>
    <row r="2" spans="1:15" ht="28.5" customHeight="1" x14ac:dyDescent="0.25">
      <c r="A2" s="1" t="s">
        <v>1</v>
      </c>
      <c r="B2" s="89">
        <v>40008.295271365358</v>
      </c>
      <c r="C2" s="149" t="s">
        <v>41</v>
      </c>
      <c r="D2" s="150"/>
      <c r="E2" s="151"/>
      <c r="F2" s="149" t="s">
        <v>44</v>
      </c>
      <c r="G2" s="150"/>
      <c r="H2" s="150"/>
      <c r="I2" s="150"/>
      <c r="J2" s="151"/>
      <c r="K2" s="149" t="s">
        <v>45</v>
      </c>
      <c r="L2" s="150"/>
      <c r="M2" s="150"/>
      <c r="N2" s="150"/>
      <c r="O2" s="151"/>
    </row>
    <row r="3" spans="1:15" ht="15" customHeight="1" x14ac:dyDescent="0.25">
      <c r="A3" s="44" t="s">
        <v>36</v>
      </c>
      <c r="B3" s="89">
        <v>93.194916228643137</v>
      </c>
      <c r="C3" s="152"/>
      <c r="D3" s="153"/>
      <c r="E3" s="154"/>
      <c r="F3" s="152"/>
      <c r="G3" s="153"/>
      <c r="H3" s="153"/>
      <c r="I3" s="153"/>
      <c r="J3" s="154"/>
      <c r="K3" s="152"/>
      <c r="L3" s="153"/>
      <c r="M3" s="153"/>
      <c r="N3" s="153"/>
      <c r="O3" s="154"/>
    </row>
    <row r="4" spans="1:15" ht="15" customHeight="1" x14ac:dyDescent="0.25">
      <c r="A4" s="3" t="s">
        <v>2</v>
      </c>
      <c r="B4" s="52">
        <v>1.0705</v>
      </c>
      <c r="C4" s="152"/>
      <c r="D4" s="153"/>
      <c r="E4" s="154"/>
      <c r="F4" s="152"/>
      <c r="G4" s="153"/>
      <c r="H4" s="153"/>
      <c r="I4" s="153"/>
      <c r="J4" s="154"/>
      <c r="K4" s="152"/>
      <c r="L4" s="153"/>
      <c r="M4" s="153"/>
      <c r="N4" s="153"/>
      <c r="O4" s="154"/>
    </row>
    <row r="5" spans="1:15" ht="15.75" thickBot="1" x14ac:dyDescent="0.3">
      <c r="A5" s="5" t="s">
        <v>40</v>
      </c>
      <c r="B5" s="53">
        <v>1.0609999999999999</v>
      </c>
      <c r="C5" s="155"/>
      <c r="D5" s="156"/>
      <c r="E5" s="157"/>
      <c r="F5" s="152"/>
      <c r="G5" s="153"/>
      <c r="H5" s="153"/>
      <c r="I5" s="153"/>
      <c r="J5" s="154"/>
      <c r="K5" s="155"/>
      <c r="L5" s="156"/>
      <c r="M5" s="156"/>
      <c r="N5" s="156"/>
      <c r="O5" s="157"/>
    </row>
    <row r="6" spans="1:15" ht="45.75" thickBot="1" x14ac:dyDescent="0.3">
      <c r="A6" s="141" t="s">
        <v>3</v>
      </c>
      <c r="B6" s="142"/>
      <c r="C6" s="59" t="s">
        <v>4</v>
      </c>
      <c r="D6" s="7" t="s">
        <v>5</v>
      </c>
      <c r="E6" s="75" t="s">
        <v>46</v>
      </c>
      <c r="F6" s="59" t="s">
        <v>4</v>
      </c>
      <c r="G6" s="7" t="s">
        <v>5</v>
      </c>
      <c r="H6" s="8" t="s">
        <v>47</v>
      </c>
      <c r="I6" s="8" t="s">
        <v>48</v>
      </c>
      <c r="J6" s="90" t="s">
        <v>49</v>
      </c>
      <c r="K6" s="108" t="s">
        <v>4</v>
      </c>
      <c r="L6" s="106" t="s">
        <v>5</v>
      </c>
      <c r="M6" s="101" t="s">
        <v>50</v>
      </c>
      <c r="N6" s="101" t="s">
        <v>51</v>
      </c>
      <c r="O6" s="2" t="s">
        <v>52</v>
      </c>
    </row>
    <row r="7" spans="1:15" ht="15.75" thickBot="1" x14ac:dyDescent="0.3">
      <c r="A7" s="143" t="s">
        <v>37</v>
      </c>
      <c r="B7" s="144"/>
      <c r="C7" s="25">
        <f>B2*B4</f>
        <v>42828.880087996615</v>
      </c>
      <c r="D7" s="95">
        <v>9.6699999999999994E-2</v>
      </c>
      <c r="E7" s="76">
        <f t="shared" ref="E7" si="0">C7*D7</f>
        <v>4141.5527045092722</v>
      </c>
      <c r="F7" s="30">
        <f>B2*B5</f>
        <v>42448.801282918641</v>
      </c>
      <c r="G7" s="99">
        <f>D7</f>
        <v>9.6699999999999994E-2</v>
      </c>
      <c r="H7" s="91">
        <f t="shared" ref="H7" si="1">F7*G7</f>
        <v>4104.7990840582324</v>
      </c>
      <c r="I7" s="21"/>
      <c r="J7" s="107"/>
      <c r="K7" s="58">
        <f>F7</f>
        <v>42448.801282918641</v>
      </c>
      <c r="L7" s="99">
        <f>G7</f>
        <v>9.6699999999999994E-2</v>
      </c>
      <c r="M7" s="91">
        <f t="shared" ref="M7" si="2">K7*L7</f>
        <v>4104.7990840582324</v>
      </c>
      <c r="N7" s="21"/>
      <c r="O7" s="107"/>
    </row>
    <row r="8" spans="1:15" s="19" customFormat="1" ht="15.75" thickBot="1" x14ac:dyDescent="0.3">
      <c r="A8" s="139" t="s">
        <v>9</v>
      </c>
      <c r="B8" s="140"/>
      <c r="C8" s="64"/>
      <c r="D8" s="18"/>
      <c r="E8" s="79">
        <f>SUM(E7:E7)</f>
        <v>4141.5527045092722</v>
      </c>
      <c r="F8" s="64"/>
      <c r="G8" s="18"/>
      <c r="H8" s="18">
        <f>SUM(H7:H7)</f>
        <v>4104.7990840582324</v>
      </c>
      <c r="I8" s="18">
        <f>(H8-E8)</f>
        <v>-36.753620451039751</v>
      </c>
      <c r="J8" s="82">
        <f>I8/E8</f>
        <v>-8.8743577767398333E-3</v>
      </c>
      <c r="K8" s="57"/>
      <c r="L8" s="18"/>
      <c r="M8" s="18">
        <f>SUM(M7:M7)</f>
        <v>4104.7990840582324</v>
      </c>
      <c r="N8" s="18">
        <f>(M8-E8)</f>
        <v>-36.753620451039751</v>
      </c>
      <c r="O8" s="82">
        <f>N8/E8</f>
        <v>-8.8743577767398333E-3</v>
      </c>
    </row>
    <row r="9" spans="1:15" x14ac:dyDescent="0.25">
      <c r="A9" s="168" t="s">
        <v>10</v>
      </c>
      <c r="B9" s="169"/>
      <c r="C9" s="22">
        <v>1</v>
      </c>
      <c r="D9" s="24">
        <v>222.05</v>
      </c>
      <c r="E9" s="88">
        <f>C9*D9</f>
        <v>222.05</v>
      </c>
      <c r="F9" s="25">
        <v>1</v>
      </c>
      <c r="G9" s="10">
        <v>105.55</v>
      </c>
      <c r="H9" s="10">
        <f>F9*G9</f>
        <v>105.55</v>
      </c>
      <c r="I9" s="9"/>
      <c r="J9" s="83"/>
      <c r="K9" s="109">
        <f>F9</f>
        <v>1</v>
      </c>
      <c r="L9" s="24">
        <v>222.05</v>
      </c>
      <c r="M9" s="24">
        <f>K9*L9</f>
        <v>222.05</v>
      </c>
      <c r="N9" s="23"/>
      <c r="O9" s="124"/>
    </row>
    <row r="10" spans="1:15" x14ac:dyDescent="0.25">
      <c r="A10" s="145" t="s">
        <v>11</v>
      </c>
      <c r="B10" s="146"/>
      <c r="C10" s="34">
        <v>1</v>
      </c>
      <c r="D10" s="13">
        <v>0</v>
      </c>
      <c r="E10" s="77">
        <f t="shared" ref="E10:E14" si="3">C10*D10</f>
        <v>0</v>
      </c>
      <c r="F10" s="34">
        <v>1</v>
      </c>
      <c r="G10" s="13">
        <v>0</v>
      </c>
      <c r="H10" s="13">
        <f t="shared" ref="H10:H14" si="4">F10*G10</f>
        <v>0</v>
      </c>
      <c r="I10" s="12"/>
      <c r="J10" s="84"/>
      <c r="K10" s="55">
        <f t="shared" ref="K10:K17" si="5">F10</f>
        <v>1</v>
      </c>
      <c r="L10" s="13">
        <v>0</v>
      </c>
      <c r="M10" s="13">
        <f t="shared" ref="M10:M14" si="6">K10*L10</f>
        <v>0</v>
      </c>
      <c r="N10" s="12"/>
      <c r="O10" s="84"/>
    </row>
    <row r="11" spans="1:15" x14ac:dyDescent="0.25">
      <c r="A11" s="145" t="s">
        <v>12</v>
      </c>
      <c r="B11" s="146"/>
      <c r="C11" s="34">
        <f>B3</f>
        <v>93.194916228643137</v>
      </c>
      <c r="D11" s="96">
        <v>5.7596999999999996</v>
      </c>
      <c r="E11" s="77">
        <f t="shared" si="3"/>
        <v>536.77475900211584</v>
      </c>
      <c r="F11" s="34">
        <f>B3</f>
        <v>93.194916228643137</v>
      </c>
      <c r="G11" s="96">
        <v>20.5366</v>
      </c>
      <c r="H11" s="13">
        <f t="shared" si="4"/>
        <v>1913.9067166211526</v>
      </c>
      <c r="I11" s="12"/>
      <c r="J11" s="84"/>
      <c r="K11" s="55">
        <f t="shared" si="5"/>
        <v>93.194916228643137</v>
      </c>
      <c r="L11" s="96">
        <v>5.7596999999999996</v>
      </c>
      <c r="M11" s="13">
        <f t="shared" si="6"/>
        <v>536.77475900211584</v>
      </c>
      <c r="N11" s="12"/>
      <c r="O11" s="84"/>
    </row>
    <row r="12" spans="1:15" x14ac:dyDescent="0.25">
      <c r="A12" s="145" t="s">
        <v>13</v>
      </c>
      <c r="B12" s="146"/>
      <c r="C12" s="34">
        <f>B3</f>
        <v>93.194916228643137</v>
      </c>
      <c r="D12" s="96">
        <v>0.70609999999999995</v>
      </c>
      <c r="E12" s="77">
        <f t="shared" si="3"/>
        <v>65.804930349044909</v>
      </c>
      <c r="F12" s="34">
        <f>B3</f>
        <v>93.194916228643137</v>
      </c>
      <c r="G12" s="96">
        <v>0</v>
      </c>
      <c r="H12" s="13">
        <f t="shared" si="4"/>
        <v>0</v>
      </c>
      <c r="I12" s="12"/>
      <c r="J12" s="84"/>
      <c r="K12" s="55">
        <f t="shared" si="5"/>
        <v>93.194916228643137</v>
      </c>
      <c r="L12" s="96">
        <v>0</v>
      </c>
      <c r="M12" s="13">
        <f t="shared" si="6"/>
        <v>0</v>
      </c>
      <c r="N12" s="12"/>
      <c r="O12" s="84"/>
    </row>
    <row r="13" spans="1:15" x14ac:dyDescent="0.25">
      <c r="A13" s="145" t="s">
        <v>14</v>
      </c>
      <c r="B13" s="146"/>
      <c r="C13" s="34">
        <f>B3</f>
        <v>93.194916228643137</v>
      </c>
      <c r="D13" s="96">
        <v>0.69189999999999996</v>
      </c>
      <c r="E13" s="77">
        <f t="shared" si="3"/>
        <v>64.481562538598183</v>
      </c>
      <c r="F13" s="34">
        <f>B3</f>
        <v>93.194916228643137</v>
      </c>
      <c r="G13" s="96">
        <f>D13</f>
        <v>0.69189999999999996</v>
      </c>
      <c r="H13" s="13">
        <f t="shared" si="4"/>
        <v>64.481562538598183</v>
      </c>
      <c r="I13" s="12"/>
      <c r="J13" s="84"/>
      <c r="K13" s="55">
        <f t="shared" si="5"/>
        <v>93.194916228643137</v>
      </c>
      <c r="L13" s="96">
        <v>0.69189999999999996</v>
      </c>
      <c r="M13" s="13">
        <f t="shared" si="6"/>
        <v>64.481562538598183</v>
      </c>
      <c r="N13" s="12"/>
      <c r="O13" s="84"/>
    </row>
    <row r="14" spans="1:15" ht="15.75" thickBot="1" x14ac:dyDescent="0.3">
      <c r="A14" s="166" t="s">
        <v>38</v>
      </c>
      <c r="B14" s="167"/>
      <c r="C14" s="36">
        <f>B2</f>
        <v>40008.295271365358</v>
      </c>
      <c r="D14" s="97">
        <v>2.7000000000000001E-3</v>
      </c>
      <c r="E14" s="78">
        <f t="shared" si="3"/>
        <v>108.02239723268647</v>
      </c>
      <c r="F14" s="36">
        <f>B2</f>
        <v>40008.295271365358</v>
      </c>
      <c r="G14" s="97">
        <f>D14</f>
        <v>2.7000000000000001E-3</v>
      </c>
      <c r="H14" s="16">
        <f t="shared" si="4"/>
        <v>108.02239723268647</v>
      </c>
      <c r="I14" s="15"/>
      <c r="J14" s="85"/>
      <c r="K14" s="110">
        <f t="shared" si="5"/>
        <v>40008.295271365358</v>
      </c>
      <c r="L14" s="97">
        <v>2.7000000000000001E-3</v>
      </c>
      <c r="M14" s="47">
        <f t="shared" si="6"/>
        <v>108.02239723268647</v>
      </c>
      <c r="N14" s="27"/>
      <c r="O14" s="125"/>
    </row>
    <row r="15" spans="1:15" ht="15.75" thickBot="1" x14ac:dyDescent="0.3">
      <c r="A15" s="139" t="s">
        <v>15</v>
      </c>
      <c r="B15" s="140"/>
      <c r="C15" s="30"/>
      <c r="D15" s="91"/>
      <c r="E15" s="79">
        <f>SUM(E9:E14)</f>
        <v>997.13364912244526</v>
      </c>
      <c r="F15" s="30"/>
      <c r="G15" s="91"/>
      <c r="H15" s="18">
        <f>SUM(H9:H14)</f>
        <v>2191.9606763924376</v>
      </c>
      <c r="I15" s="18">
        <f>(H15-E15)</f>
        <v>1194.8270272699924</v>
      </c>
      <c r="J15" s="82">
        <f>I15/E15</f>
        <v>1.1982616656468594</v>
      </c>
      <c r="K15" s="58"/>
      <c r="L15" s="91"/>
      <c r="M15" s="18">
        <f>SUM(M9:M14)</f>
        <v>931.3287187734004</v>
      </c>
      <c r="N15" s="18">
        <f>(M15-E15)</f>
        <v>-65.804930349044866</v>
      </c>
      <c r="O15" s="82">
        <f>N15/E15</f>
        <v>-6.5994092574208379E-2</v>
      </c>
    </row>
    <row r="16" spans="1:15" x14ac:dyDescent="0.25">
      <c r="A16" s="143" t="s">
        <v>20</v>
      </c>
      <c r="B16" s="144"/>
      <c r="C16" s="25">
        <f>B3</f>
        <v>93.194916228643137</v>
      </c>
      <c r="D16" s="95">
        <v>3.4413999999999998</v>
      </c>
      <c r="E16" s="76">
        <f t="shared" ref="E16:E17" si="7">C16*D16</f>
        <v>320.72098470925249</v>
      </c>
      <c r="F16" s="25">
        <f>B3</f>
        <v>93.194916228643137</v>
      </c>
      <c r="G16" s="95">
        <v>3.0150999999999999</v>
      </c>
      <c r="H16" s="10">
        <f t="shared" ref="H16:H17" si="8">F16*G16</f>
        <v>280.99199192098189</v>
      </c>
      <c r="I16" s="9"/>
      <c r="J16" s="83"/>
      <c r="K16" s="111">
        <f t="shared" si="5"/>
        <v>93.194916228643137</v>
      </c>
      <c r="L16" s="95">
        <v>3.0150999999999999</v>
      </c>
      <c r="M16" s="24">
        <f t="shared" ref="M16:M17" si="9">K16*L16</f>
        <v>280.99199192098189</v>
      </c>
      <c r="N16" s="23"/>
      <c r="O16" s="124"/>
    </row>
    <row r="17" spans="1:15" x14ac:dyDescent="0.25">
      <c r="A17" s="145" t="s">
        <v>21</v>
      </c>
      <c r="B17" s="146"/>
      <c r="C17" s="34">
        <f>B3</f>
        <v>93.194916228643137</v>
      </c>
      <c r="D17" s="96">
        <v>0.58779999999999999</v>
      </c>
      <c r="E17" s="77">
        <f t="shared" si="7"/>
        <v>54.779971759196435</v>
      </c>
      <c r="F17" s="34">
        <f>B3</f>
        <v>93.194916228643137</v>
      </c>
      <c r="G17" s="96">
        <v>2.3614000000000002</v>
      </c>
      <c r="H17" s="13">
        <f t="shared" si="8"/>
        <v>220.07047518231792</v>
      </c>
      <c r="I17" s="12"/>
      <c r="J17" s="84"/>
      <c r="K17" s="54">
        <f t="shared" si="5"/>
        <v>93.194916228643137</v>
      </c>
      <c r="L17" s="96">
        <v>2.3614000000000002</v>
      </c>
      <c r="M17" s="13">
        <f t="shared" si="9"/>
        <v>220.07047518231792</v>
      </c>
      <c r="N17" s="12"/>
      <c r="O17" s="84"/>
    </row>
    <row r="18" spans="1:15" ht="15.75" thickBot="1" x14ac:dyDescent="0.3">
      <c r="A18" s="163" t="s">
        <v>22</v>
      </c>
      <c r="B18" s="164"/>
      <c r="C18" s="36"/>
      <c r="D18" s="16"/>
      <c r="E18" s="80">
        <f>SUM(E16:E17)</f>
        <v>375.50095646844892</v>
      </c>
      <c r="F18" s="36"/>
      <c r="G18" s="16"/>
      <c r="H18" s="20">
        <f>SUM(H16:H17)</f>
        <v>501.06246710329981</v>
      </c>
      <c r="I18" s="20">
        <f>(H18-E18)</f>
        <v>125.56151063485089</v>
      </c>
      <c r="J18" s="86">
        <f>I18/E18</f>
        <v>0.3343839968231907</v>
      </c>
      <c r="K18" s="112"/>
      <c r="L18" s="16"/>
      <c r="M18" s="28">
        <f>SUM(M16:M17)</f>
        <v>501.06246710329981</v>
      </c>
      <c r="N18" s="28">
        <f>(M18-E18)</f>
        <v>125.56151063485089</v>
      </c>
      <c r="O18" s="126">
        <f>N18/E18</f>
        <v>0.3343839968231907</v>
      </c>
    </row>
    <row r="19" spans="1:15" ht="15.75" thickBot="1" x14ac:dyDescent="0.3">
      <c r="A19" s="139" t="s">
        <v>34</v>
      </c>
      <c r="B19" s="140"/>
      <c r="C19" s="30"/>
      <c r="D19" s="91"/>
      <c r="E19" s="79">
        <f>E15+E18</f>
        <v>1372.6346055908941</v>
      </c>
      <c r="F19" s="30"/>
      <c r="G19" s="91"/>
      <c r="H19" s="18">
        <f>H15+H18</f>
        <v>2693.0231434957373</v>
      </c>
      <c r="I19" s="18">
        <f>(H19-E19)</f>
        <v>1320.3885379048431</v>
      </c>
      <c r="J19" s="82">
        <f>I19/E19</f>
        <v>0.961937381242432</v>
      </c>
      <c r="K19" s="110"/>
      <c r="L19" s="91"/>
      <c r="M19" s="29">
        <f>M15+M18</f>
        <v>1432.3911858767001</v>
      </c>
      <c r="N19" s="29">
        <f>(M19-E19)</f>
        <v>59.756580285805967</v>
      </c>
      <c r="O19" s="127">
        <f>N19/E19</f>
        <v>4.3534222467079539E-2</v>
      </c>
    </row>
    <row r="20" spans="1:15" x14ac:dyDescent="0.25">
      <c r="A20" s="143" t="s">
        <v>24</v>
      </c>
      <c r="B20" s="144"/>
      <c r="C20" s="25">
        <f>B2*B4</f>
        <v>42828.880087996615</v>
      </c>
      <c r="D20" s="95">
        <v>4.1000000000000003E-3</v>
      </c>
      <c r="E20" s="76">
        <f t="shared" ref="E20:E23" si="10">C20*D20</f>
        <v>175.59840836078612</v>
      </c>
      <c r="F20" s="25">
        <f>B2*B5</f>
        <v>42448.801282918641</v>
      </c>
      <c r="G20" s="95">
        <v>4.1000000000000003E-3</v>
      </c>
      <c r="H20" s="10">
        <f t="shared" ref="H20:H23" si="11">F20*G20</f>
        <v>174.04008525996645</v>
      </c>
      <c r="I20" s="9"/>
      <c r="J20" s="83"/>
      <c r="K20" s="54">
        <f>F20</f>
        <v>42448.801282918641</v>
      </c>
      <c r="L20" s="95">
        <v>4.1000000000000003E-3</v>
      </c>
      <c r="M20" s="10">
        <f t="shared" ref="M20:M23" si="12">K20*L20</f>
        <v>174.04008525996645</v>
      </c>
      <c r="N20" s="9"/>
      <c r="O20" s="83"/>
    </row>
    <row r="21" spans="1:15" x14ac:dyDescent="0.25">
      <c r="A21" s="145" t="s">
        <v>25</v>
      </c>
      <c r="B21" s="146"/>
      <c r="C21" s="25">
        <f>C20</f>
        <v>42828.880087996615</v>
      </c>
      <c r="D21" s="96">
        <v>4.0000000000000002E-4</v>
      </c>
      <c r="E21" s="77">
        <f t="shared" si="10"/>
        <v>17.131552035198645</v>
      </c>
      <c r="F21" s="34">
        <f>F20</f>
        <v>42448.801282918641</v>
      </c>
      <c r="G21" s="96">
        <v>4.0000000000000002E-4</v>
      </c>
      <c r="H21" s="13">
        <f t="shared" si="11"/>
        <v>16.979520513167458</v>
      </c>
      <c r="I21" s="12"/>
      <c r="J21" s="84"/>
      <c r="K21" s="55">
        <f>K20</f>
        <v>42448.801282918641</v>
      </c>
      <c r="L21" s="96">
        <v>4.0000000000000002E-4</v>
      </c>
      <c r="M21" s="13">
        <f t="shared" si="12"/>
        <v>16.979520513167458</v>
      </c>
      <c r="N21" s="12"/>
      <c r="O21" s="84"/>
    </row>
    <row r="22" spans="1:15" x14ac:dyDescent="0.25">
      <c r="A22" s="145" t="s">
        <v>26</v>
      </c>
      <c r="B22" s="146"/>
      <c r="C22" s="25">
        <f>C20</f>
        <v>42828.880087996615</v>
      </c>
      <c r="D22" s="96">
        <v>6.9999999999999999E-4</v>
      </c>
      <c r="E22" s="77">
        <f t="shared" si="10"/>
        <v>29.980216061597631</v>
      </c>
      <c r="F22" s="34">
        <f>F20</f>
        <v>42448.801282918641</v>
      </c>
      <c r="G22" s="96">
        <v>6.9999999999999999E-4</v>
      </c>
      <c r="H22" s="13">
        <f t="shared" si="11"/>
        <v>29.714160898043048</v>
      </c>
      <c r="I22" s="12"/>
      <c r="J22" s="84"/>
      <c r="K22" s="55">
        <f>K20</f>
        <v>42448.801282918641</v>
      </c>
      <c r="L22" s="96">
        <v>6.9999999999999999E-4</v>
      </c>
      <c r="M22" s="13">
        <f t="shared" si="12"/>
        <v>29.714160898043048</v>
      </c>
      <c r="N22" s="12"/>
      <c r="O22" s="84"/>
    </row>
    <row r="23" spans="1:15" ht="15.75" thickBot="1" x14ac:dyDescent="0.3">
      <c r="A23" s="147" t="s">
        <v>27</v>
      </c>
      <c r="B23" s="148"/>
      <c r="C23" s="36">
        <v>1</v>
      </c>
      <c r="D23" s="16">
        <v>0.25</v>
      </c>
      <c r="E23" s="78">
        <f t="shared" si="10"/>
        <v>0.25</v>
      </c>
      <c r="F23" s="36">
        <v>1</v>
      </c>
      <c r="G23" s="16">
        <v>0.25</v>
      </c>
      <c r="H23" s="16">
        <f t="shared" si="11"/>
        <v>0.25</v>
      </c>
      <c r="I23" s="15"/>
      <c r="J23" s="85"/>
      <c r="K23" s="56">
        <v>1</v>
      </c>
      <c r="L23" s="16">
        <v>0.25</v>
      </c>
      <c r="M23" s="16">
        <f t="shared" si="12"/>
        <v>0.25</v>
      </c>
      <c r="N23" s="15"/>
      <c r="O23" s="85"/>
    </row>
    <row r="24" spans="1:15" ht="15.75" thickBot="1" x14ac:dyDescent="0.3">
      <c r="A24" s="139" t="s">
        <v>28</v>
      </c>
      <c r="B24" s="140"/>
      <c r="C24" s="30"/>
      <c r="D24" s="21"/>
      <c r="E24" s="79">
        <f>SUM(E20:E23)</f>
        <v>222.96017645758241</v>
      </c>
      <c r="F24" s="30"/>
      <c r="G24" s="21"/>
      <c r="H24" s="18">
        <f>SUM(H20:H23)</f>
        <v>220.98376667117694</v>
      </c>
      <c r="I24" s="18">
        <f>(H24-E24)</f>
        <v>-1.976409786405469</v>
      </c>
      <c r="J24" s="82">
        <f>I24/E24</f>
        <v>-8.8644071681629466E-3</v>
      </c>
      <c r="K24" s="109"/>
      <c r="L24" s="48"/>
      <c r="M24" s="49">
        <f>SUM(M20:M23)</f>
        <v>220.98376667117694</v>
      </c>
      <c r="N24" s="49">
        <f>(M24-E24)</f>
        <v>-1.976409786405469</v>
      </c>
      <c r="O24" s="128">
        <f>N24/E24</f>
        <v>-8.8644071681629466E-3</v>
      </c>
    </row>
    <row r="25" spans="1:15" x14ac:dyDescent="0.25">
      <c r="A25" s="161" t="s">
        <v>29</v>
      </c>
      <c r="B25" s="162"/>
      <c r="C25" s="25"/>
      <c r="D25" s="9"/>
      <c r="E25" s="81">
        <f>E8+E15+E18+E24</f>
        <v>5737.1474865577493</v>
      </c>
      <c r="F25" s="25"/>
      <c r="G25" s="9"/>
      <c r="H25" s="31">
        <f>H8+H15+H18+H24</f>
        <v>7018.8059942251475</v>
      </c>
      <c r="I25" s="31">
        <f>(H25-E25)</f>
        <v>1281.6585076673982</v>
      </c>
      <c r="J25" s="87">
        <f>I25/E25</f>
        <v>0.2233964719697985</v>
      </c>
      <c r="K25" s="111"/>
      <c r="L25" s="23"/>
      <c r="M25" s="32">
        <f>M8+M15+M18+M24</f>
        <v>5758.1740366061103</v>
      </c>
      <c r="N25" s="32">
        <f>(M25-E25)</f>
        <v>21.026550048361059</v>
      </c>
      <c r="O25" s="129">
        <f>N25/E25</f>
        <v>3.6649833558622443E-3</v>
      </c>
    </row>
    <row r="26" spans="1:15" x14ac:dyDescent="0.25">
      <c r="A26" s="145" t="s">
        <v>30</v>
      </c>
      <c r="B26" s="146"/>
      <c r="C26" s="34"/>
      <c r="D26" s="33">
        <v>0.13</v>
      </c>
      <c r="E26" s="77">
        <f>E25*D26</f>
        <v>745.82917325250742</v>
      </c>
      <c r="F26" s="34"/>
      <c r="G26" s="33">
        <f>D26</f>
        <v>0.13</v>
      </c>
      <c r="H26" s="13">
        <f>H25*G26</f>
        <v>912.44477924926923</v>
      </c>
      <c r="I26" s="12"/>
      <c r="J26" s="84"/>
      <c r="K26" s="55"/>
      <c r="L26" s="33">
        <f>G26</f>
        <v>0.13</v>
      </c>
      <c r="M26" s="13">
        <f>M25*L26</f>
        <v>748.56262475879441</v>
      </c>
      <c r="N26" s="12"/>
      <c r="O26" s="84"/>
    </row>
    <row r="27" spans="1:15" ht="15.75" thickBot="1" x14ac:dyDescent="0.3">
      <c r="A27" s="147" t="s">
        <v>31</v>
      </c>
      <c r="B27" s="148"/>
      <c r="C27" s="36"/>
      <c r="D27" s="35">
        <f>IF((B2*12)&gt;250000,0,-19.3%)</f>
        <v>0</v>
      </c>
      <c r="E27" s="78">
        <f>D27*E25</f>
        <v>0</v>
      </c>
      <c r="F27" s="36"/>
      <c r="G27" s="35">
        <f>D27</f>
        <v>0</v>
      </c>
      <c r="H27" s="16">
        <f>G27*H25</f>
        <v>0</v>
      </c>
      <c r="I27" s="15"/>
      <c r="J27" s="85"/>
      <c r="K27" s="112"/>
      <c r="L27" s="50">
        <f>G27</f>
        <v>0</v>
      </c>
      <c r="M27" s="47">
        <f>L27*M25</f>
        <v>0</v>
      </c>
      <c r="N27" s="27"/>
      <c r="O27" s="125"/>
    </row>
    <row r="28" spans="1:15" ht="15.75" thickBot="1" x14ac:dyDescent="0.3">
      <c r="A28" s="139" t="s">
        <v>32</v>
      </c>
      <c r="B28" s="140"/>
      <c r="C28" s="30"/>
      <c r="D28" s="21"/>
      <c r="E28" s="114">
        <f>SUM(E25:E27)</f>
        <v>6482.9766598102569</v>
      </c>
      <c r="F28" s="30"/>
      <c r="G28" s="21"/>
      <c r="H28" s="117">
        <f>SUM(H25:H27)</f>
        <v>7931.2507734744167</v>
      </c>
      <c r="I28" s="117">
        <f>(H28-E28)</f>
        <v>1448.2741136641598</v>
      </c>
      <c r="J28" s="116">
        <f>I28/E28</f>
        <v>0.22339647196979848</v>
      </c>
      <c r="K28" s="58"/>
      <c r="L28" s="21"/>
      <c r="M28" s="117">
        <f>SUM(M25:M27)</f>
        <v>6506.7366613649046</v>
      </c>
      <c r="N28" s="117">
        <f>(M28-E28)</f>
        <v>23.760001554647715</v>
      </c>
      <c r="O28" s="130">
        <f>N28/E28</f>
        <v>3.6649833558622005E-3</v>
      </c>
    </row>
    <row r="30" spans="1:15" s="38" customFormat="1" x14ac:dyDescent="0.25">
      <c r="C30" s="37"/>
      <c r="F30" s="37"/>
      <c r="I30" s="39"/>
      <c r="J30" s="39"/>
    </row>
  </sheetData>
  <mergeCells count="27">
    <mergeCell ref="A26:B26"/>
    <mergeCell ref="A7:B7"/>
    <mergeCell ref="A8:B8"/>
    <mergeCell ref="A9:B9"/>
    <mergeCell ref="A10:B10"/>
    <mergeCell ref="A11:B11"/>
    <mergeCell ref="A6:B6"/>
    <mergeCell ref="F2:J5"/>
    <mergeCell ref="K2:O5"/>
    <mergeCell ref="A24:B24"/>
    <mergeCell ref="A25:B25"/>
    <mergeCell ref="A1:O1"/>
    <mergeCell ref="A27:B27"/>
    <mergeCell ref="A28:B28"/>
    <mergeCell ref="C2:E5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</mergeCells>
  <conditionalFormatting sqref="B2">
    <cfRule type="expression" dxfId="2" priority="2">
      <formula>$G2="kVa"</formula>
    </cfRule>
    <cfRule type="expression" dxfId="1" priority="3">
      <formula>$G2="kWh"</formula>
    </cfRule>
  </conditionalFormatting>
  <conditionalFormatting sqref="B2:B3">
    <cfRule type="expression" dxfId="0" priority="1">
      <formula>$G2="kW"</formula>
    </cfRule>
  </conditionalFormatting>
  <pageMargins left="0.7" right="0.7" top="0.75" bottom="0.75" header="0.3" footer="0.3"/>
  <pageSetup orientation="portrait" r:id="rId1"/>
  <ignoredErrors>
    <ignoredError sqref="E8:M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ccede3d2665cf7394253ce71d0fcada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2962d140a5e2a2b965ccf0ce1df2f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format="Dropdown" ma:internalName="WitnessApprov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itness 1"/>
                    <xsd:enumeration value="Witness 2"/>
                    <xsd:enumeration value="Witness 3"/>
                  </xsd:restriction>
                </xsd:simpleType>
              </xsd:element>
            </xsd:sequence>
          </xsd:extension>
        </xsd:complexContent>
      </xsd:complex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RICHARDSON Joanne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EB-2023-0328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2024-03-04T05:00:00+00:00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7D4567EF-4349-4447-8E49-12FDE1983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21978-55E1-4FCA-AE24-666688FB8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7AB0A6-917A-4CB0-84A0-DC1FCFBAB5A1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7e651a3a-8d05-4ee0-9344-b668032e30e0"/>
    <ds:schemaRef ds:uri="http://schemas.openxmlformats.org/package/2006/metadata/core-properties"/>
    <ds:schemaRef ds:uri="1f5e108a-442b-424d-88d6-fdac133e65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</vt:lpstr>
      <vt:lpstr>GS&lt;50kW</vt:lpstr>
      <vt:lpstr>GS 50-4,999kW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LEE Julie(Qiu Ling)</cp:lastModifiedBy>
  <dcterms:created xsi:type="dcterms:W3CDTF">2024-02-22T19:19:31Z</dcterms:created>
  <dcterms:modified xsi:type="dcterms:W3CDTF">2024-03-04T20:35:05Z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