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6DD4D762-A0F4-475B-A164-81A09DC8ED13}" xr6:coauthVersionLast="47" xr6:coauthVersionMax="47" xr10:uidLastSave="{00000000-0000-0000-0000-000000000000}"/>
  <bookViews>
    <workbookView xWindow="-110" yWindow="-110" windowWidth="19420" windowHeight="10420" xr2:uid="{BDCD5890-A8AB-4843-912E-D2E443DC61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I12" i="1"/>
  <c r="I10" i="1"/>
  <c r="G7" i="1"/>
  <c r="G6" i="1"/>
  <c r="G5" i="1"/>
  <c r="G4" i="1"/>
  <c r="G3" i="1"/>
  <c r="D4" i="1"/>
  <c r="B8" i="1"/>
  <c r="G8" i="1" s="1"/>
  <c r="M8" i="1" s="1"/>
  <c r="B9" i="1"/>
  <c r="G9" i="1" s="1"/>
  <c r="M9" i="1" s="1"/>
  <c r="M7" i="1"/>
  <c r="D7" i="1"/>
  <c r="B7" i="1"/>
  <c r="M6" i="1"/>
  <c r="D6" i="1"/>
  <c r="C6" i="1"/>
  <c r="M5" i="1"/>
  <c r="I5" i="1"/>
  <c r="F6" i="1" s="1"/>
  <c r="I6" i="1" s="1"/>
  <c r="F7" i="1" s="1"/>
  <c r="I7" i="1" s="1"/>
  <c r="F8" i="1" s="1"/>
  <c r="F5" i="1"/>
  <c r="D5" i="1"/>
  <c r="M4" i="1"/>
  <c r="F4" i="1"/>
  <c r="I3" i="1" s="1"/>
  <c r="D3" i="1"/>
  <c r="I8" i="1" l="1"/>
  <c r="F9" i="1" s="1"/>
  <c r="I9" i="1" s="1"/>
  <c r="F10" i="1" s="1"/>
  <c r="M3" i="1"/>
  <c r="L3" i="1"/>
  <c r="B10" i="1"/>
  <c r="B11" i="1" l="1"/>
  <c r="G10" i="1"/>
  <c r="N3" i="1"/>
  <c r="J4" i="1"/>
  <c r="L4" i="1" s="1"/>
  <c r="M10" i="1" l="1"/>
  <c r="F11" i="1"/>
  <c r="J5" i="1"/>
  <c r="L5" i="1" s="1"/>
  <c r="N4" i="1"/>
  <c r="G11" i="1"/>
  <c r="M11" i="1" s="1"/>
  <c r="B12" i="1"/>
  <c r="G12" i="1" l="1"/>
  <c r="M12" i="1" s="1"/>
  <c r="B13" i="1"/>
  <c r="I11" i="1"/>
  <c r="F12" i="1" s="1"/>
  <c r="F13" i="1" s="1"/>
  <c r="J6" i="1"/>
  <c r="L6" i="1" s="1"/>
  <c r="J7" i="1" s="1"/>
  <c r="N5" i="1"/>
  <c r="N6" i="1" l="1"/>
  <c r="L7" i="1"/>
  <c r="J8" i="1" s="1"/>
  <c r="L8" i="1" s="1"/>
  <c r="G13" i="1"/>
  <c r="M13" i="1" s="1"/>
  <c r="B14" i="1"/>
  <c r="I13" i="1"/>
  <c r="F14" i="1" s="1"/>
  <c r="N7" i="1" l="1"/>
  <c r="B15" i="1"/>
  <c r="G14" i="1"/>
  <c r="M14" i="1" s="1"/>
  <c r="B16" i="1" l="1"/>
  <c r="G16" i="1" s="1"/>
  <c r="M16" i="1" s="1"/>
  <c r="G15" i="1"/>
  <c r="M15" i="1" s="1"/>
  <c r="N8" i="1"/>
  <c r="J9" i="1"/>
  <c r="L9" i="1" s="1"/>
  <c r="I14" i="1"/>
  <c r="F15" i="1" s="1"/>
  <c r="I15" i="1" s="1"/>
  <c r="F16" i="1" s="1"/>
  <c r="I16" i="1" s="1"/>
  <c r="N9" i="1" l="1"/>
  <c r="J10" i="1"/>
  <c r="L10" i="1" s="1"/>
  <c r="N10" i="1" l="1"/>
  <c r="J11" i="1"/>
  <c r="L11" i="1" s="1"/>
  <c r="N11" i="1" l="1"/>
  <c r="J12" i="1"/>
  <c r="L12" i="1" s="1"/>
  <c r="N12" i="1" l="1"/>
  <c r="J13" i="1"/>
  <c r="L13" i="1" s="1"/>
  <c r="N13" i="1" l="1"/>
  <c r="J14" i="1"/>
  <c r="L14" i="1" s="1"/>
  <c r="N14" i="1" l="1"/>
  <c r="J15" i="1"/>
  <c r="L15" i="1" s="1"/>
  <c r="N15" i="1" l="1"/>
  <c r="J16" i="1"/>
  <c r="L16" i="1" s="1"/>
  <c r="N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Sinclair</author>
  </authors>
  <commentList>
    <comment ref="L2" authorId="0" shapeId="0" xr:uid="{4FA8DCF4-6423-4C5D-BAC4-F6F0551D5B1D}">
      <text>
        <r>
          <rPr>
            <sz val="9"/>
            <color indexed="81"/>
            <rFont val="Tahoma"/>
            <family val="2"/>
          </rPr>
          <t>Values are fit to most closely achieve known or target Ending Evs count, sale penetration and fleet penetration values.</t>
        </r>
      </text>
    </comment>
    <comment ref="I4" authorId="0" shapeId="0" xr:uid="{6B03F810-DA4A-4E86-8E81-5BB73E955B66}">
      <text>
        <r>
          <rPr>
            <b/>
            <sz val="9"/>
            <color indexed="81"/>
            <rFont val="Tahoma"/>
            <family val="2"/>
          </rPr>
          <t xml:space="preserve">Estimated from Dunsky statements in the City's EV Strategy that there were 6300 EV in 2018 and this made up 0.6% of all LD vehicles.
</t>
        </r>
      </text>
    </comment>
  </commentList>
</comments>
</file>

<file path=xl/sharedStrings.xml><?xml version="1.0" encoding="utf-8"?>
<sst xmlns="http://schemas.openxmlformats.org/spreadsheetml/2006/main" count="18" uniqueCount="18">
  <si>
    <t>Ontario</t>
  </si>
  <si>
    <t>Vehicles Removed from Service</t>
  </si>
  <si>
    <t>Toronto</t>
  </si>
  <si>
    <t>Year</t>
  </si>
  <si>
    <t>Total LD Vehicles Purchased</t>
  </si>
  <si>
    <t xml:space="preserve">LD EV Purchased </t>
  </si>
  <si>
    <t>EV% of Total</t>
  </si>
  <si>
    <t>EV Retirement Factor</t>
  </si>
  <si>
    <t>Starting LD Vehicles in Toronto</t>
  </si>
  <si>
    <t>New LD Vehicles Registered</t>
  </si>
  <si>
    <t>Toronto Share of Ontario New Vehicles</t>
  </si>
  <si>
    <t>Total LD Vehicles</t>
  </si>
  <si>
    <t>Beginning Evs</t>
  </si>
  <si>
    <t>New EV Registrations</t>
  </si>
  <si>
    <t>Total EVs</t>
  </si>
  <si>
    <t>EV % of New Registrations</t>
  </si>
  <si>
    <t>EV % of LD Vehicles in Toronto</t>
  </si>
  <si>
    <t>Average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</si>
</sst>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5" fontId="0" fillId="0" borderId="8" xfId="2" applyNumberFormat="1" applyFont="1" applyBorder="1"/>
    <xf numFmtId="165" fontId="0" fillId="0" borderId="7" xfId="2" applyNumberFormat="1" applyFont="1" applyBorder="1"/>
    <xf numFmtId="165" fontId="0" fillId="0" borderId="0" xfId="2" applyNumberFormat="1" applyFont="1" applyBorder="1"/>
    <xf numFmtId="164" fontId="2" fillId="0" borderId="0" xfId="1" applyNumberFormat="1" applyFont="1" applyFill="1" applyBorder="1" applyAlignment="1">
      <alignment horizontal="center"/>
    </xf>
    <xf numFmtId="9" fontId="0" fillId="0" borderId="8" xfId="2" applyFont="1" applyBorder="1"/>
    <xf numFmtId="0" fontId="0" fillId="0" borderId="9" xfId="0" applyBorder="1"/>
    <xf numFmtId="164" fontId="0" fillId="0" borderId="10" xfId="1" applyNumberFormat="1" applyFont="1" applyFill="1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5" fontId="0" fillId="0" borderId="11" xfId="2" applyNumberFormat="1" applyFont="1" applyBorder="1"/>
    <xf numFmtId="165" fontId="0" fillId="0" borderId="10" xfId="2" applyNumberFormat="1" applyFont="1" applyBorder="1"/>
    <xf numFmtId="165" fontId="0" fillId="0" borderId="9" xfId="2" applyNumberFormat="1" applyFont="1" applyBorder="1"/>
    <xf numFmtId="164" fontId="2" fillId="0" borderId="9" xfId="1" applyNumberFormat="1" applyFont="1" applyFill="1" applyBorder="1" applyAlignment="1">
      <alignment horizontal="center"/>
    </xf>
    <xf numFmtId="9" fontId="0" fillId="0" borderId="11" xfId="2" applyFont="1" applyBorder="1"/>
    <xf numFmtId="164" fontId="0" fillId="0" borderId="4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165" fontId="0" fillId="0" borderId="4" xfId="2" applyNumberFormat="1" applyFont="1" applyBorder="1"/>
    <xf numFmtId="164" fontId="0" fillId="0" borderId="5" xfId="0" applyNumberFormat="1" applyBorder="1"/>
    <xf numFmtId="165" fontId="0" fillId="0" borderId="5" xfId="2" applyNumberFormat="1" applyFont="1" applyBorder="1"/>
    <xf numFmtId="164" fontId="0" fillId="0" borderId="5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9" fontId="0" fillId="0" borderId="6" xfId="2" applyFont="1" applyBorder="1"/>
    <xf numFmtId="0" fontId="0" fillId="0" borderId="8" xfId="0" applyBorder="1"/>
    <xf numFmtId="164" fontId="0" fillId="0" borderId="0" xfId="0" applyNumberFormat="1"/>
    <xf numFmtId="0" fontId="0" fillId="0" borderId="11" xfId="0" applyBorder="1"/>
    <xf numFmtId="164" fontId="0" fillId="0" borderId="9" xfId="0" applyNumberFormat="1" applyBorder="1"/>
    <xf numFmtId="0" fontId="0" fillId="0" borderId="0" xfId="0" applyAlignment="1">
      <alignment wrapText="1"/>
    </xf>
    <xf numFmtId="9" fontId="0" fillId="0" borderId="0" xfId="0" applyNumberFormat="1"/>
    <xf numFmtId="9" fontId="0" fillId="0" borderId="11" xfId="2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9E81-0E8A-4FD4-8FBA-A8BDC8F1195C}">
  <dimension ref="A1:N18"/>
  <sheetViews>
    <sheetView tabSelected="1" zoomScale="70" zoomScaleNormal="70" workbookViewId="0">
      <selection activeCell="G21" sqref="G21"/>
    </sheetView>
  </sheetViews>
  <sheetFormatPr defaultRowHeight="14.5" x14ac:dyDescent="0.35"/>
  <cols>
    <col min="2" max="4" width="14.54296875" customWidth="1"/>
    <col min="5" max="14" width="16.1796875" customWidth="1"/>
    <col min="18" max="18" width="16.453125" bestFit="1" customWidth="1"/>
  </cols>
  <sheetData>
    <row r="1" spans="1:14" ht="29" x14ac:dyDescent="0.35">
      <c r="B1" s="37" t="s">
        <v>0</v>
      </c>
      <c r="C1" s="38"/>
      <c r="D1" s="39"/>
      <c r="E1" s="1" t="s">
        <v>1</v>
      </c>
      <c r="F1" s="40" t="s">
        <v>2</v>
      </c>
      <c r="G1" s="41"/>
      <c r="H1" s="41"/>
      <c r="I1" s="41"/>
      <c r="J1" s="41"/>
      <c r="K1" s="41"/>
      <c r="L1" s="41"/>
      <c r="M1" s="41"/>
      <c r="N1" s="42"/>
    </row>
    <row r="2" spans="1:14" ht="43.5" x14ac:dyDescent="0.35">
      <c r="A2" s="2" t="s">
        <v>3</v>
      </c>
      <c r="B2" s="3" t="s">
        <v>4</v>
      </c>
      <c r="C2" s="4" t="s">
        <v>5</v>
      </c>
      <c r="D2" s="5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5" t="s">
        <v>16</v>
      </c>
    </row>
    <row r="3" spans="1:14" x14ac:dyDescent="0.35">
      <c r="A3">
        <v>2017</v>
      </c>
      <c r="B3" s="6">
        <v>801431</v>
      </c>
      <c r="C3" s="7">
        <v>8180</v>
      </c>
      <c r="D3" s="8">
        <f>C3/B3</f>
        <v>1.0206742689015025E-2</v>
      </c>
      <c r="E3" s="9">
        <v>5.0000000000000001E-3</v>
      </c>
      <c r="F3" s="6">
        <f>I3*(1+0.091)-G3</f>
        <v>1037370.4218909999</v>
      </c>
      <c r="G3" s="7">
        <f t="shared" ref="G3:G7" si="0">B3*H3</f>
        <v>101781.73700000001</v>
      </c>
      <c r="H3" s="10">
        <v>0.127</v>
      </c>
      <c r="I3" s="7">
        <f>F4</f>
        <v>1044135.801</v>
      </c>
      <c r="J3" s="7">
        <v>1553.0080644501716</v>
      </c>
      <c r="K3" s="7">
        <v>1032</v>
      </c>
      <c r="L3" s="11">
        <f t="shared" ref="L3:L16" si="1">(J3*(1-E3))+K3</f>
        <v>2577.2430241279208</v>
      </c>
      <c r="M3" s="10">
        <f>K3/G3</f>
        <v>1.0139343564160238E-2</v>
      </c>
      <c r="N3" s="12">
        <f t="shared" ref="N3:N14" si="2">L3/I3</f>
        <v>2.4683025154961821E-3</v>
      </c>
    </row>
    <row r="4" spans="1:14" x14ac:dyDescent="0.35">
      <c r="A4">
        <v>2018</v>
      </c>
      <c r="B4" s="6">
        <v>798537</v>
      </c>
      <c r="C4" s="7">
        <v>16758</v>
      </c>
      <c r="D4" s="8">
        <f>C4/B4</f>
        <v>2.0985877924253979E-2</v>
      </c>
      <c r="E4" s="9">
        <v>7.0000000000000001E-3</v>
      </c>
      <c r="F4" s="6">
        <f>I4*(1+0.091)-G4</f>
        <v>1044135.801</v>
      </c>
      <c r="G4" s="7">
        <f t="shared" si="0"/>
        <v>101414.19900000001</v>
      </c>
      <c r="H4" s="10">
        <v>0.127</v>
      </c>
      <c r="I4" s="7">
        <v>1050000</v>
      </c>
      <c r="J4" s="7">
        <f>L3</f>
        <v>2577.2430241279208</v>
      </c>
      <c r="K4" s="7">
        <v>3656</v>
      </c>
      <c r="L4" s="11">
        <f t="shared" si="1"/>
        <v>6215.202322959025</v>
      </c>
      <c r="M4" s="10">
        <f>K4/G4</f>
        <v>3.6050178732861655E-2</v>
      </c>
      <c r="N4" s="12">
        <f t="shared" si="2"/>
        <v>5.919240307580024E-3</v>
      </c>
    </row>
    <row r="5" spans="1:14" x14ac:dyDescent="0.35">
      <c r="A5">
        <v>2019</v>
      </c>
      <c r="B5" s="6">
        <v>795985</v>
      </c>
      <c r="C5" s="7">
        <v>9762</v>
      </c>
      <c r="D5" s="8">
        <f t="shared" ref="D5:D7" si="3">C5/B5</f>
        <v>1.2264050201951041E-2</v>
      </c>
      <c r="E5" s="9">
        <v>0.01</v>
      </c>
      <c r="F5" s="6">
        <f>I4</f>
        <v>1050000</v>
      </c>
      <c r="G5" s="7">
        <f t="shared" si="0"/>
        <v>101090.095</v>
      </c>
      <c r="H5" s="10">
        <v>0.127</v>
      </c>
      <c r="I5" s="7">
        <f>(F5*(1-9.1%))+G5</f>
        <v>1055540.095</v>
      </c>
      <c r="J5" s="7">
        <f t="shared" ref="J5:J14" si="4">L4</f>
        <v>6215.202322959025</v>
      </c>
      <c r="K5" s="7">
        <v>1289</v>
      </c>
      <c r="L5" s="11">
        <f t="shared" si="1"/>
        <v>7442.0502997294343</v>
      </c>
      <c r="M5" s="10">
        <f>K5/G5</f>
        <v>1.2751001965128236E-2</v>
      </c>
      <c r="N5" s="12">
        <f t="shared" si="2"/>
        <v>7.0504667089215916E-3</v>
      </c>
    </row>
    <row r="6" spans="1:14" x14ac:dyDescent="0.35">
      <c r="A6">
        <v>2020</v>
      </c>
      <c r="B6" s="6">
        <v>600612</v>
      </c>
      <c r="C6" s="7">
        <f>10515</f>
        <v>10515</v>
      </c>
      <c r="D6" s="8">
        <f t="shared" si="3"/>
        <v>1.7507142714431281E-2</v>
      </c>
      <c r="E6" s="9">
        <v>1.2999999999999999E-2</v>
      </c>
      <c r="F6" s="6">
        <f>I5</f>
        <v>1055540.095</v>
      </c>
      <c r="G6" s="7">
        <f t="shared" si="0"/>
        <v>76277.724000000002</v>
      </c>
      <c r="H6" s="10">
        <v>0.127</v>
      </c>
      <c r="I6" s="7">
        <f t="shared" ref="I6:I16" si="5">(F6*(1-9.1%))+G6</f>
        <v>1035763.6703550001</v>
      </c>
      <c r="J6" s="7">
        <f t="shared" si="4"/>
        <v>7442.0502997294343</v>
      </c>
      <c r="K6" s="7">
        <v>2570</v>
      </c>
      <c r="L6" s="11">
        <f t="shared" si="1"/>
        <v>9915.3036458329516</v>
      </c>
      <c r="M6" s="10">
        <f>K6/G6</f>
        <v>3.3692667599783128E-2</v>
      </c>
      <c r="N6" s="12">
        <f t="shared" si="2"/>
        <v>9.5729401692903147E-3</v>
      </c>
    </row>
    <row r="7" spans="1:14" x14ac:dyDescent="0.35">
      <c r="A7" s="13">
        <v>2021</v>
      </c>
      <c r="B7" s="14">
        <f>321906*2</f>
        <v>643812</v>
      </c>
      <c r="C7" s="15">
        <v>16850</v>
      </c>
      <c r="D7" s="16">
        <f t="shared" si="3"/>
        <v>2.6172236615657988E-2</v>
      </c>
      <c r="E7" s="17">
        <v>1.7999999999999999E-2</v>
      </c>
      <c r="F7" s="14">
        <f t="shared" ref="F7:F16" si="6">I6</f>
        <v>1035763.6703550001</v>
      </c>
      <c r="G7" s="15">
        <f t="shared" si="0"/>
        <v>81764.123999999996</v>
      </c>
      <c r="H7" s="18">
        <v>0.127</v>
      </c>
      <c r="I7" s="15">
        <f t="shared" si="5"/>
        <v>1023273.300352695</v>
      </c>
      <c r="J7" s="15">
        <f>L6</f>
        <v>9915.3036458329516</v>
      </c>
      <c r="K7" s="15">
        <v>3406</v>
      </c>
      <c r="L7" s="19">
        <f t="shared" si="1"/>
        <v>13142.828180207958</v>
      </c>
      <c r="M7" s="18">
        <f t="shared" ref="M7:M14" si="7">K7/G7</f>
        <v>4.1656411557714483E-2</v>
      </c>
      <c r="N7" s="20">
        <f t="shared" si="2"/>
        <v>1.2843908050447496E-2</v>
      </c>
    </row>
    <row r="8" spans="1:14" x14ac:dyDescent="0.35">
      <c r="A8">
        <v>2022</v>
      </c>
      <c r="B8" s="21">
        <f>AVERAGE(B3:B7)</f>
        <v>728075.4</v>
      </c>
      <c r="C8" s="22"/>
      <c r="D8" s="23"/>
      <c r="E8" s="24">
        <v>2.1999999999999999E-2</v>
      </c>
      <c r="F8" s="21">
        <f t="shared" si="6"/>
        <v>1023273.300352695</v>
      </c>
      <c r="G8" s="25">
        <f t="shared" ref="G8:G16" si="8">B8*H8</f>
        <v>92465.575800000006</v>
      </c>
      <c r="H8" s="26">
        <v>0.127</v>
      </c>
      <c r="I8" s="27">
        <f t="shared" si="5"/>
        <v>1022621.0058205999</v>
      </c>
      <c r="J8" s="27">
        <f>L7</f>
        <v>13142.828180207958</v>
      </c>
      <c r="K8" s="27">
        <v>5000</v>
      </c>
      <c r="L8" s="28">
        <f>(J8*(1-E8))+K8</f>
        <v>17853.685960243383</v>
      </c>
      <c r="M8" s="26">
        <f t="shared" si="7"/>
        <v>5.4074177949368266E-2</v>
      </c>
      <c r="N8" s="29">
        <f t="shared" si="2"/>
        <v>1.7458751442247889E-2</v>
      </c>
    </row>
    <row r="9" spans="1:14" x14ac:dyDescent="0.35">
      <c r="A9">
        <v>2023</v>
      </c>
      <c r="B9" s="6">
        <f>AVERAGE(B3:B5)</f>
        <v>798651</v>
      </c>
      <c r="D9" s="30"/>
      <c r="E9" s="9">
        <v>2.5000000000000001E-2</v>
      </c>
      <c r="F9" s="6">
        <f t="shared" si="6"/>
        <v>1022621.0058205999</v>
      </c>
      <c r="G9" s="31">
        <f>B9*H9</f>
        <v>101428.677</v>
      </c>
      <c r="H9" s="10">
        <v>0.127</v>
      </c>
      <c r="I9" s="7">
        <f t="shared" si="5"/>
        <v>1030991.1712909254</v>
      </c>
      <c r="J9" s="7">
        <f t="shared" si="4"/>
        <v>17853.685960243383</v>
      </c>
      <c r="K9" s="7">
        <v>9000</v>
      </c>
      <c r="L9" s="11">
        <f>(J9*(1-E9))+K9</f>
        <v>26407.343811237297</v>
      </c>
      <c r="M9" s="10">
        <f t="shared" si="7"/>
        <v>8.8732302009618055E-2</v>
      </c>
      <c r="N9" s="12">
        <f t="shared" si="2"/>
        <v>2.5613549898950264E-2</v>
      </c>
    </row>
    <row r="10" spans="1:14" x14ac:dyDescent="0.35">
      <c r="A10">
        <v>2024</v>
      </c>
      <c r="B10" s="6">
        <f>B9*(1+$B$18)</f>
        <v>806637.51</v>
      </c>
      <c r="D10" s="30"/>
      <c r="E10" s="9">
        <v>0.03</v>
      </c>
      <c r="F10" s="6">
        <f t="shared" si="6"/>
        <v>1030991.1712909254</v>
      </c>
      <c r="G10" s="31">
        <f t="shared" si="8"/>
        <v>102442.96377</v>
      </c>
      <c r="H10" s="10">
        <v>0.127</v>
      </c>
      <c r="I10" s="7">
        <f>(F10*(1-9.1%))+G10</f>
        <v>1039613.9384734512</v>
      </c>
      <c r="J10" s="7">
        <f>L9</f>
        <v>26407.343811237297</v>
      </c>
      <c r="K10" s="7">
        <v>13000</v>
      </c>
      <c r="L10" s="11">
        <f t="shared" si="1"/>
        <v>38615.123496900182</v>
      </c>
      <c r="M10" s="10">
        <f t="shared" si="7"/>
        <v>0.12689988186194001</v>
      </c>
      <c r="N10" s="12">
        <f t="shared" si="2"/>
        <v>3.7143714669314529E-2</v>
      </c>
    </row>
    <row r="11" spans="1:14" x14ac:dyDescent="0.35">
      <c r="A11">
        <v>2025</v>
      </c>
      <c r="B11" s="6">
        <f t="shared" ref="B11:B16" si="9">B10*(1+$B$18)</f>
        <v>814703.88510000007</v>
      </c>
      <c r="D11" s="30"/>
      <c r="E11" s="9">
        <v>3.5000000000000003E-2</v>
      </c>
      <c r="F11" s="6">
        <f t="shared" si="6"/>
        <v>1039613.9384734512</v>
      </c>
      <c r="G11" s="31">
        <f t="shared" si="8"/>
        <v>103467.39340770002</v>
      </c>
      <c r="H11" s="10">
        <v>0.127</v>
      </c>
      <c r="I11" s="7">
        <f t="shared" si="5"/>
        <v>1048476.4634800672</v>
      </c>
      <c r="J11" s="7">
        <f t="shared" si="4"/>
        <v>38615.123496900182</v>
      </c>
      <c r="K11" s="7">
        <v>15500</v>
      </c>
      <c r="L11" s="11">
        <f t="shared" si="1"/>
        <v>52763.594174508675</v>
      </c>
      <c r="M11" s="10">
        <f t="shared" si="7"/>
        <v>0.14980564880884004</v>
      </c>
      <c r="N11" s="12">
        <f t="shared" si="2"/>
        <v>5.0324061638329538E-2</v>
      </c>
    </row>
    <row r="12" spans="1:14" x14ac:dyDescent="0.35">
      <c r="A12">
        <v>2026</v>
      </c>
      <c r="B12" s="6">
        <f t="shared" si="9"/>
        <v>822850.92395100009</v>
      </c>
      <c r="D12" s="30"/>
      <c r="E12" s="9">
        <v>0.04</v>
      </c>
      <c r="F12" s="6">
        <f t="shared" si="6"/>
        <v>1048476.4634800672</v>
      </c>
      <c r="G12" s="31">
        <f t="shared" si="8"/>
        <v>104502.06734177702</v>
      </c>
      <c r="H12" s="10">
        <v>0.127</v>
      </c>
      <c r="I12" s="7">
        <f>(F12*(1-9.1%))+G12</f>
        <v>1057567.1726451581</v>
      </c>
      <c r="J12" s="7">
        <f t="shared" si="4"/>
        <v>52763.594174508675</v>
      </c>
      <c r="K12" s="7">
        <v>25000</v>
      </c>
      <c r="L12" s="11">
        <f t="shared" si="1"/>
        <v>75653.050407528324</v>
      </c>
      <c r="M12" s="10">
        <f t="shared" si="7"/>
        <v>0.2392297170374322</v>
      </c>
      <c r="N12" s="12">
        <f t="shared" si="2"/>
        <v>7.1534983653385328E-2</v>
      </c>
    </row>
    <row r="13" spans="1:14" x14ac:dyDescent="0.35">
      <c r="A13">
        <v>2027</v>
      </c>
      <c r="B13" s="6">
        <f t="shared" si="9"/>
        <v>831079.43319051014</v>
      </c>
      <c r="D13" s="30"/>
      <c r="E13" s="9">
        <v>4.4999999999999998E-2</v>
      </c>
      <c r="F13" s="6">
        <f t="shared" si="6"/>
        <v>1057567.1726451581</v>
      </c>
      <c r="G13" s="31">
        <f t="shared" si="8"/>
        <v>105547.08801519479</v>
      </c>
      <c r="H13" s="10">
        <v>0.127</v>
      </c>
      <c r="I13" s="7">
        <f t="shared" si="5"/>
        <v>1066875.6479496437</v>
      </c>
      <c r="J13" s="7">
        <f t="shared" si="4"/>
        <v>75653.050407528324</v>
      </c>
      <c r="K13" s="7">
        <v>33000</v>
      </c>
      <c r="L13" s="11">
        <f>(J13*(1-E13))+K13</f>
        <v>105248.66313918955</v>
      </c>
      <c r="M13" s="10">
        <f t="shared" si="7"/>
        <v>0.31265665989050545</v>
      </c>
      <c r="N13" s="12">
        <f t="shared" si="2"/>
        <v>9.8651293936139473E-2</v>
      </c>
    </row>
    <row r="14" spans="1:14" x14ac:dyDescent="0.35">
      <c r="A14">
        <v>2028</v>
      </c>
      <c r="B14" s="6">
        <f t="shared" si="9"/>
        <v>839390.22752241523</v>
      </c>
      <c r="D14" s="30"/>
      <c r="E14" s="9">
        <v>5.5E-2</v>
      </c>
      <c r="F14" s="6">
        <f t="shared" si="6"/>
        <v>1066875.6479496437</v>
      </c>
      <c r="G14" s="31">
        <f t="shared" si="8"/>
        <v>106602.55889534674</v>
      </c>
      <c r="H14" s="10">
        <v>0.127</v>
      </c>
      <c r="I14" s="7">
        <f t="shared" si="5"/>
        <v>1076392.5228815728</v>
      </c>
      <c r="J14" s="7">
        <f t="shared" si="4"/>
        <v>105248.66313918955</v>
      </c>
      <c r="K14" s="7">
        <v>43000</v>
      </c>
      <c r="L14" s="11">
        <f t="shared" si="1"/>
        <v>142459.98666653413</v>
      </c>
      <c r="M14" s="10">
        <f t="shared" si="7"/>
        <v>0.40336742800155218</v>
      </c>
      <c r="N14" s="12">
        <f t="shared" si="2"/>
        <v>0.13234947627205684</v>
      </c>
    </row>
    <row r="15" spans="1:14" x14ac:dyDescent="0.35">
      <c r="A15">
        <v>2029</v>
      </c>
      <c r="B15" s="6">
        <f>B14*(1+$B$18)</f>
        <v>847784.12979763944</v>
      </c>
      <c r="D15" s="30"/>
      <c r="E15" s="9">
        <v>6.0999999999999999E-2</v>
      </c>
      <c r="F15" s="6">
        <f t="shared" si="6"/>
        <v>1076392.5228815728</v>
      </c>
      <c r="G15" s="31">
        <f t="shared" si="8"/>
        <v>107668.58448430021</v>
      </c>
      <c r="H15" s="10">
        <v>0.127</v>
      </c>
      <c r="I15" s="7">
        <f t="shared" si="5"/>
        <v>1086109.3877836498</v>
      </c>
      <c r="J15" s="7">
        <f>L14</f>
        <v>142459.98666653413</v>
      </c>
      <c r="K15" s="7">
        <v>46000</v>
      </c>
      <c r="L15" s="11">
        <f t="shared" si="1"/>
        <v>179769.92747987557</v>
      </c>
      <c r="M15" s="10">
        <f>K15/G15</f>
        <v>0.42723697186441167</v>
      </c>
      <c r="N15" s="12">
        <f>L15/I15</f>
        <v>0.16551733140500693</v>
      </c>
    </row>
    <row r="16" spans="1:14" x14ac:dyDescent="0.35">
      <c r="A16" s="32">
        <v>2030</v>
      </c>
      <c r="B16" s="14">
        <f t="shared" si="9"/>
        <v>856261.97109561588</v>
      </c>
      <c r="C16" s="13"/>
      <c r="D16" s="32"/>
      <c r="E16" s="17">
        <v>6.5000000000000002E-2</v>
      </c>
      <c r="F16" s="14">
        <f t="shared" si="6"/>
        <v>1086109.3877836498</v>
      </c>
      <c r="G16" s="33">
        <f t="shared" si="8"/>
        <v>108745.27032914321</v>
      </c>
      <c r="H16" s="18">
        <v>0.127</v>
      </c>
      <c r="I16" s="15">
        <f t="shared" si="5"/>
        <v>1096018.703824481</v>
      </c>
      <c r="J16" s="15">
        <f>L15</f>
        <v>179769.92747987557</v>
      </c>
      <c r="K16" s="15">
        <v>52000</v>
      </c>
      <c r="L16" s="19">
        <f t="shared" si="1"/>
        <v>220084.88219368368</v>
      </c>
      <c r="M16" s="18">
        <f>K16/G16</f>
        <v>0.47818171624944916</v>
      </c>
      <c r="N16" s="36">
        <f>L16/I16</f>
        <v>0.20080394743786104</v>
      </c>
    </row>
    <row r="18" spans="1:2" ht="43.5" x14ac:dyDescent="0.35">
      <c r="A18" s="34" t="s">
        <v>17</v>
      </c>
      <c r="B18" s="35">
        <v>0.01</v>
      </c>
    </row>
  </sheetData>
  <mergeCells count="2">
    <mergeCell ref="B1:D1"/>
    <mergeCell ref="F1:N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5F34C-C1CA-4CB4-90C8-47546AB8D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E0F862-F482-4517-8143-41E226FD7C27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9474F7-997B-467E-BE61-AD15B26AA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LDEV Calculations</dc:title>
  <dc:creator>Jp Musaazi</dc:creator>
  <cp:lastModifiedBy>Michael Gardiner</cp:lastModifiedBy>
  <dcterms:created xsi:type="dcterms:W3CDTF">2024-02-17T15:43:33Z</dcterms:created>
  <dcterms:modified xsi:type="dcterms:W3CDTF">2024-03-09T20:23:48Z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2024-02-17T15:43:54Z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034b46f6-e795-4ded-bab4-0ada55f14386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