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780D6378-E459-43D7-85EF-96E85AEC8F54}" xr6:coauthVersionLast="47" xr6:coauthVersionMax="47" xr10:uidLastSave="{00000000-0000-0000-0000-000000000000}"/>
  <bookViews>
    <workbookView xWindow="1605" yWindow="-14130" windowWidth="14400" windowHeight="7365" tabRatio="864" activeTab="2" xr2:uid="{48A1C576-A552-4DD7-91B1-5E920B0D5B96}"/>
  </bookViews>
  <sheets>
    <sheet name="Tables" sheetId="6" r:id="rId1"/>
    <sheet name="Assumptions and Summary" sheetId="2" r:id="rId2"/>
    <sheet name="5yr Deferral BCA" sheetId="3" r:id="rId3"/>
    <sheet name="Avoidance BCA" sheetId="4" r:id="rId4"/>
    <sheet name="Assumptions" sheetId="5" r:id="rId5"/>
  </sheets>
  <definedNames>
    <definedName name="WACC">'Assumptions and Summary'!$C$14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9" i="2"/>
  <c r="D19" i="2" s="1"/>
  <c r="C28" i="6" l="1"/>
  <c r="C13" i="3"/>
  <c r="C13" i="4"/>
  <c r="C12" i="3"/>
  <c r="C12" i="4"/>
  <c r="C10" i="3" l="1"/>
  <c r="C6" i="3"/>
  <c r="C7" i="3"/>
  <c r="C8" i="3"/>
  <c r="C3" i="6"/>
  <c r="I61" i="2"/>
  <c r="J61" i="2" s="1"/>
  <c r="E20" i="4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AP20" i="4" s="1"/>
  <c r="AQ20" i="4" s="1"/>
  <c r="AR20" i="4" s="1"/>
  <c r="AS20" i="4" s="1"/>
  <c r="AT20" i="4" s="1"/>
  <c r="AU20" i="4" s="1"/>
  <c r="AV20" i="4" s="1"/>
  <c r="AW20" i="4" s="1"/>
  <c r="AX20" i="4" s="1"/>
  <c r="AY20" i="4" s="1"/>
  <c r="AZ20" i="4" s="1"/>
  <c r="C6" i="4"/>
  <c r="C7" i="4"/>
  <c r="C8" i="4"/>
  <c r="C10" i="4"/>
  <c r="C17" i="4"/>
  <c r="C16" i="4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C8" i="2"/>
  <c r="C9" i="3" s="1"/>
  <c r="C17" i="3"/>
  <c r="D23" i="3" s="1"/>
  <c r="C16" i="3"/>
  <c r="C10" i="2"/>
  <c r="C11" i="3" s="1"/>
  <c r="H22" i="2"/>
  <c r="C18" i="3" l="1"/>
  <c r="D28" i="6"/>
  <c r="D3" i="6"/>
  <c r="C11" i="4"/>
  <c r="K61" i="2"/>
  <c r="L61" i="2" s="1"/>
  <c r="C14" i="2"/>
  <c r="C9" i="4"/>
  <c r="C18" i="4"/>
  <c r="D23" i="4" s="1"/>
  <c r="O61" i="2" l="1"/>
  <c r="M61" i="2"/>
  <c r="D24" i="2" l="1"/>
  <c r="D25" i="2" s="1"/>
  <c r="E24" i="2"/>
  <c r="E25" i="2" s="1"/>
  <c r="F24" i="2"/>
  <c r="F25" i="2" s="1"/>
  <c r="G24" i="2"/>
  <c r="G25" i="2" s="1"/>
  <c r="C24" i="2"/>
  <c r="C25" i="2" l="1"/>
  <c r="H24" i="2"/>
  <c r="C5" i="6" s="1"/>
  <c r="G47" i="3"/>
  <c r="F33" i="2"/>
  <c r="H45" i="4"/>
  <c r="F47" i="3"/>
  <c r="E47" i="3"/>
  <c r="G45" i="4"/>
  <c r="D47" i="3"/>
  <c r="H47" i="3"/>
  <c r="G33" i="2"/>
  <c r="D26" i="4"/>
  <c r="D37" i="4" s="1"/>
  <c r="D26" i="3"/>
  <c r="D37" i="3" s="1"/>
  <c r="J45" i="4"/>
  <c r="J47" i="3"/>
  <c r="K47" i="3" l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AR47" i="3" s="1"/>
  <c r="AS47" i="3" s="1"/>
  <c r="AT47" i="3" s="1"/>
  <c r="AU47" i="3" s="1"/>
  <c r="AV47" i="3" s="1"/>
  <c r="AW47" i="3" s="1"/>
  <c r="AX47" i="3" s="1"/>
  <c r="AY47" i="3" s="1"/>
  <c r="AZ47" i="3" s="1"/>
  <c r="K45" i="4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AO45" i="4" s="1"/>
  <c r="AP45" i="4" s="1"/>
  <c r="AQ45" i="4" s="1"/>
  <c r="AR45" i="4" s="1"/>
  <c r="AS45" i="4" s="1"/>
  <c r="AT45" i="4" s="1"/>
  <c r="AU45" i="4" s="1"/>
  <c r="AV45" i="4" s="1"/>
  <c r="AW45" i="4" s="1"/>
  <c r="AX45" i="4" s="1"/>
  <c r="AY45" i="4" s="1"/>
  <c r="AZ45" i="4" s="1"/>
  <c r="H25" i="2"/>
  <c r="D49" i="2"/>
  <c r="C33" i="2"/>
  <c r="E45" i="4"/>
  <c r="D33" i="2"/>
  <c r="F45" i="4"/>
  <c r="E33" i="2"/>
  <c r="D45" i="4"/>
  <c r="D27" i="4"/>
  <c r="D36" i="4"/>
  <c r="D27" i="3"/>
  <c r="D36" i="3"/>
  <c r="BA47" i="3" l="1"/>
  <c r="BB47" i="3" s="1"/>
  <c r="D38" i="3"/>
  <c r="E36" i="3" s="1"/>
  <c r="H26" i="2"/>
  <c r="D5" i="6"/>
  <c r="C50" i="4"/>
  <c r="D7" i="6" s="1"/>
  <c r="D18" i="6" s="1"/>
  <c r="D32" i="4"/>
  <c r="D24" i="4"/>
  <c r="E27" i="4" s="1"/>
  <c r="D24" i="3"/>
  <c r="E27" i="3" s="1"/>
  <c r="E32" i="3" s="1"/>
  <c r="D32" i="3"/>
  <c r="H33" i="2"/>
  <c r="D28" i="4"/>
  <c r="D38" i="4"/>
  <c r="E36" i="4" s="1"/>
  <c r="E37" i="4" s="1"/>
  <c r="D28" i="3"/>
  <c r="E26" i="3" s="1"/>
  <c r="BC47" i="3" l="1"/>
  <c r="BD47" i="3" s="1"/>
  <c r="BE47" i="3" s="1"/>
  <c r="C57" i="3"/>
  <c r="C7" i="6" s="1"/>
  <c r="E37" i="3"/>
  <c r="E38" i="3" s="1"/>
  <c r="F36" i="3" s="1"/>
  <c r="E26" i="4"/>
  <c r="E28" i="4" s="1"/>
  <c r="E32" i="4"/>
  <c r="E24" i="4"/>
  <c r="F27" i="4" s="1"/>
  <c r="F32" i="4" s="1"/>
  <c r="E38" i="4"/>
  <c r="F36" i="4" s="1"/>
  <c r="F37" i="4" s="1"/>
  <c r="E24" i="3"/>
  <c r="F27" i="3" s="1"/>
  <c r="E28" i="3"/>
  <c r="F26" i="3" s="1"/>
  <c r="D30" i="4"/>
  <c r="D30" i="3"/>
  <c r="D39" i="2" l="1"/>
  <c r="F37" i="3"/>
  <c r="F26" i="4"/>
  <c r="F28" i="4" s="1"/>
  <c r="D34" i="4"/>
  <c r="D33" i="4"/>
  <c r="E30" i="4"/>
  <c r="F24" i="4"/>
  <c r="G27" i="4" s="1"/>
  <c r="G32" i="4" s="1"/>
  <c r="F38" i="4"/>
  <c r="G36" i="4" s="1"/>
  <c r="G37" i="4" s="1"/>
  <c r="D34" i="3"/>
  <c r="D33" i="3"/>
  <c r="F32" i="3"/>
  <c r="F28" i="3"/>
  <c r="G26" i="3" s="1"/>
  <c r="F24" i="3"/>
  <c r="G27" i="3" s="1"/>
  <c r="E30" i="3"/>
  <c r="F38" i="3"/>
  <c r="G36" i="3" s="1"/>
  <c r="G37" i="3" s="1"/>
  <c r="G26" i="4" l="1"/>
  <c r="F30" i="4"/>
  <c r="F34" i="4" s="1"/>
  <c r="F40" i="4" s="1"/>
  <c r="F41" i="4" s="1"/>
  <c r="D53" i="3"/>
  <c r="I51" i="3"/>
  <c r="D40" i="3"/>
  <c r="D41" i="3" s="1"/>
  <c r="G28" i="3"/>
  <c r="H26" i="3" s="1"/>
  <c r="G28" i="4"/>
  <c r="F33" i="4"/>
  <c r="E33" i="4"/>
  <c r="E34" i="4"/>
  <c r="E40" i="4" s="1"/>
  <c r="E41" i="4" s="1"/>
  <c r="G38" i="4"/>
  <c r="H36" i="4" s="1"/>
  <c r="H37" i="4" s="1"/>
  <c r="G24" i="4"/>
  <c r="H27" i="4" s="1"/>
  <c r="H24" i="4" s="1"/>
  <c r="I27" i="4" s="1"/>
  <c r="I32" i="4" s="1"/>
  <c r="E34" i="3"/>
  <c r="E33" i="3"/>
  <c r="F30" i="3"/>
  <c r="G24" i="3"/>
  <c r="H27" i="3" s="1"/>
  <c r="H32" i="3" s="1"/>
  <c r="G32" i="3"/>
  <c r="D40" i="4"/>
  <c r="G38" i="3"/>
  <c r="H36" i="3" l="1"/>
  <c r="H37" i="3"/>
  <c r="H26" i="4"/>
  <c r="H28" i="4" s="1"/>
  <c r="E53" i="3"/>
  <c r="J51" i="3"/>
  <c r="D41" i="4"/>
  <c r="D43" i="4" s="1"/>
  <c r="G30" i="3"/>
  <c r="G34" i="3" s="1"/>
  <c r="G30" i="4"/>
  <c r="G33" i="4" s="1"/>
  <c r="E43" i="4"/>
  <c r="E47" i="4" s="1"/>
  <c r="H38" i="4"/>
  <c r="I36" i="4" s="1"/>
  <c r="I37" i="4" s="1"/>
  <c r="H32" i="4"/>
  <c r="I24" i="4"/>
  <c r="J27" i="4" s="1"/>
  <c r="J24" i="4" s="1"/>
  <c r="K27" i="4" s="1"/>
  <c r="K24" i="4" s="1"/>
  <c r="L27" i="4" s="1"/>
  <c r="H28" i="3"/>
  <c r="I26" i="3" s="1"/>
  <c r="D43" i="3"/>
  <c r="F34" i="3"/>
  <c r="F33" i="3"/>
  <c r="E40" i="3"/>
  <c r="E41" i="3" s="1"/>
  <c r="H24" i="3"/>
  <c r="I27" i="3" s="1"/>
  <c r="I32" i="3" s="1"/>
  <c r="F43" i="4"/>
  <c r="F47" i="4" s="1"/>
  <c r="H38" i="3"/>
  <c r="I36" i="3" s="1"/>
  <c r="I37" i="3" s="1"/>
  <c r="I26" i="4" l="1"/>
  <c r="I28" i="4" s="1"/>
  <c r="K51" i="3"/>
  <c r="F53" i="3"/>
  <c r="L51" i="3"/>
  <c r="G53" i="3"/>
  <c r="D47" i="4"/>
  <c r="G33" i="3"/>
  <c r="H30" i="4"/>
  <c r="H33" i="4" s="1"/>
  <c r="G34" i="4"/>
  <c r="C32" i="2"/>
  <c r="C34" i="2" s="1"/>
  <c r="I45" i="3"/>
  <c r="H30" i="3"/>
  <c r="H34" i="3" s="1"/>
  <c r="I38" i="4"/>
  <c r="J36" i="4" s="1"/>
  <c r="J37" i="4" s="1"/>
  <c r="J32" i="4"/>
  <c r="I38" i="3"/>
  <c r="J36" i="3" s="1"/>
  <c r="J37" i="3" s="1"/>
  <c r="F40" i="3"/>
  <c r="F41" i="3" s="1"/>
  <c r="E43" i="3"/>
  <c r="I28" i="3"/>
  <c r="J26" i="3" s="1"/>
  <c r="I24" i="3"/>
  <c r="J27" i="3" s="1"/>
  <c r="J32" i="3" s="1"/>
  <c r="G40" i="3"/>
  <c r="G41" i="3" s="1"/>
  <c r="I30" i="4"/>
  <c r="K32" i="4"/>
  <c r="G40" i="4" l="1"/>
  <c r="G41" i="4" s="1"/>
  <c r="J26" i="4"/>
  <c r="J28" i="4" s="1"/>
  <c r="K26" i="4" s="1"/>
  <c r="K28" i="4" s="1"/>
  <c r="L26" i="4" s="1"/>
  <c r="H53" i="3"/>
  <c r="M51" i="3"/>
  <c r="H34" i="4"/>
  <c r="H40" i="4" s="1"/>
  <c r="G43" i="4"/>
  <c r="H33" i="3"/>
  <c r="D49" i="3"/>
  <c r="J45" i="3"/>
  <c r="J38" i="4"/>
  <c r="K36" i="4" s="1"/>
  <c r="I33" i="4"/>
  <c r="I34" i="4"/>
  <c r="I40" i="4" s="1"/>
  <c r="I41" i="4" s="1"/>
  <c r="L24" i="4"/>
  <c r="M27" i="4" s="1"/>
  <c r="D32" i="2"/>
  <c r="D34" i="2" s="1"/>
  <c r="I30" i="3"/>
  <c r="I34" i="3" s="1"/>
  <c r="J38" i="3"/>
  <c r="K36" i="3" s="1"/>
  <c r="K37" i="3" s="1"/>
  <c r="E49" i="3"/>
  <c r="F43" i="3"/>
  <c r="G43" i="3"/>
  <c r="J28" i="3"/>
  <c r="K26" i="3" s="1"/>
  <c r="J24" i="3"/>
  <c r="K27" i="3" s="1"/>
  <c r="K24" i="3" s="1"/>
  <c r="L27" i="3" s="1"/>
  <c r="L32" i="3" s="1"/>
  <c r="H40" i="3"/>
  <c r="H41" i="3" s="1"/>
  <c r="L32" i="4"/>
  <c r="J30" i="4"/>
  <c r="I53" i="3" l="1"/>
  <c r="N51" i="3"/>
  <c r="G47" i="4"/>
  <c r="H41" i="4"/>
  <c r="H43" i="4" s="1"/>
  <c r="K37" i="4"/>
  <c r="K38" i="4" s="1"/>
  <c r="L36" i="4" s="1"/>
  <c r="L45" i="3"/>
  <c r="K45" i="3"/>
  <c r="I33" i="3"/>
  <c r="J30" i="3"/>
  <c r="J33" i="3" s="1"/>
  <c r="J33" i="4"/>
  <c r="J34" i="4"/>
  <c r="M24" i="4"/>
  <c r="N27" i="4" s="1"/>
  <c r="E32" i="2"/>
  <c r="E34" i="2" s="1"/>
  <c r="F32" i="2"/>
  <c r="F34" i="2" s="1"/>
  <c r="K38" i="3"/>
  <c r="L36" i="3" s="1"/>
  <c r="L37" i="3" s="1"/>
  <c r="K28" i="3"/>
  <c r="L26" i="3" s="1"/>
  <c r="L28" i="3" s="1"/>
  <c r="M26" i="3" s="1"/>
  <c r="G49" i="3"/>
  <c r="F49" i="3"/>
  <c r="H43" i="3"/>
  <c r="K32" i="3"/>
  <c r="L24" i="3"/>
  <c r="M27" i="3" s="1"/>
  <c r="M24" i="3" s="1"/>
  <c r="N27" i="3" s="1"/>
  <c r="N24" i="3" s="1"/>
  <c r="O27" i="3" s="1"/>
  <c r="O24" i="3" s="1"/>
  <c r="P27" i="3" s="1"/>
  <c r="P24" i="3" s="1"/>
  <c r="Q27" i="3" s="1"/>
  <c r="Q24" i="3" s="1"/>
  <c r="R27" i="3" s="1"/>
  <c r="R24" i="3" s="1"/>
  <c r="S27" i="3" s="1"/>
  <c r="S24" i="3" s="1"/>
  <c r="T27" i="3" s="1"/>
  <c r="T24" i="3" s="1"/>
  <c r="U27" i="3" s="1"/>
  <c r="U24" i="3" s="1"/>
  <c r="V27" i="3" s="1"/>
  <c r="V24" i="3" s="1"/>
  <c r="W27" i="3" s="1"/>
  <c r="W24" i="3" s="1"/>
  <c r="X27" i="3" s="1"/>
  <c r="X24" i="3" s="1"/>
  <c r="Y27" i="3" s="1"/>
  <c r="Y24" i="3" s="1"/>
  <c r="Z27" i="3" s="1"/>
  <c r="Z24" i="3" s="1"/>
  <c r="AA27" i="3" s="1"/>
  <c r="AA24" i="3" s="1"/>
  <c r="AB27" i="3" s="1"/>
  <c r="AB24" i="3" s="1"/>
  <c r="AC27" i="3" s="1"/>
  <c r="AC24" i="3" s="1"/>
  <c r="AD27" i="3" s="1"/>
  <c r="AD24" i="3" s="1"/>
  <c r="AE27" i="3" s="1"/>
  <c r="AE24" i="3" s="1"/>
  <c r="AF27" i="3" s="1"/>
  <c r="AF24" i="3" s="1"/>
  <c r="AG27" i="3" s="1"/>
  <c r="AG24" i="3" s="1"/>
  <c r="AH27" i="3" s="1"/>
  <c r="AH24" i="3" s="1"/>
  <c r="AI27" i="3" s="1"/>
  <c r="AI24" i="3" s="1"/>
  <c r="AJ27" i="3" s="1"/>
  <c r="AJ24" i="3" s="1"/>
  <c r="AK27" i="3" s="1"/>
  <c r="AK24" i="3" s="1"/>
  <c r="AL27" i="3" s="1"/>
  <c r="AL24" i="3" s="1"/>
  <c r="AM27" i="3" s="1"/>
  <c r="AM24" i="3" s="1"/>
  <c r="AN27" i="3" s="1"/>
  <c r="AN24" i="3" s="1"/>
  <c r="AO27" i="3" s="1"/>
  <c r="AO24" i="3" s="1"/>
  <c r="AP27" i="3" s="1"/>
  <c r="AP24" i="3" s="1"/>
  <c r="AQ27" i="3" s="1"/>
  <c r="AQ24" i="3" s="1"/>
  <c r="AR27" i="3" s="1"/>
  <c r="AR24" i="3" s="1"/>
  <c r="AS27" i="3" s="1"/>
  <c r="AS24" i="3" s="1"/>
  <c r="AT27" i="3" s="1"/>
  <c r="AT24" i="3" s="1"/>
  <c r="AU27" i="3" s="1"/>
  <c r="AU24" i="3" s="1"/>
  <c r="AV27" i="3" s="1"/>
  <c r="AV24" i="3" s="1"/>
  <c r="AW27" i="3" s="1"/>
  <c r="AW24" i="3" s="1"/>
  <c r="AX27" i="3" s="1"/>
  <c r="AX24" i="3" s="1"/>
  <c r="AY27" i="3" s="1"/>
  <c r="AY24" i="3" s="1"/>
  <c r="AZ27" i="3" s="1"/>
  <c r="I40" i="3"/>
  <c r="I41" i="3" s="1"/>
  <c r="I43" i="4"/>
  <c r="K30" i="4"/>
  <c r="M32" i="4"/>
  <c r="L28" i="4"/>
  <c r="M26" i="4" s="1"/>
  <c r="C64" i="3" l="1"/>
  <c r="C58" i="4"/>
  <c r="H47" i="4"/>
  <c r="L37" i="4"/>
  <c r="L38" i="4" s="1"/>
  <c r="M36" i="4" s="1"/>
  <c r="K30" i="3"/>
  <c r="K33" i="3" s="1"/>
  <c r="L38" i="3"/>
  <c r="J34" i="3"/>
  <c r="M45" i="3"/>
  <c r="G32" i="2"/>
  <c r="H32" i="2" s="1"/>
  <c r="K33" i="4"/>
  <c r="K34" i="4"/>
  <c r="K40" i="4" s="1"/>
  <c r="K41" i="4" s="1"/>
  <c r="N24" i="4"/>
  <c r="O27" i="4" s="1"/>
  <c r="H49" i="3"/>
  <c r="I43" i="3"/>
  <c r="M32" i="3"/>
  <c r="AZ24" i="3"/>
  <c r="BA27" i="3" s="1"/>
  <c r="I47" i="4"/>
  <c r="J40" i="4"/>
  <c r="AH32" i="3"/>
  <c r="L30" i="4"/>
  <c r="N32" i="4"/>
  <c r="M28" i="4"/>
  <c r="N26" i="4" s="1"/>
  <c r="N32" i="3"/>
  <c r="L30" i="3"/>
  <c r="M28" i="3"/>
  <c r="N26" i="3" s="1"/>
  <c r="M36" i="3" l="1"/>
  <c r="M37" i="3" s="1"/>
  <c r="J53" i="3"/>
  <c r="O51" i="3"/>
  <c r="J41" i="4"/>
  <c r="J43" i="4" s="1"/>
  <c r="M37" i="4"/>
  <c r="M38" i="4" s="1"/>
  <c r="N36" i="4" s="1"/>
  <c r="K34" i="3"/>
  <c r="N45" i="3"/>
  <c r="J40" i="3"/>
  <c r="G34" i="2"/>
  <c r="H34" i="2" s="1"/>
  <c r="L34" i="4"/>
  <c r="L33" i="4"/>
  <c r="O24" i="4"/>
  <c r="P27" i="4" s="1"/>
  <c r="BA28" i="3"/>
  <c r="BA30" i="3" s="1"/>
  <c r="BA32" i="3"/>
  <c r="L34" i="3"/>
  <c r="L33" i="3"/>
  <c r="BA24" i="3"/>
  <c r="BB27" i="3" s="1"/>
  <c r="AI32" i="3"/>
  <c r="K43" i="4"/>
  <c r="M30" i="4"/>
  <c r="O32" i="4"/>
  <c r="N28" i="4"/>
  <c r="O26" i="4" s="1"/>
  <c r="O32" i="3"/>
  <c r="N28" i="3"/>
  <c r="M30" i="3"/>
  <c r="M38" i="3" l="1"/>
  <c r="N36" i="3" s="1"/>
  <c r="N37" i="3" s="1"/>
  <c r="N38" i="3" s="1"/>
  <c r="O36" i="3" s="1"/>
  <c r="O37" i="3" s="1"/>
  <c r="L53" i="3"/>
  <c r="Q51" i="3"/>
  <c r="K53" i="3"/>
  <c r="P51" i="3"/>
  <c r="J47" i="4"/>
  <c r="J41" i="3"/>
  <c r="J43" i="3" s="1"/>
  <c r="N37" i="4"/>
  <c r="N38" i="4" s="1"/>
  <c r="O36" i="4" s="1"/>
  <c r="K40" i="3"/>
  <c r="M33" i="4"/>
  <c r="M34" i="4"/>
  <c r="M40" i="4" s="1"/>
  <c r="M41" i="4" s="1"/>
  <c r="P24" i="4"/>
  <c r="Q27" i="4" s="1"/>
  <c r="BA34" i="3"/>
  <c r="BA33" i="3"/>
  <c r="BB28" i="3"/>
  <c r="BB30" i="3" s="1"/>
  <c r="BB32" i="3"/>
  <c r="M34" i="3"/>
  <c r="M33" i="3"/>
  <c r="BB24" i="3"/>
  <c r="BC27" i="3" s="1"/>
  <c r="K47" i="4"/>
  <c r="L40" i="4"/>
  <c r="L40" i="3"/>
  <c r="L41" i="3" s="1"/>
  <c r="AJ32" i="3"/>
  <c r="P32" i="4"/>
  <c r="O28" i="4"/>
  <c r="P26" i="4" s="1"/>
  <c r="N30" i="4"/>
  <c r="P32" i="3"/>
  <c r="N30" i="3"/>
  <c r="O26" i="3"/>
  <c r="M53" i="3" l="1"/>
  <c r="R51" i="3"/>
  <c r="L41" i="4"/>
  <c r="L43" i="4" s="1"/>
  <c r="O45" i="3"/>
  <c r="J49" i="3"/>
  <c r="K41" i="3"/>
  <c r="K43" i="3" s="1"/>
  <c r="O37" i="4"/>
  <c r="O38" i="4" s="1"/>
  <c r="P36" i="4" s="1"/>
  <c r="P37" i="4" s="1"/>
  <c r="O38" i="3"/>
  <c r="P36" i="3" s="1"/>
  <c r="P37" i="3" s="1"/>
  <c r="N34" i="4"/>
  <c r="N40" i="4" s="1"/>
  <c r="N41" i="4" s="1"/>
  <c r="N33" i="4"/>
  <c r="Q24" i="4"/>
  <c r="R27" i="4" s="1"/>
  <c r="BB33" i="3"/>
  <c r="BB34" i="3"/>
  <c r="BC28" i="3"/>
  <c r="BC30" i="3" s="1"/>
  <c r="BC32" i="3"/>
  <c r="L43" i="3"/>
  <c r="N34" i="3"/>
  <c r="N33" i="3"/>
  <c r="BC24" i="3"/>
  <c r="BD27" i="3" s="1"/>
  <c r="BD32" i="3" s="1"/>
  <c r="M40" i="3"/>
  <c r="M41" i="3" s="1"/>
  <c r="AK32" i="3"/>
  <c r="O30" i="4"/>
  <c r="M43" i="4"/>
  <c r="M47" i="4" s="1"/>
  <c r="P28" i="4"/>
  <c r="Q26" i="4" s="1"/>
  <c r="Q32" i="4"/>
  <c r="O28" i="3"/>
  <c r="P26" i="3" s="1"/>
  <c r="Q32" i="3"/>
  <c r="L47" i="4" l="1"/>
  <c r="C59" i="4"/>
  <c r="S51" i="3"/>
  <c r="N53" i="3"/>
  <c r="P45" i="3"/>
  <c r="K49" i="3"/>
  <c r="P38" i="4"/>
  <c r="Q36" i="4" s="1"/>
  <c r="Q37" i="4" s="1"/>
  <c r="P38" i="3"/>
  <c r="Q36" i="3" s="1"/>
  <c r="Q37" i="3" s="1"/>
  <c r="Q45" i="3"/>
  <c r="O33" i="4"/>
  <c r="O34" i="4"/>
  <c r="O40" i="4" s="1"/>
  <c r="O41" i="4" s="1"/>
  <c r="R24" i="4"/>
  <c r="S27" i="4" s="1"/>
  <c r="BC33" i="3"/>
  <c r="BC34" i="3"/>
  <c r="BD24" i="3"/>
  <c r="BE27" i="3" s="1"/>
  <c r="BE24" i="3" s="1"/>
  <c r="BD28" i="3"/>
  <c r="BD30" i="3" s="1"/>
  <c r="L49" i="3"/>
  <c r="M43" i="3"/>
  <c r="R45" i="3" s="1"/>
  <c r="N40" i="3"/>
  <c r="N41" i="3" s="1"/>
  <c r="AL32" i="3"/>
  <c r="N43" i="4"/>
  <c r="N47" i="4" s="1"/>
  <c r="R32" i="4"/>
  <c r="Q28" i="4"/>
  <c r="R26" i="4" s="1"/>
  <c r="P30" i="4"/>
  <c r="O30" i="3"/>
  <c r="R32" i="3"/>
  <c r="P28" i="3"/>
  <c r="Q26" i="3" s="1"/>
  <c r="BC40" i="3" l="1"/>
  <c r="Q38" i="4"/>
  <c r="R36" i="4" s="1"/>
  <c r="R37" i="4" s="1"/>
  <c r="Q38" i="3"/>
  <c r="R36" i="3" s="1"/>
  <c r="R37" i="3" s="1"/>
  <c r="P33" i="4"/>
  <c r="P34" i="4"/>
  <c r="P40" i="4" s="1"/>
  <c r="P41" i="4" s="1"/>
  <c r="S24" i="4"/>
  <c r="T27" i="4" s="1"/>
  <c r="BD33" i="3"/>
  <c r="BD34" i="3"/>
  <c r="BE28" i="3"/>
  <c r="BE30" i="3" s="1"/>
  <c r="BE32" i="3"/>
  <c r="M49" i="3"/>
  <c r="N43" i="3"/>
  <c r="S45" i="3" s="1"/>
  <c r="O34" i="3"/>
  <c r="O33" i="3"/>
  <c r="O43" i="4"/>
  <c r="O47" i="4" s="1"/>
  <c r="AM32" i="3"/>
  <c r="Q30" i="4"/>
  <c r="S32" i="4"/>
  <c r="R28" i="4"/>
  <c r="S26" i="4" s="1"/>
  <c r="P30" i="3"/>
  <c r="Q28" i="3"/>
  <c r="R26" i="3" s="1"/>
  <c r="S32" i="3"/>
  <c r="T51" i="3" l="1"/>
  <c r="O53" i="3"/>
  <c r="R38" i="4"/>
  <c r="S36" i="4" s="1"/>
  <c r="S37" i="4" s="1"/>
  <c r="S38" i="4" s="1"/>
  <c r="T36" i="4" s="1"/>
  <c r="T37" i="4" s="1"/>
  <c r="R38" i="3"/>
  <c r="S36" i="3" s="1"/>
  <c r="S37" i="3" s="1"/>
  <c r="Q33" i="4"/>
  <c r="Q34" i="4"/>
  <c r="Q40" i="4" s="1"/>
  <c r="Q41" i="4" s="1"/>
  <c r="T24" i="4"/>
  <c r="U27" i="4" s="1"/>
  <c r="I49" i="3"/>
  <c r="BE33" i="3"/>
  <c r="BE34" i="3"/>
  <c r="N49" i="3"/>
  <c r="P34" i="3"/>
  <c r="P33" i="3"/>
  <c r="O40" i="3"/>
  <c r="O41" i="3" s="1"/>
  <c r="AN32" i="3"/>
  <c r="P43" i="4"/>
  <c r="R30" i="4"/>
  <c r="T32" i="4"/>
  <c r="S28" i="4"/>
  <c r="T26" i="4" s="1"/>
  <c r="T32" i="3"/>
  <c r="R28" i="3"/>
  <c r="S26" i="3" s="1"/>
  <c r="Q30" i="3"/>
  <c r="U51" i="3" l="1"/>
  <c r="P53" i="3"/>
  <c r="S38" i="3"/>
  <c r="T36" i="3" s="1"/>
  <c r="T37" i="3" s="1"/>
  <c r="T38" i="3" s="1"/>
  <c r="U36" i="3" s="1"/>
  <c r="U37" i="3" s="1"/>
  <c r="R33" i="4"/>
  <c r="R34" i="4"/>
  <c r="R40" i="4" s="1"/>
  <c r="R41" i="4" s="1"/>
  <c r="U24" i="4"/>
  <c r="V27" i="4" s="1"/>
  <c r="O43" i="3"/>
  <c r="T45" i="3" s="1"/>
  <c r="Q34" i="3"/>
  <c r="Q33" i="3"/>
  <c r="P47" i="4"/>
  <c r="P40" i="3"/>
  <c r="P41" i="3" s="1"/>
  <c r="AO32" i="3"/>
  <c r="Q43" i="4"/>
  <c r="Q47" i="4" s="1"/>
  <c r="T38" i="4"/>
  <c r="U36" i="4" s="1"/>
  <c r="U37" i="4" s="1"/>
  <c r="T28" i="4"/>
  <c r="U26" i="4" s="1"/>
  <c r="S30" i="4"/>
  <c r="U32" i="4"/>
  <c r="R30" i="3"/>
  <c r="S28" i="3"/>
  <c r="T26" i="3" s="1"/>
  <c r="U32" i="3"/>
  <c r="Q53" i="3" l="1"/>
  <c r="V51" i="3"/>
  <c r="S33" i="4"/>
  <c r="S34" i="4"/>
  <c r="S40" i="4" s="1"/>
  <c r="S41" i="4" s="1"/>
  <c r="V24" i="4"/>
  <c r="W27" i="4" s="1"/>
  <c r="O49" i="3"/>
  <c r="P43" i="3"/>
  <c r="U45" i="3" s="1"/>
  <c r="R33" i="3"/>
  <c r="R34" i="3"/>
  <c r="Q40" i="3"/>
  <c r="Q41" i="3" s="1"/>
  <c r="AP32" i="3"/>
  <c r="T30" i="4"/>
  <c r="U38" i="4"/>
  <c r="V36" i="4" s="1"/>
  <c r="V37" i="4" s="1"/>
  <c r="R43" i="4"/>
  <c r="U28" i="4"/>
  <c r="V26" i="4" s="1"/>
  <c r="V32" i="4"/>
  <c r="U38" i="3"/>
  <c r="V36" i="3" s="1"/>
  <c r="V37" i="3" s="1"/>
  <c r="T28" i="3"/>
  <c r="U26" i="3" s="1"/>
  <c r="S30" i="3"/>
  <c r="V32" i="3"/>
  <c r="R53" i="3" l="1"/>
  <c r="W51" i="3"/>
  <c r="T33" i="4"/>
  <c r="T34" i="4"/>
  <c r="T40" i="4" s="1"/>
  <c r="T41" i="4" s="1"/>
  <c r="W24" i="4"/>
  <c r="X27" i="4" s="1"/>
  <c r="P49" i="3"/>
  <c r="Q43" i="3"/>
  <c r="V45" i="3" s="1"/>
  <c r="S34" i="3"/>
  <c r="S33" i="3"/>
  <c r="R47" i="4"/>
  <c r="R40" i="3"/>
  <c r="R41" i="3" s="1"/>
  <c r="AQ32" i="3"/>
  <c r="U30" i="4"/>
  <c r="W32" i="4"/>
  <c r="V28" i="4"/>
  <c r="W26" i="4" s="1"/>
  <c r="S43" i="4"/>
  <c r="S47" i="4" s="1"/>
  <c r="V38" i="4"/>
  <c r="W36" i="4" s="1"/>
  <c r="W37" i="4" s="1"/>
  <c r="V38" i="3"/>
  <c r="W36" i="3" s="1"/>
  <c r="W37" i="3" s="1"/>
  <c r="W32" i="3"/>
  <c r="U28" i="3"/>
  <c r="V26" i="3" s="1"/>
  <c r="T30" i="3"/>
  <c r="X51" i="3" l="1"/>
  <c r="S53" i="3"/>
  <c r="U34" i="4"/>
  <c r="U40" i="4" s="1"/>
  <c r="U41" i="4" s="1"/>
  <c r="U33" i="4"/>
  <c r="X24" i="4"/>
  <c r="Y27" i="4" s="1"/>
  <c r="Q49" i="3"/>
  <c r="R43" i="3"/>
  <c r="W45" i="3" s="1"/>
  <c r="T34" i="3"/>
  <c r="T33" i="3"/>
  <c r="S40" i="3"/>
  <c r="S41" i="3" s="1"/>
  <c r="AR32" i="3"/>
  <c r="T43" i="4"/>
  <c r="T47" i="4" s="1"/>
  <c r="V30" i="4"/>
  <c r="W38" i="4"/>
  <c r="X36" i="4" s="1"/>
  <c r="X37" i="4" s="1"/>
  <c r="W28" i="4"/>
  <c r="X26" i="4" s="1"/>
  <c r="X32" i="4"/>
  <c r="W38" i="3"/>
  <c r="X36" i="3" s="1"/>
  <c r="X37" i="3" s="1"/>
  <c r="U30" i="3"/>
  <c r="V28" i="3"/>
  <c r="W26" i="3" s="1"/>
  <c r="X32" i="3"/>
  <c r="Y51" i="3" l="1"/>
  <c r="T53" i="3"/>
  <c r="V33" i="4"/>
  <c r="V34" i="4"/>
  <c r="V40" i="4" s="1"/>
  <c r="V41" i="4" s="1"/>
  <c r="Y24" i="4"/>
  <c r="Z27" i="4" s="1"/>
  <c r="R49" i="3"/>
  <c r="S43" i="3"/>
  <c r="X45" i="3" s="1"/>
  <c r="U34" i="3"/>
  <c r="U33" i="3"/>
  <c r="T40" i="3"/>
  <c r="T41" i="3" s="1"/>
  <c r="U43" i="4"/>
  <c r="AS32" i="3"/>
  <c r="W30" i="4"/>
  <c r="X28" i="4"/>
  <c r="Y26" i="4" s="1"/>
  <c r="X38" i="4"/>
  <c r="Y36" i="4" s="1"/>
  <c r="Y37" i="4" s="1"/>
  <c r="Y32" i="4"/>
  <c r="X38" i="3"/>
  <c r="Y36" i="3" s="1"/>
  <c r="Y37" i="3" s="1"/>
  <c r="V30" i="3"/>
  <c r="W28" i="3"/>
  <c r="X26" i="3" s="1"/>
  <c r="Y32" i="3"/>
  <c r="U53" i="3" l="1"/>
  <c r="Z51" i="3"/>
  <c r="W33" i="4"/>
  <c r="W34" i="4"/>
  <c r="W40" i="4" s="1"/>
  <c r="W41" i="4" s="1"/>
  <c r="Z24" i="4"/>
  <c r="AA27" i="4" s="1"/>
  <c r="Y38" i="3"/>
  <c r="Z36" i="3" s="1"/>
  <c r="Z37" i="3" s="1"/>
  <c r="S49" i="3"/>
  <c r="T43" i="3"/>
  <c r="Y45" i="3" s="1"/>
  <c r="V34" i="3"/>
  <c r="V33" i="3"/>
  <c r="U47" i="4"/>
  <c r="U40" i="3"/>
  <c r="U41" i="3" s="1"/>
  <c r="AT32" i="3"/>
  <c r="V43" i="4"/>
  <c r="V47" i="4" s="1"/>
  <c r="Y38" i="4"/>
  <c r="Z36" i="4" s="1"/>
  <c r="Z37" i="4" s="1"/>
  <c r="X30" i="4"/>
  <c r="Y28" i="4"/>
  <c r="Z26" i="4" s="1"/>
  <c r="Z32" i="4"/>
  <c r="W30" i="3"/>
  <c r="Z32" i="3"/>
  <c r="X28" i="3"/>
  <c r="Y26" i="3" s="1"/>
  <c r="AA51" i="3" l="1"/>
  <c r="V53" i="3"/>
  <c r="X33" i="4"/>
  <c r="X34" i="4"/>
  <c r="X40" i="4" s="1"/>
  <c r="X41" i="4" s="1"/>
  <c r="AA24" i="4"/>
  <c r="AB27" i="4" s="1"/>
  <c r="Z38" i="3"/>
  <c r="AA36" i="3" s="1"/>
  <c r="AA37" i="3" s="1"/>
  <c r="T49" i="3"/>
  <c r="U43" i="3"/>
  <c r="Z45" i="3" s="1"/>
  <c r="W34" i="3"/>
  <c r="W33" i="3"/>
  <c r="W43" i="4"/>
  <c r="W47" i="4" s="1"/>
  <c r="V40" i="3"/>
  <c r="V41" i="3" s="1"/>
  <c r="AU32" i="3"/>
  <c r="AA32" i="4"/>
  <c r="Z38" i="4"/>
  <c r="AA36" i="4" s="1"/>
  <c r="AA37" i="4" s="1"/>
  <c r="Z28" i="4"/>
  <c r="AA26" i="4" s="1"/>
  <c r="Y30" i="4"/>
  <c r="X30" i="3"/>
  <c r="Y28" i="3"/>
  <c r="Z26" i="3" s="1"/>
  <c r="AA32" i="3"/>
  <c r="W53" i="3" l="1"/>
  <c r="AB51" i="3"/>
  <c r="Y33" i="4"/>
  <c r="Y34" i="4"/>
  <c r="Y40" i="4" s="1"/>
  <c r="Y41" i="4" s="1"/>
  <c r="AB24" i="4"/>
  <c r="AC27" i="4" s="1"/>
  <c r="AA38" i="3"/>
  <c r="AB36" i="3" s="1"/>
  <c r="AB37" i="3" s="1"/>
  <c r="U49" i="3"/>
  <c r="V43" i="3"/>
  <c r="AA45" i="3" s="1"/>
  <c r="X34" i="3"/>
  <c r="X33" i="3"/>
  <c r="W40" i="3"/>
  <c r="W41" i="3" s="1"/>
  <c r="AV32" i="3"/>
  <c r="X43" i="4"/>
  <c r="X47" i="4" s="1"/>
  <c r="Z30" i="4"/>
  <c r="AA38" i="4"/>
  <c r="AB36" i="4" s="1"/>
  <c r="AB37" i="4" s="1"/>
  <c r="AB32" i="4"/>
  <c r="AA28" i="4"/>
  <c r="AB26" i="4" s="1"/>
  <c r="Y30" i="3"/>
  <c r="Z28" i="3"/>
  <c r="AA26" i="3" s="1"/>
  <c r="AB32" i="3"/>
  <c r="X53" i="3" l="1"/>
  <c r="AC51" i="3"/>
  <c r="Z33" i="4"/>
  <c r="Z34" i="4"/>
  <c r="Z40" i="4" s="1"/>
  <c r="Z41" i="4" s="1"/>
  <c r="AC24" i="4"/>
  <c r="AD27" i="4" s="1"/>
  <c r="AB38" i="3"/>
  <c r="AC36" i="3" s="1"/>
  <c r="V49" i="3"/>
  <c r="W43" i="3"/>
  <c r="AB45" i="3" s="1"/>
  <c r="Y34" i="3"/>
  <c r="Y33" i="3"/>
  <c r="X40" i="3"/>
  <c r="X41" i="3" s="1"/>
  <c r="AW32" i="3"/>
  <c r="Y43" i="4"/>
  <c r="Y47" i="4" s="1"/>
  <c r="AB38" i="4"/>
  <c r="AC36" i="4" s="1"/>
  <c r="AC32" i="4"/>
  <c r="AB28" i="4"/>
  <c r="AC26" i="4" s="1"/>
  <c r="AA30" i="4"/>
  <c r="AC32" i="3"/>
  <c r="AA28" i="3"/>
  <c r="AB26" i="3" s="1"/>
  <c r="Z30" i="3"/>
  <c r="Y53" i="3" l="1"/>
  <c r="AD51" i="3"/>
  <c r="AC38" i="4"/>
  <c r="AD36" i="4" s="1"/>
  <c r="AD37" i="4" s="1"/>
  <c r="AC37" i="4"/>
  <c r="AC38" i="3"/>
  <c r="AD36" i="3" s="1"/>
  <c r="AD37" i="3" s="1"/>
  <c r="AC37" i="3"/>
  <c r="AA33" i="4"/>
  <c r="AA34" i="4"/>
  <c r="AA40" i="4" s="1"/>
  <c r="AA41" i="4" s="1"/>
  <c r="AD24" i="4"/>
  <c r="AE27" i="4" s="1"/>
  <c r="W49" i="3"/>
  <c r="X43" i="3"/>
  <c r="AC45" i="3" s="1"/>
  <c r="Z34" i="3"/>
  <c r="Z33" i="3"/>
  <c r="Z43" i="4"/>
  <c r="Z47" i="4" s="1"/>
  <c r="Y40" i="3"/>
  <c r="Y41" i="3" s="1"/>
  <c r="AX32" i="3"/>
  <c r="AD32" i="4"/>
  <c r="AC28" i="4"/>
  <c r="AD26" i="4" s="1"/>
  <c r="AB30" i="4"/>
  <c r="AB28" i="3"/>
  <c r="AC26" i="3" s="1"/>
  <c r="AC28" i="3" s="1"/>
  <c r="AA30" i="3"/>
  <c r="AD32" i="3"/>
  <c r="Z53" i="3" l="1"/>
  <c r="AE51" i="3"/>
  <c r="AD38" i="3"/>
  <c r="AE36" i="3" s="1"/>
  <c r="AE37" i="3" s="1"/>
  <c r="AB33" i="4"/>
  <c r="AB34" i="4"/>
  <c r="AB40" i="4" s="1"/>
  <c r="AB41" i="4" s="1"/>
  <c r="AE24" i="4"/>
  <c r="AF27" i="4" s="1"/>
  <c r="X49" i="3"/>
  <c r="Y43" i="3"/>
  <c r="AD45" i="3" s="1"/>
  <c r="AA34" i="3"/>
  <c r="AA33" i="3"/>
  <c r="Z40" i="3"/>
  <c r="Z41" i="3" s="1"/>
  <c r="AZ32" i="3"/>
  <c r="AY32" i="3"/>
  <c r="AA43" i="4"/>
  <c r="AA47" i="4" s="1"/>
  <c r="AD38" i="4"/>
  <c r="AE36" i="4" s="1"/>
  <c r="AE37" i="4" s="1"/>
  <c r="AE32" i="4"/>
  <c r="AC30" i="4"/>
  <c r="AD28" i="4"/>
  <c r="AE26" i="4" s="1"/>
  <c r="AB30" i="3"/>
  <c r="AE32" i="3"/>
  <c r="AC30" i="3"/>
  <c r="AD26" i="3"/>
  <c r="AA53" i="3" l="1"/>
  <c r="AF51" i="3"/>
  <c r="AE38" i="3"/>
  <c r="AF36" i="3" s="1"/>
  <c r="AF37" i="3" s="1"/>
  <c r="AC33" i="4"/>
  <c r="AC34" i="4"/>
  <c r="AC40" i="4" s="1"/>
  <c r="AC41" i="4" s="1"/>
  <c r="AF24" i="4"/>
  <c r="AG27" i="4" s="1"/>
  <c r="AG32" i="4" s="1"/>
  <c r="Y49" i="3"/>
  <c r="Z43" i="3"/>
  <c r="AE45" i="3" s="1"/>
  <c r="AC34" i="3"/>
  <c r="AC33" i="3"/>
  <c r="AB33" i="3"/>
  <c r="AB34" i="3"/>
  <c r="AA40" i="3"/>
  <c r="AA41" i="3" s="1"/>
  <c r="AD30" i="4"/>
  <c r="AE38" i="4"/>
  <c r="AF36" i="4" s="1"/>
  <c r="AF37" i="4" s="1"/>
  <c r="AF32" i="4"/>
  <c r="AB43" i="4"/>
  <c r="AB47" i="4" s="1"/>
  <c r="AE28" i="4"/>
  <c r="AF26" i="4" s="1"/>
  <c r="AD28" i="3"/>
  <c r="AE26" i="3" s="1"/>
  <c r="AF32" i="3"/>
  <c r="AG32" i="3"/>
  <c r="AB53" i="3" l="1"/>
  <c r="AG51" i="3"/>
  <c r="AC53" i="3"/>
  <c r="AH51" i="3"/>
  <c r="AC40" i="3"/>
  <c r="AC41" i="3" s="1"/>
  <c r="AF38" i="3"/>
  <c r="AG36" i="3" s="1"/>
  <c r="AG37" i="3" s="1"/>
  <c r="AD33" i="4"/>
  <c r="AD34" i="4"/>
  <c r="AD40" i="4" s="1"/>
  <c r="AD41" i="4" s="1"/>
  <c r="AG24" i="4"/>
  <c r="AH27" i="4" s="1"/>
  <c r="Z49" i="3"/>
  <c r="AA43" i="3"/>
  <c r="AF45" i="3" s="1"/>
  <c r="AB40" i="3"/>
  <c r="AB41" i="3" s="1"/>
  <c r="AE30" i="4"/>
  <c r="AF28" i="4"/>
  <c r="AG26" i="4" s="1"/>
  <c r="AC43" i="4"/>
  <c r="AC47" i="4" s="1"/>
  <c r="AF38" i="4"/>
  <c r="AG36" i="4" s="1"/>
  <c r="AG37" i="4" s="1"/>
  <c r="AD30" i="3"/>
  <c r="AE28" i="3"/>
  <c r="AF26" i="3" s="1"/>
  <c r="AG38" i="3" l="1"/>
  <c r="AH36" i="3" s="1"/>
  <c r="AH37" i="3" s="1"/>
  <c r="AE33" i="4"/>
  <c r="AE34" i="4"/>
  <c r="AE40" i="4" s="1"/>
  <c r="AE41" i="4" s="1"/>
  <c r="AH24" i="4"/>
  <c r="AI27" i="4" s="1"/>
  <c r="AH32" i="4"/>
  <c r="AA49" i="3"/>
  <c r="AB43" i="3"/>
  <c r="AG45" i="3" s="1"/>
  <c r="AC43" i="3"/>
  <c r="AH45" i="3" s="1"/>
  <c r="AD34" i="3"/>
  <c r="AD33" i="3"/>
  <c r="AD43" i="4"/>
  <c r="AD47" i="4" s="1"/>
  <c r="AF30" i="4"/>
  <c r="AG38" i="4"/>
  <c r="AH36" i="4" s="1"/>
  <c r="AH37" i="4" s="1"/>
  <c r="AG28" i="4"/>
  <c r="AE30" i="3"/>
  <c r="AF28" i="3"/>
  <c r="AG26" i="3" s="1"/>
  <c r="AI51" i="3" l="1"/>
  <c r="AD53" i="3"/>
  <c r="AH38" i="3"/>
  <c r="AI36" i="3" s="1"/>
  <c r="AF33" i="4"/>
  <c r="AF34" i="4"/>
  <c r="AF40" i="4" s="1"/>
  <c r="AF41" i="4" s="1"/>
  <c r="AI24" i="4"/>
  <c r="AJ27" i="4" s="1"/>
  <c r="AI32" i="4"/>
  <c r="AC49" i="3"/>
  <c r="AB49" i="3"/>
  <c r="AE34" i="3"/>
  <c r="AE33" i="3"/>
  <c r="AD40" i="3"/>
  <c r="AD41" i="3" s="1"/>
  <c r="AE43" i="4"/>
  <c r="AE47" i="4" s="1"/>
  <c r="AG30" i="4"/>
  <c r="AH26" i="4"/>
  <c r="AH38" i="4"/>
  <c r="AI36" i="4" s="1"/>
  <c r="AI37" i="4" s="1"/>
  <c r="AG28" i="3"/>
  <c r="AF30" i="3"/>
  <c r="AJ51" i="3" l="1"/>
  <c r="AE53" i="3"/>
  <c r="AI37" i="3"/>
  <c r="AI38" i="3" s="1"/>
  <c r="AJ36" i="3" s="1"/>
  <c r="AG33" i="4"/>
  <c r="AG34" i="4"/>
  <c r="AG40" i="4" s="1"/>
  <c r="AG41" i="4" s="1"/>
  <c r="AJ24" i="4"/>
  <c r="AK27" i="4" s="1"/>
  <c r="AJ32" i="4"/>
  <c r="AI38" i="4"/>
  <c r="AJ36" i="4" s="1"/>
  <c r="AJ37" i="4" s="1"/>
  <c r="AD43" i="3"/>
  <c r="AI45" i="3" s="1"/>
  <c r="AF34" i="3"/>
  <c r="AF33" i="3"/>
  <c r="AE40" i="3"/>
  <c r="AE41" i="3" s="1"/>
  <c r="AF43" i="4"/>
  <c r="AF47" i="4" s="1"/>
  <c r="AG30" i="3"/>
  <c r="AH26" i="3"/>
  <c r="AH28" i="4"/>
  <c r="AK51" i="3" l="1"/>
  <c r="AF53" i="3"/>
  <c r="AJ37" i="3"/>
  <c r="AJ38" i="3" s="1"/>
  <c r="AK36" i="3" s="1"/>
  <c r="AK37" i="3" s="1"/>
  <c r="AK24" i="4"/>
  <c r="AL27" i="4" s="1"/>
  <c r="AK32" i="4"/>
  <c r="AJ38" i="4"/>
  <c r="AK36" i="4" s="1"/>
  <c r="AK37" i="4" s="1"/>
  <c r="AD49" i="3"/>
  <c r="AE43" i="3"/>
  <c r="AJ45" i="3" s="1"/>
  <c r="AG34" i="3"/>
  <c r="AG33" i="3"/>
  <c r="AF40" i="3"/>
  <c r="AF41" i="3" s="1"/>
  <c r="AH30" i="4"/>
  <c r="AI26" i="4"/>
  <c r="AI28" i="4" s="1"/>
  <c r="AH28" i="3"/>
  <c r="AG43" i="4"/>
  <c r="AG47" i="4" s="1"/>
  <c r="AG53" i="3" l="1"/>
  <c r="AL51" i="3"/>
  <c r="AK38" i="3"/>
  <c r="AL36" i="3" s="1"/>
  <c r="AL37" i="3" s="1"/>
  <c r="AH33" i="4"/>
  <c r="AH34" i="4"/>
  <c r="AH40" i="4" s="1"/>
  <c r="AH41" i="4" s="1"/>
  <c r="AL24" i="4"/>
  <c r="AM27" i="4" s="1"/>
  <c r="AL32" i="4"/>
  <c r="AK38" i="4"/>
  <c r="AL36" i="4" s="1"/>
  <c r="AL37" i="4" s="1"/>
  <c r="AE49" i="3"/>
  <c r="AF43" i="3"/>
  <c r="AK45" i="3" s="1"/>
  <c r="AG40" i="3"/>
  <c r="AG41" i="3" s="1"/>
  <c r="AI30" i="4"/>
  <c r="AJ26" i="4"/>
  <c r="AH30" i="3"/>
  <c r="AI26" i="3"/>
  <c r="AL38" i="3" l="1"/>
  <c r="AM36" i="3" s="1"/>
  <c r="AM37" i="3" s="1"/>
  <c r="AI33" i="4"/>
  <c r="AI34" i="4"/>
  <c r="AI40" i="4" s="1"/>
  <c r="AI41" i="4" s="1"/>
  <c r="AM24" i="4"/>
  <c r="AN27" i="4" s="1"/>
  <c r="AM32" i="4"/>
  <c r="AL38" i="4"/>
  <c r="AM36" i="4" s="1"/>
  <c r="AM37" i="4" s="1"/>
  <c r="AF49" i="3"/>
  <c r="AG43" i="3"/>
  <c r="AL45" i="3" s="1"/>
  <c r="AH33" i="3"/>
  <c r="AH34" i="3"/>
  <c r="AH43" i="4"/>
  <c r="AH47" i="4" s="1"/>
  <c r="AJ28" i="4"/>
  <c r="AK26" i="4" s="1"/>
  <c r="AI28" i="3"/>
  <c r="AJ26" i="3" s="1"/>
  <c r="AH53" i="3" l="1"/>
  <c r="AM51" i="3"/>
  <c r="AM38" i="3"/>
  <c r="AN36" i="3" s="1"/>
  <c r="AN37" i="3" s="1"/>
  <c r="AN24" i="4"/>
  <c r="AO27" i="4" s="1"/>
  <c r="AN32" i="4"/>
  <c r="AM38" i="4"/>
  <c r="AN36" i="4" s="1"/>
  <c r="AN37" i="4" s="1"/>
  <c r="AN38" i="3"/>
  <c r="AO36" i="3" s="1"/>
  <c r="AO37" i="3" s="1"/>
  <c r="AG49" i="3"/>
  <c r="AH40" i="3"/>
  <c r="AH41" i="3" s="1"/>
  <c r="AJ30" i="4"/>
  <c r="AI43" i="4"/>
  <c r="AI47" i="4" s="1"/>
  <c r="AK28" i="4"/>
  <c r="AL26" i="4" s="1"/>
  <c r="AI30" i="3"/>
  <c r="AJ28" i="3"/>
  <c r="AK26" i="3" s="1"/>
  <c r="AJ33" i="4" l="1"/>
  <c r="AJ34" i="4"/>
  <c r="AJ40" i="4" s="1"/>
  <c r="AJ41" i="4" s="1"/>
  <c r="AO24" i="4"/>
  <c r="AP27" i="4" s="1"/>
  <c r="AO32" i="4"/>
  <c r="AN38" i="4"/>
  <c r="AO36" i="4" s="1"/>
  <c r="AO37" i="4" s="1"/>
  <c r="AO38" i="3"/>
  <c r="AP36" i="3" s="1"/>
  <c r="AP37" i="3" s="1"/>
  <c r="AH43" i="3"/>
  <c r="AM45" i="3" s="1"/>
  <c r="AI33" i="3"/>
  <c r="AI34" i="3"/>
  <c r="AK30" i="4"/>
  <c r="AL28" i="4"/>
  <c r="AM26" i="4" s="1"/>
  <c r="AJ30" i="3"/>
  <c r="AK28" i="3"/>
  <c r="AL26" i="3" s="1"/>
  <c r="AI53" i="3" l="1"/>
  <c r="AN51" i="3"/>
  <c r="AK34" i="4"/>
  <c r="AK40" i="4" s="1"/>
  <c r="AK41" i="4" s="1"/>
  <c r="AK33" i="4"/>
  <c r="AP24" i="4"/>
  <c r="AQ27" i="4" s="1"/>
  <c r="AP32" i="4"/>
  <c r="AO38" i="4"/>
  <c r="AP36" i="4" s="1"/>
  <c r="AP37" i="4" s="1"/>
  <c r="AP38" i="3"/>
  <c r="AQ36" i="3" s="1"/>
  <c r="AQ37" i="3" s="1"/>
  <c r="AH49" i="3"/>
  <c r="AJ34" i="3"/>
  <c r="AJ33" i="3"/>
  <c r="AI40" i="3"/>
  <c r="AI41" i="3" s="1"/>
  <c r="AJ43" i="4"/>
  <c r="AJ47" i="4" s="1"/>
  <c r="AL30" i="4"/>
  <c r="AM28" i="4"/>
  <c r="AN26" i="4" s="1"/>
  <c r="AK30" i="3"/>
  <c r="AL28" i="3"/>
  <c r="AM26" i="3" s="1"/>
  <c r="AO51" i="3" l="1"/>
  <c r="AJ53" i="3"/>
  <c r="AL33" i="4"/>
  <c r="AL34" i="4"/>
  <c r="AQ24" i="4"/>
  <c r="AR27" i="4" s="1"/>
  <c r="AQ32" i="4"/>
  <c r="AP38" i="4"/>
  <c r="AQ36" i="4" s="1"/>
  <c r="AQ37" i="4" s="1"/>
  <c r="AQ38" i="3"/>
  <c r="AR36" i="3" s="1"/>
  <c r="AR37" i="3" s="1"/>
  <c r="AI43" i="3"/>
  <c r="AN45" i="3" s="1"/>
  <c r="AK33" i="3"/>
  <c r="AK34" i="3"/>
  <c r="AJ40" i="3"/>
  <c r="AJ41" i="3" s="1"/>
  <c r="AL40" i="4"/>
  <c r="AL41" i="4" s="1"/>
  <c r="AK43" i="4"/>
  <c r="AK47" i="4" s="1"/>
  <c r="AM30" i="4"/>
  <c r="AN28" i="4"/>
  <c r="AO26" i="4" s="1"/>
  <c r="AL30" i="3"/>
  <c r="AM28" i="3"/>
  <c r="AN26" i="3" s="1"/>
  <c r="AK53" i="3" l="1"/>
  <c r="AP51" i="3"/>
  <c r="AM33" i="4"/>
  <c r="AM34" i="4"/>
  <c r="AM40" i="4" s="1"/>
  <c r="AM41" i="4" s="1"/>
  <c r="AR24" i="4"/>
  <c r="AS27" i="4" s="1"/>
  <c r="AR32" i="4"/>
  <c r="AQ38" i="4"/>
  <c r="AR36" i="4" s="1"/>
  <c r="AR37" i="4" s="1"/>
  <c r="AR38" i="3"/>
  <c r="AS36" i="3" s="1"/>
  <c r="AS37" i="3" s="1"/>
  <c r="AI49" i="3"/>
  <c r="AJ43" i="3"/>
  <c r="AO45" i="3" s="1"/>
  <c r="AL34" i="3"/>
  <c r="AL33" i="3"/>
  <c r="AK40" i="3"/>
  <c r="AK41" i="3" s="1"/>
  <c r="AL43" i="4"/>
  <c r="AL47" i="4" s="1"/>
  <c r="AM30" i="3"/>
  <c r="AN30" i="4"/>
  <c r="AO28" i="4"/>
  <c r="AP26" i="4" s="1"/>
  <c r="AN28" i="3"/>
  <c r="AO26" i="3" s="1"/>
  <c r="AQ51" i="3" l="1"/>
  <c r="AL53" i="3"/>
  <c r="AN33" i="4"/>
  <c r="AN34" i="4"/>
  <c r="AN40" i="4" s="1"/>
  <c r="AN41" i="4" s="1"/>
  <c r="AS24" i="4"/>
  <c r="AT27" i="4" s="1"/>
  <c r="AS32" i="4"/>
  <c r="AR38" i="4"/>
  <c r="AS36" i="4" s="1"/>
  <c r="AS37" i="4" s="1"/>
  <c r="AS38" i="3"/>
  <c r="AT36" i="3" s="1"/>
  <c r="AT37" i="3" s="1"/>
  <c r="AJ49" i="3"/>
  <c r="AK43" i="3"/>
  <c r="AP45" i="3" s="1"/>
  <c r="AM34" i="3"/>
  <c r="AM33" i="3"/>
  <c r="AL40" i="3"/>
  <c r="AN30" i="3"/>
  <c r="AP28" i="4"/>
  <c r="AQ26" i="4" s="1"/>
  <c r="AO30" i="4"/>
  <c r="AM43" i="4"/>
  <c r="AM47" i="4" s="1"/>
  <c r="AO28" i="3"/>
  <c r="AP26" i="3" s="1"/>
  <c r="AM53" i="3" l="1"/>
  <c r="AR51" i="3"/>
  <c r="AL41" i="3"/>
  <c r="AL43" i="3" s="1"/>
  <c r="AO33" i="4"/>
  <c r="AO34" i="4"/>
  <c r="AO40" i="4" s="1"/>
  <c r="AO41" i="4" s="1"/>
  <c r="AT24" i="4"/>
  <c r="AU27" i="4" s="1"/>
  <c r="AT32" i="4"/>
  <c r="AS38" i="4"/>
  <c r="AT36" i="4" s="1"/>
  <c r="AT37" i="4" s="1"/>
  <c r="AM40" i="3"/>
  <c r="AT38" i="3"/>
  <c r="AU36" i="3" s="1"/>
  <c r="AU37" i="3" s="1"/>
  <c r="AK49" i="3"/>
  <c r="AN34" i="3"/>
  <c r="AN33" i="3"/>
  <c r="AN43" i="4"/>
  <c r="AN47" i="4" s="1"/>
  <c r="AP30" i="4"/>
  <c r="AO30" i="3"/>
  <c r="AQ28" i="4"/>
  <c r="AR26" i="4" s="1"/>
  <c r="AP28" i="3"/>
  <c r="AQ26" i="3" s="1"/>
  <c r="AN53" i="3" l="1"/>
  <c r="AS51" i="3"/>
  <c r="AQ45" i="3"/>
  <c r="AL49" i="3"/>
  <c r="AM41" i="3"/>
  <c r="AM43" i="3" s="1"/>
  <c r="AP33" i="4"/>
  <c r="AP34" i="4"/>
  <c r="AP40" i="4" s="1"/>
  <c r="AP41" i="4" s="1"/>
  <c r="AU24" i="4"/>
  <c r="AV27" i="4" s="1"/>
  <c r="AU32" i="4"/>
  <c r="AT38" i="4"/>
  <c r="AU36" i="4" s="1"/>
  <c r="AU37" i="4" s="1"/>
  <c r="AU38" i="3"/>
  <c r="AV36" i="3" s="1"/>
  <c r="AV37" i="3" s="1"/>
  <c r="AO34" i="3"/>
  <c r="AO33" i="3"/>
  <c r="AN40" i="3"/>
  <c r="AN41" i="3" s="1"/>
  <c r="AQ30" i="4"/>
  <c r="AP30" i="3"/>
  <c r="AR28" i="4"/>
  <c r="AS26" i="4" s="1"/>
  <c r="AO43" i="4"/>
  <c r="AO47" i="4" s="1"/>
  <c r="AQ28" i="3"/>
  <c r="AR26" i="3" s="1"/>
  <c r="AO53" i="3" l="1"/>
  <c r="AT51" i="3"/>
  <c r="AR45" i="3"/>
  <c r="AM49" i="3"/>
  <c r="AP43" i="4"/>
  <c r="AP47" i="4" s="1"/>
  <c r="AQ33" i="4"/>
  <c r="AQ34" i="4"/>
  <c r="AQ40" i="4" s="1"/>
  <c r="AQ41" i="4" s="1"/>
  <c r="AV24" i="4"/>
  <c r="AW27" i="4" s="1"/>
  <c r="AV32" i="4"/>
  <c r="AU38" i="4"/>
  <c r="AV36" i="4" s="1"/>
  <c r="AV37" i="4" s="1"/>
  <c r="AV38" i="3"/>
  <c r="AW36" i="3" s="1"/>
  <c r="AW37" i="3" s="1"/>
  <c r="AN43" i="3"/>
  <c r="AS45" i="3" s="1"/>
  <c r="AP34" i="3"/>
  <c r="AP33" i="3"/>
  <c r="AO40" i="3"/>
  <c r="AO41" i="3" s="1"/>
  <c r="AR30" i="4"/>
  <c r="AS28" i="4"/>
  <c r="AT26" i="4" s="1"/>
  <c r="AR28" i="3"/>
  <c r="AS26" i="3" s="1"/>
  <c r="AQ30" i="3"/>
  <c r="AP53" i="3" l="1"/>
  <c r="AU51" i="3"/>
  <c r="AR33" i="4"/>
  <c r="AR34" i="4"/>
  <c r="AR40" i="4" s="1"/>
  <c r="AR41" i="4" s="1"/>
  <c r="AW24" i="4"/>
  <c r="AX27" i="4" s="1"/>
  <c r="AW32" i="4"/>
  <c r="AV38" i="4"/>
  <c r="AW36" i="4" s="1"/>
  <c r="AW37" i="4" s="1"/>
  <c r="AW38" i="3"/>
  <c r="AX36" i="3" s="1"/>
  <c r="AX37" i="3" s="1"/>
  <c r="AN49" i="3"/>
  <c r="AO43" i="3"/>
  <c r="AT45" i="3" s="1"/>
  <c r="AQ34" i="3"/>
  <c r="AQ33" i="3"/>
  <c r="AQ43" i="4"/>
  <c r="AQ47" i="4" s="1"/>
  <c r="AP40" i="3"/>
  <c r="AP41" i="3" s="1"/>
  <c r="AS30" i="4"/>
  <c r="AT28" i="4"/>
  <c r="AU26" i="4" s="1"/>
  <c r="AR30" i="3"/>
  <c r="AS28" i="3"/>
  <c r="AT26" i="3" s="1"/>
  <c r="AQ53" i="3" l="1"/>
  <c r="AV51" i="3"/>
  <c r="AS33" i="4"/>
  <c r="AS34" i="4"/>
  <c r="AS40" i="4" s="1"/>
  <c r="AS41" i="4" s="1"/>
  <c r="AX24" i="4"/>
  <c r="AY27" i="4" s="1"/>
  <c r="AX32" i="4"/>
  <c r="AW38" i="4"/>
  <c r="AX36" i="4" s="1"/>
  <c r="AX37" i="4" s="1"/>
  <c r="AX38" i="3"/>
  <c r="AY36" i="3" s="1"/>
  <c r="AY37" i="3" s="1"/>
  <c r="AO49" i="3"/>
  <c r="AP43" i="3"/>
  <c r="AU45" i="3" s="1"/>
  <c r="AR34" i="3"/>
  <c r="AR33" i="3"/>
  <c r="AQ40" i="3"/>
  <c r="AQ41" i="3" s="1"/>
  <c r="AS30" i="3"/>
  <c r="AR43" i="4"/>
  <c r="AR47" i="4" s="1"/>
  <c r="AT30" i="4"/>
  <c r="AU28" i="4"/>
  <c r="AV26" i="4" s="1"/>
  <c r="AT28" i="3"/>
  <c r="AU26" i="3" s="1"/>
  <c r="AR53" i="3" l="1"/>
  <c r="AW51" i="3"/>
  <c r="AT33" i="4"/>
  <c r="AT34" i="4"/>
  <c r="AT40" i="4" s="1"/>
  <c r="AT41" i="4" s="1"/>
  <c r="AY24" i="4"/>
  <c r="AZ27" i="4" s="1"/>
  <c r="AY32" i="4"/>
  <c r="AX38" i="4"/>
  <c r="AY36" i="4" s="1"/>
  <c r="AY37" i="4" s="1"/>
  <c r="AY38" i="3"/>
  <c r="AZ36" i="3" s="1"/>
  <c r="AZ37" i="3" s="1"/>
  <c r="AP49" i="3"/>
  <c r="AQ43" i="3"/>
  <c r="AV45" i="3" s="1"/>
  <c r="AS33" i="3"/>
  <c r="AS34" i="3"/>
  <c r="AR40" i="3"/>
  <c r="AR41" i="3" s="1"/>
  <c r="AS43" i="4"/>
  <c r="AS47" i="4" s="1"/>
  <c r="AU30" i="4"/>
  <c r="AT30" i="3"/>
  <c r="AV28" i="4"/>
  <c r="AW26" i="4" s="1"/>
  <c r="AU28" i="3"/>
  <c r="AV26" i="3" s="1"/>
  <c r="AS53" i="3" l="1"/>
  <c r="AX51" i="3"/>
  <c r="AU33" i="4"/>
  <c r="AU34" i="4"/>
  <c r="AU40" i="4" s="1"/>
  <c r="AU41" i="4" s="1"/>
  <c r="AZ32" i="4"/>
  <c r="AZ24" i="4"/>
  <c r="AY38" i="4"/>
  <c r="AZ36" i="4" s="1"/>
  <c r="AZ37" i="4" s="1"/>
  <c r="AZ38" i="3"/>
  <c r="BA36" i="3" s="1"/>
  <c r="BA37" i="3" s="1"/>
  <c r="AQ49" i="3"/>
  <c r="AR43" i="3"/>
  <c r="AW45" i="3" s="1"/>
  <c r="AT34" i="3"/>
  <c r="AT33" i="3"/>
  <c r="AS40" i="3"/>
  <c r="AS41" i="3" s="1"/>
  <c r="AT43" i="4"/>
  <c r="AT47" i="4" s="1"/>
  <c r="AU30" i="3"/>
  <c r="AV30" i="4"/>
  <c r="AW28" i="4"/>
  <c r="AX26" i="4" s="1"/>
  <c r="AV28" i="3"/>
  <c r="AW26" i="3" s="1"/>
  <c r="AY51" i="3" l="1"/>
  <c r="AT53" i="3"/>
  <c r="AV33" i="4"/>
  <c r="AV34" i="4"/>
  <c r="AV40" i="4" s="1"/>
  <c r="AV41" i="4" s="1"/>
  <c r="AZ38" i="4"/>
  <c r="BA40" i="3"/>
  <c r="BA41" i="3" s="1"/>
  <c r="BA43" i="3" s="1"/>
  <c r="AR49" i="3"/>
  <c r="AS43" i="3"/>
  <c r="AX45" i="3" s="1"/>
  <c r="AU34" i="3"/>
  <c r="AU33" i="3"/>
  <c r="AT40" i="3"/>
  <c r="AT41" i="3" s="1"/>
  <c r="AU43" i="4"/>
  <c r="AU47" i="4" s="1"/>
  <c r="AW30" i="4"/>
  <c r="AX28" i="4"/>
  <c r="AY26" i="4" s="1"/>
  <c r="AV30" i="3"/>
  <c r="AW28" i="3"/>
  <c r="AX26" i="3" s="1"/>
  <c r="AU53" i="3" l="1"/>
  <c r="AZ51" i="3"/>
  <c r="AW33" i="4"/>
  <c r="AW34" i="4"/>
  <c r="AW40" i="4" s="1"/>
  <c r="AW41" i="4" s="1"/>
  <c r="BA38" i="3"/>
  <c r="BB36" i="3" s="1"/>
  <c r="BB37" i="3" s="1"/>
  <c r="AS49" i="3"/>
  <c r="AT43" i="3"/>
  <c r="AY45" i="3" s="1"/>
  <c r="AV34" i="3"/>
  <c r="AV33" i="3"/>
  <c r="AV43" i="4"/>
  <c r="AV47" i="4" s="1"/>
  <c r="AU40" i="3"/>
  <c r="AU41" i="3" s="1"/>
  <c r="AW30" i="3"/>
  <c r="AX30" i="4"/>
  <c r="AY28" i="4"/>
  <c r="AZ26" i="4" s="1"/>
  <c r="AZ28" i="4" s="1"/>
  <c r="AX28" i="3"/>
  <c r="AY26" i="3" s="1"/>
  <c r="AZ30" i="4" l="1"/>
  <c r="AZ33" i="4" s="1"/>
  <c r="BA51" i="3"/>
  <c r="BA53" i="3" s="1"/>
  <c r="AV53" i="3"/>
  <c r="AX33" i="4"/>
  <c r="AX34" i="4"/>
  <c r="AX40" i="4" s="1"/>
  <c r="AX41" i="4" s="1"/>
  <c r="BB40" i="3"/>
  <c r="BB41" i="3" s="1"/>
  <c r="BB43" i="3" s="1"/>
  <c r="AT49" i="3"/>
  <c r="AU43" i="3"/>
  <c r="AZ45" i="3" s="1"/>
  <c r="AW34" i="3"/>
  <c r="AW33" i="3"/>
  <c r="AV40" i="3"/>
  <c r="AV41" i="3" s="1"/>
  <c r="AW43" i="4"/>
  <c r="AW47" i="4" s="1"/>
  <c r="AY30" i="4"/>
  <c r="AX30" i="3"/>
  <c r="AY28" i="3"/>
  <c r="AZ26" i="3" s="1"/>
  <c r="AZ34" i="4" l="1"/>
  <c r="AZ40" i="4" s="1"/>
  <c r="AW53" i="3"/>
  <c r="BB51" i="3"/>
  <c r="BB53" i="3" s="1"/>
  <c r="AY33" i="4"/>
  <c r="AY34" i="4"/>
  <c r="AY40" i="4" s="1"/>
  <c r="AY41" i="4" s="1"/>
  <c r="AZ28" i="3"/>
  <c r="AZ30" i="3" s="1"/>
  <c r="BB38" i="3"/>
  <c r="BC36" i="3" s="1"/>
  <c r="AU49" i="3"/>
  <c r="AV43" i="3"/>
  <c r="BA45" i="3" s="1"/>
  <c r="BA49" i="3" s="1"/>
  <c r="AW40" i="3"/>
  <c r="AX33" i="3"/>
  <c r="AX34" i="3"/>
  <c r="AX43" i="4"/>
  <c r="AX47" i="4" s="1"/>
  <c r="AY30" i="3"/>
  <c r="C53" i="4" l="1"/>
  <c r="D54" i="2" s="1"/>
  <c r="AX53" i="3"/>
  <c r="BC51" i="3"/>
  <c r="BC53" i="3" s="1"/>
  <c r="AZ41" i="4"/>
  <c r="AZ43" i="4" s="1"/>
  <c r="AW41" i="3"/>
  <c r="AW43" i="3" s="1"/>
  <c r="BC37" i="3"/>
  <c r="BC38" i="3"/>
  <c r="AZ33" i="3"/>
  <c r="AZ34" i="3"/>
  <c r="BC41" i="3"/>
  <c r="BC43" i="3" s="1"/>
  <c r="AV49" i="3"/>
  <c r="AY34" i="3"/>
  <c r="AY33" i="3"/>
  <c r="AY43" i="4"/>
  <c r="AY47" i="4" s="1"/>
  <c r="AX40" i="3"/>
  <c r="AX41" i="3" s="1"/>
  <c r="C60" i="4" l="1"/>
  <c r="D48" i="2" s="1"/>
  <c r="D50" i="2" s="1"/>
  <c r="D72" i="2" s="1"/>
  <c r="C55" i="4"/>
  <c r="D31" i="6"/>
  <c r="BE51" i="3"/>
  <c r="AZ53" i="3"/>
  <c r="C60" i="3"/>
  <c r="C31" i="6" s="1"/>
  <c r="AY53" i="3"/>
  <c r="BD51" i="3"/>
  <c r="BD53" i="3" s="1"/>
  <c r="AZ47" i="4"/>
  <c r="C49" i="4"/>
  <c r="BB45" i="3"/>
  <c r="BB49" i="3" s="1"/>
  <c r="AW49" i="3"/>
  <c r="AZ40" i="3"/>
  <c r="BD36" i="3"/>
  <c r="AX43" i="3"/>
  <c r="BC45" i="3" s="1"/>
  <c r="AY40" i="3"/>
  <c r="AY41" i="3" s="1"/>
  <c r="C61" i="3" l="1"/>
  <c r="C34" i="6" s="1"/>
  <c r="C36" i="6" s="1"/>
  <c r="C39" i="6" s="1"/>
  <c r="BE53" i="3"/>
  <c r="AZ41" i="3"/>
  <c r="AZ43" i="3" s="1"/>
  <c r="BD37" i="3"/>
  <c r="BD40" i="3" s="1"/>
  <c r="BD41" i="3" s="1"/>
  <c r="BD43" i="3" s="1"/>
  <c r="C51" i="4"/>
  <c r="D52" i="2" s="1"/>
  <c r="D53" i="2" s="1"/>
  <c r="D15" i="6"/>
  <c r="D20" i="6" s="1"/>
  <c r="BC49" i="3"/>
  <c r="AX49" i="3"/>
  <c r="AY43" i="3"/>
  <c r="BD45" i="3" s="1"/>
  <c r="C62" i="3" l="1"/>
  <c r="D43" i="2" s="1"/>
  <c r="AZ49" i="3"/>
  <c r="BE45" i="3"/>
  <c r="BD38" i="3"/>
  <c r="C56" i="3"/>
  <c r="C10" i="6" s="1"/>
  <c r="C12" i="6" s="1"/>
  <c r="C18" i="6" s="1"/>
  <c r="AY49" i="3"/>
  <c r="BD49" i="3"/>
  <c r="Q60" i="2" l="1"/>
  <c r="I60" i="2" s="1"/>
  <c r="BE36" i="3"/>
  <c r="BE37" i="3" s="1"/>
  <c r="BE40" i="3" s="1"/>
  <c r="BE41" i="3" s="1"/>
  <c r="BE43" i="3" s="1"/>
  <c r="C66" i="3" l="1"/>
  <c r="C65" i="3"/>
  <c r="J60" i="2"/>
  <c r="K60" i="2" s="1"/>
  <c r="L60" i="2" s="1"/>
  <c r="M60" i="2"/>
  <c r="O60" i="2"/>
  <c r="D76" i="2" s="1"/>
  <c r="BE38" i="3"/>
  <c r="C55" i="3"/>
  <c r="D38" i="2"/>
  <c r="BE49" i="3"/>
  <c r="C58" i="3" l="1"/>
  <c r="C15" i="6"/>
  <c r="C20" i="6" s="1"/>
  <c r="C23" i="6" s="1"/>
  <c r="D37" i="2"/>
  <c r="D40" i="2" s="1"/>
  <c r="D41" i="2" l="1"/>
  <c r="D73" i="2"/>
  <c r="D80" i="2" s="1"/>
  <c r="Q59" i="2" l="1"/>
  <c r="I59" i="2" s="1"/>
  <c r="J59" i="2" l="1"/>
  <c r="K59" i="2" s="1"/>
  <c r="L59" i="2" s="1"/>
  <c r="O59" i="2"/>
  <c r="D75" i="2" s="1"/>
  <c r="D79" i="2" s="1"/>
  <c r="M59" i="2"/>
</calcChain>
</file>

<file path=xl/sharedStrings.xml><?xml version="1.0" encoding="utf-8"?>
<sst xmlns="http://schemas.openxmlformats.org/spreadsheetml/2006/main" count="218" uniqueCount="139">
  <si>
    <t>CAPEX / ISA</t>
  </si>
  <si>
    <t>Depreciation</t>
  </si>
  <si>
    <t>PILS</t>
  </si>
  <si>
    <t>Interest</t>
  </si>
  <si>
    <t>EUL</t>
  </si>
  <si>
    <t>Depreciation Rate</t>
  </si>
  <si>
    <t>ROE</t>
  </si>
  <si>
    <t>Opening PPE</t>
  </si>
  <si>
    <t>Closing PPE</t>
  </si>
  <si>
    <t>Average PPE</t>
  </si>
  <si>
    <t>Depreciation Exp.</t>
  </si>
  <si>
    <t>UCC Open</t>
  </si>
  <si>
    <t>UCC Close</t>
  </si>
  <si>
    <t>Taxable Earnings</t>
  </si>
  <si>
    <t>Revenue Requirement</t>
  </si>
  <si>
    <t>NWA OPEX</t>
  </si>
  <si>
    <t>Net Savings</t>
  </si>
  <si>
    <t>CCA (Class 47 @ 8%)</t>
  </si>
  <si>
    <t>2025 Capital Deferred</t>
  </si>
  <si>
    <t>2025 Capital Avoided</t>
  </si>
  <si>
    <t>Deferred Revenue Requirement</t>
  </si>
  <si>
    <t>NWA Opex</t>
  </si>
  <si>
    <t>EUL Avoided Revenue Requirement</t>
  </si>
  <si>
    <t>ROE-based Margin: NPV of Foregone ROE</t>
  </si>
  <si>
    <t>SSM: 50% of NPV of 5yr Savings</t>
  </si>
  <si>
    <t>SSM: 50% of NPV of EUL Savings</t>
  </si>
  <si>
    <t>ROE-based Margin: NPV of 5yr ROE Deferral</t>
  </si>
  <si>
    <t>Total Savings</t>
  </si>
  <si>
    <t>Total NPV of Savings</t>
  </si>
  <si>
    <t>NPV of Net Benefit to Ratepayers</t>
  </si>
  <si>
    <t>SSM Scenario</t>
  </si>
  <si>
    <t>ROE-Based Margin Scenario</t>
  </si>
  <si>
    <t>Assumptions</t>
  </si>
  <si>
    <t>5yr NWA Opex</t>
  </si>
  <si>
    <t>NPV of Savings</t>
  </si>
  <si>
    <t>WACC</t>
  </si>
  <si>
    <t>CRRR: Status Quo</t>
  </si>
  <si>
    <t>CRRR: 5yr Deferred</t>
  </si>
  <si>
    <t>NPV CRRR Status Quo</t>
  </si>
  <si>
    <t>NPV CRRR 5yr Deferred</t>
  </si>
  <si>
    <t>NPV NWA Opex</t>
  </si>
  <si>
    <t>Grossed-Up PILS</t>
  </si>
  <si>
    <t>NPV Savings</t>
  </si>
  <si>
    <t>5yr OM&amp;A Exp. for Deferral</t>
  </si>
  <si>
    <t>5yr OM&amp;A Exp. for Avoidance</t>
  </si>
  <si>
    <t>5yr LDR Budget</t>
  </si>
  <si>
    <t>ROE Status Quo vs Deferred</t>
  </si>
  <si>
    <t>NPV of ROE Status Quo</t>
  </si>
  <si>
    <t>NPV of ROE 5yr Deferral</t>
  </si>
  <si>
    <t>Net</t>
  </si>
  <si>
    <t>ROE: 5yr Deferral</t>
  </si>
  <si>
    <t>Incentive Amount</t>
  </si>
  <si>
    <t>SSM</t>
  </si>
  <si>
    <t>Margin-on-Payment (ROE)</t>
  </si>
  <si>
    <t>Proposed Fixed</t>
  </si>
  <si>
    <r>
      <t>SSM Total (NPV)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</si>
  <si>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ROE-Based Margin Total (NPV)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</si>
  <si>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Assuming disposition of amounts over 4 years 2031-2034</t>
  </si>
  <si>
    <t xml:space="preserve">Parameters </t>
  </si>
  <si>
    <t>2025 Capital Investment</t>
  </si>
  <si>
    <t>Key Parameters</t>
  </si>
  <si>
    <t>Capital Detail</t>
  </si>
  <si>
    <t>Depreciation Expense</t>
  </si>
  <si>
    <t>Equity Share</t>
  </si>
  <si>
    <t>Debt Share</t>
  </si>
  <si>
    <t>Net Asset Balance</t>
  </si>
  <si>
    <t>Calc 1</t>
  </si>
  <si>
    <t>Calc 2</t>
  </si>
  <si>
    <t>Year</t>
  </si>
  <si>
    <t>#</t>
  </si>
  <si>
    <t>Description</t>
  </si>
  <si>
    <t>Input</t>
  </si>
  <si>
    <t>2025 ROE and interest rates are held constant for the analysis term</t>
  </si>
  <si>
    <t>Deferred / avoided assets are load transfer projects with 48yr EUL.</t>
  </si>
  <si>
    <t>Deferred / avoided assets are Class 47 with CCA of 8%. 2024 phase out of AIIP which suspends the half-year rule for the purpose of calculating CCA.</t>
  </si>
  <si>
    <t>Proportionately less Opex NWA funding allocated to deferred, as opposed to avoided capital, given incremental value / benefit of avoided capital over deferred capital.</t>
  </si>
  <si>
    <t>For calculating capital avoidance savings, assumed that 5yrs of NWA Opex is sufficient to avoid capital investment for its EUL.</t>
  </si>
  <si>
    <t>NPV of 5yr ROE deferral assumes that the same asset would be installed 5 years later, devaluing ROE earned at that time due to future discounting.</t>
  </si>
  <si>
    <t>2025 Capital Total</t>
  </si>
  <si>
    <t>Savings from Deferred Capex</t>
  </si>
  <si>
    <t>Savings from Avoided Capex</t>
  </si>
  <si>
    <t>Nominal Savings</t>
  </si>
  <si>
    <t>1. Performance is assessed over the 2025 to 2029 period.</t>
  </si>
  <si>
    <t>2. Final results are recorded in 2030, and included in 2031 Annual Rate Application for disposition.</t>
  </si>
  <si>
    <t>3. Incentive is approved as filed.</t>
  </si>
  <si>
    <t>4. Incentive is disposed over a 4-year period from 2031-2034.</t>
  </si>
  <si>
    <t>Click (+) to expand</t>
  </si>
  <si>
    <t>Incentive Detail</t>
  </si>
  <si>
    <t>2025-2034 NPV</t>
  </si>
  <si>
    <t>2025-2034 Total</t>
  </si>
  <si>
    <t>2025-2029 Total</t>
  </si>
  <si>
    <t>2025-2073 NPV</t>
  </si>
  <si>
    <t>2025-2073 Total</t>
  </si>
  <si>
    <t>Notes</t>
  </si>
  <si>
    <t>See "5yr Deferral BCA" tab for subsequent detail</t>
  </si>
  <si>
    <t>See "Avoidance BCA" tab for subsequent detail</t>
  </si>
  <si>
    <t>Detail found in "5yr Deferral BCA" tab</t>
  </si>
  <si>
    <t>Detail found in "Avoidance BCA" tab</t>
  </si>
  <si>
    <t>Total Nominal Savings</t>
  </si>
  <si>
    <t>NWA Benefit-Cost Analysis</t>
  </si>
  <si>
    <t>Deferred Capital</t>
  </si>
  <si>
    <t>Avoided Capital</t>
  </si>
  <si>
    <t xml:space="preserve">in load transfer capital investment deferred for 5 years at an operational cost of </t>
  </si>
  <si>
    <t xml:space="preserve">in load transfer capital investment avoided over the life of the assets (48 years) at an operational cost of </t>
  </si>
  <si>
    <t>Costs</t>
  </si>
  <si>
    <t xml:space="preserve">NPV of the operational costs of the non-wires solution (2025-2029): </t>
  </si>
  <si>
    <t>+</t>
  </si>
  <si>
    <t xml:space="preserve">NPV of the revenue requirement associated with the load transfer capital investment to be made in 2030: </t>
  </si>
  <si>
    <t>=</t>
  </si>
  <si>
    <t>NPV Costs</t>
  </si>
  <si>
    <t>Benefits</t>
  </si>
  <si>
    <t xml:space="preserve">NPV of revenue requirement associated with capital investment deferred from 2025-29: </t>
  </si>
  <si>
    <t>NPV of revenue requirement associated with capital investment avoided in 2025 over the 48-year EUL:</t>
  </si>
  <si>
    <t>Less (-)</t>
  </si>
  <si>
    <t xml:space="preserve">NPV Costs: </t>
  </si>
  <si>
    <t>Equals (=)</t>
  </si>
  <si>
    <t>NPV Benefits</t>
  </si>
  <si>
    <t>Total</t>
  </si>
  <si>
    <t xml:space="preserve">Total NPV Benefits = </t>
  </si>
  <si>
    <t>Foregone Revenue analysis</t>
  </si>
  <si>
    <t>Approach</t>
  </si>
  <si>
    <t>Quantify the Net Present Value (NPV) of the foregone ROE associated with the deferred and avoied capital investments</t>
  </si>
  <si>
    <t>Parameters</t>
  </si>
  <si>
    <t>in load transfers capital investment deferred for 5 years (i.e. from 2025 to 2030)</t>
  </si>
  <si>
    <t>in load transfers capital investment avoided over the estimated useful life (EUL) of the assets (48 years)</t>
  </si>
  <si>
    <t>Lost of NPV of ROE</t>
  </si>
  <si>
    <t>NPV of foregone ROE:</t>
  </si>
  <si>
    <t>NPV of ROE associated with capital investment in 2030:</t>
  </si>
  <si>
    <t>NPV of foregone ROE</t>
  </si>
  <si>
    <t>Total NPV of Foregone Revenue:</t>
  </si>
  <si>
    <t>Combined Tax Rate</t>
  </si>
  <si>
    <t>CCA (Class 47) rate</t>
  </si>
  <si>
    <t>NPV of ROE Avoidance</t>
  </si>
  <si>
    <t>2025-29 Benefits only NOMINAL</t>
  </si>
  <si>
    <t>Life time Benefits NOMINAL</t>
  </si>
  <si>
    <t>Life time Benefits PV</t>
  </si>
  <si>
    <t>2025-29</t>
  </si>
  <si>
    <t>2030-34</t>
  </si>
  <si>
    <t>Discount rate based on Weighted Average Cost of Capital utilizing OEB’s 2023 Cost of Capital Parameters, resulting in WACC of 6.17%.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</si>
</sst>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-&quot;$&quot;* #,##0_-;\-&quot;$&quot;* #,##0_-;_-&quot;$&quot;* &quot;-&quot;??_-;_-@_-"/>
    <numFmt numFmtId="166" formatCode="_-&quot;$&quot;* #,##0_-;\-&quot;$&quot;* #,##0_-;_-&quot;$&quot;* &quot;-&quot;????_-;_-@_-"/>
    <numFmt numFmtId="167" formatCode="0.0%"/>
    <numFmt numFmtId="168" formatCode="_(&quot;$&quot;* #,##0_);_(&quot;$&quot;* \(#,##0\);_(&quot;$&quot;* &quot;-&quot;??_);_(@_)"/>
    <numFmt numFmtId="169" formatCode="&quot;$&quot;#,##0.00,,&quot; Million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0" fillId="0" borderId="1" xfId="0" applyBorder="1"/>
    <xf numFmtId="165" fontId="0" fillId="0" borderId="0" xfId="0" applyNumberFormat="1"/>
    <xf numFmtId="0" fontId="2" fillId="0" borderId="0" xfId="0" applyFont="1" applyAlignment="1">
      <alignment horizontal="right"/>
    </xf>
    <xf numFmtId="165" fontId="0" fillId="0" borderId="0" xfId="1" applyNumberFormat="1" applyFont="1"/>
    <xf numFmtId="10" fontId="0" fillId="0" borderId="0" xfId="2" applyNumberFormat="1" applyFont="1"/>
    <xf numFmtId="44" fontId="0" fillId="0" borderId="0" xfId="1" applyFont="1"/>
    <xf numFmtId="0" fontId="0" fillId="0" borderId="0" xfId="0" applyAlignment="1">
      <alignment horizontal="right"/>
    </xf>
    <xf numFmtId="165" fontId="2" fillId="0" borderId="0" xfId="0" applyNumberFormat="1" applyFont="1"/>
    <xf numFmtId="0" fontId="3" fillId="0" borderId="0" xfId="0" applyFont="1"/>
    <xf numFmtId="166" fontId="0" fillId="0" borderId="0" xfId="0" applyNumberFormat="1"/>
    <xf numFmtId="0" fontId="0" fillId="0" borderId="1" xfId="0" applyBorder="1" applyAlignment="1">
      <alignment horizontal="right"/>
    </xf>
    <xf numFmtId="164" fontId="0" fillId="0" borderId="0" xfId="0" applyNumberFormat="1"/>
    <xf numFmtId="8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5" fontId="0" fillId="0" borderId="0" xfId="1" applyNumberFormat="1" applyFont="1" applyFill="1" applyBorder="1"/>
    <xf numFmtId="1" fontId="0" fillId="2" borderId="0" xfId="0" applyNumberFormat="1" applyFill="1"/>
    <xf numFmtId="0" fontId="0" fillId="2" borderId="0" xfId="0" applyFill="1"/>
    <xf numFmtId="0" fontId="0" fillId="0" borderId="0" xfId="0" applyBorder="1" applyAlignment="1">
      <alignment horizontal="left"/>
    </xf>
    <xf numFmtId="10" fontId="0" fillId="2" borderId="0" xfId="2" applyNumberFormat="1" applyFont="1" applyFill="1"/>
    <xf numFmtId="0" fontId="2" fillId="0" borderId="4" xfId="0" applyFont="1" applyBorder="1"/>
    <xf numFmtId="0" fontId="0" fillId="0" borderId="4" xfId="0" applyBorder="1"/>
    <xf numFmtId="10" fontId="0" fillId="2" borderId="0" xfId="2" applyNumberFormat="1" applyFont="1" applyFill="1" applyBorder="1"/>
    <xf numFmtId="167" fontId="0" fillId="0" borderId="1" xfId="2" applyNumberFormat="1" applyFont="1" applyBorder="1"/>
    <xf numFmtId="10" fontId="2" fillId="0" borderId="4" xfId="2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7" fontId="0" fillId="2" borderId="0" xfId="2" applyNumberFormat="1" applyFont="1" applyFill="1"/>
    <xf numFmtId="0" fontId="0" fillId="0" borderId="4" xfId="0" applyFill="1" applyBorder="1"/>
    <xf numFmtId="1" fontId="0" fillId="0" borderId="0" xfId="0" applyNumberFormat="1" applyFill="1"/>
    <xf numFmtId="10" fontId="0" fillId="0" borderId="0" xfId="2" applyNumberFormat="1" applyFont="1" applyFill="1"/>
    <xf numFmtId="10" fontId="2" fillId="0" borderId="4" xfId="2" applyNumberFormat="1" applyFont="1" applyFill="1" applyBorder="1"/>
    <xf numFmtId="0" fontId="2" fillId="0" borderId="3" xfId="0" applyFont="1" applyBorder="1"/>
    <xf numFmtId="0" fontId="0" fillId="0" borderId="3" xfId="0" applyBorder="1"/>
    <xf numFmtId="167" fontId="0" fillId="0" borderId="0" xfId="2" applyNumberFormat="1" applyFont="1" applyFill="1" applyBorder="1"/>
    <xf numFmtId="0" fontId="0" fillId="4" borderId="0" xfId="0" applyFill="1"/>
    <xf numFmtId="0" fontId="0" fillId="3" borderId="0" xfId="0" applyFill="1"/>
    <xf numFmtId="167" fontId="0" fillId="0" borderId="0" xfId="2" applyNumberFormat="1" applyFont="1" applyFill="1" applyAlignment="1">
      <alignment horizontal="right"/>
    </xf>
    <xf numFmtId="0" fontId="2" fillId="0" borderId="0" xfId="0" applyFont="1" applyFill="1"/>
    <xf numFmtId="168" fontId="0" fillId="0" borderId="0" xfId="1" applyNumberFormat="1" applyFont="1" applyFill="1"/>
    <xf numFmtId="168" fontId="0" fillId="0" borderId="0" xfId="1" applyNumberFormat="1" applyFont="1"/>
    <xf numFmtId="168" fontId="0" fillId="3" borderId="0" xfId="1" applyNumberFormat="1" applyFont="1" applyFill="1"/>
    <xf numFmtId="168" fontId="5" fillId="4" borderId="0" xfId="1" applyNumberFormat="1" applyFont="1" applyFill="1"/>
    <xf numFmtId="168" fontId="0" fillId="4" borderId="0" xfId="1" applyNumberFormat="1" applyFont="1" applyFill="1" applyBorder="1"/>
    <xf numFmtId="168" fontId="0" fillId="0" borderId="0" xfId="1" applyNumberFormat="1" applyFont="1" applyFill="1" applyBorder="1"/>
    <xf numFmtId="168" fontId="0" fillId="0" borderId="0" xfId="1" applyNumberFormat="1" applyFont="1" applyBorder="1"/>
    <xf numFmtId="168" fontId="0" fillId="4" borderId="0" xfId="1" applyNumberFormat="1" applyFont="1" applyFill="1"/>
    <xf numFmtId="168" fontId="2" fillId="0" borderId="0" xfId="1" applyNumberFormat="1" applyFont="1"/>
    <xf numFmtId="168" fontId="2" fillId="0" borderId="0" xfId="1" applyNumberFormat="1" applyFont="1" applyFill="1"/>
    <xf numFmtId="168" fontId="5" fillId="3" borderId="0" xfId="1" applyNumberFormat="1" applyFont="1" applyFill="1"/>
    <xf numFmtId="0" fontId="0" fillId="0" borderId="0" xfId="0" applyAlignment="1">
      <alignment horizontal="left"/>
    </xf>
    <xf numFmtId="165" fontId="0" fillId="2" borderId="0" xfId="1" applyNumberFormat="1" applyFont="1" applyFill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2" fillId="5" borderId="0" xfId="1" applyNumberFormat="1" applyFont="1" applyFill="1"/>
    <xf numFmtId="168" fontId="0" fillId="0" borderId="6" xfId="1" applyNumberFormat="1" applyFont="1" applyFill="1" applyBorder="1"/>
    <xf numFmtId="6" fontId="0" fillId="0" borderId="0" xfId="0" applyNumberFormat="1" applyFill="1"/>
    <xf numFmtId="0" fontId="0" fillId="0" borderId="2" xfId="0" applyBorder="1" applyAlignment="1">
      <alignment horizontal="right"/>
    </xf>
    <xf numFmtId="168" fontId="0" fillId="2" borderId="0" xfId="1" applyNumberFormat="1" applyFont="1" applyFill="1" applyBorder="1"/>
    <xf numFmtId="168" fontId="0" fillId="0" borderId="1" xfId="1" applyNumberFormat="1" applyFont="1" applyFill="1" applyBorder="1"/>
    <xf numFmtId="168" fontId="0" fillId="0" borderId="0" xfId="0" applyNumberFormat="1" applyFill="1" applyBorder="1"/>
    <xf numFmtId="168" fontId="0" fillId="0" borderId="2" xfId="1" applyNumberFormat="1" applyFont="1" applyFill="1" applyBorder="1"/>
    <xf numFmtId="168" fontId="0" fillId="0" borderId="2" xfId="0" applyNumberFormat="1" applyFill="1" applyBorder="1"/>
    <xf numFmtId="168" fontId="0" fillId="0" borderId="1" xfId="0" applyNumberFormat="1" applyFill="1" applyBorder="1"/>
    <xf numFmtId="168" fontId="0" fillId="0" borderId="0" xfId="0" applyNumberFormat="1" applyBorder="1" applyAlignment="1">
      <alignment horizontal="right"/>
    </xf>
    <xf numFmtId="168" fontId="0" fillId="0" borderId="3" xfId="0" applyNumberFormat="1" applyFill="1" applyBorder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right"/>
    </xf>
    <xf numFmtId="168" fontId="2" fillId="0" borderId="0" xfId="0" applyNumberFormat="1" applyFont="1" applyBorder="1"/>
    <xf numFmtId="168" fontId="0" fillId="0" borderId="0" xfId="0" applyNumberFormat="1" applyBorder="1"/>
    <xf numFmtId="168" fontId="2" fillId="0" borderId="0" xfId="0" applyNumberFormat="1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168" fontId="0" fillId="0" borderId="5" xfId="0" applyNumberFormat="1" applyBorder="1"/>
    <xf numFmtId="168" fontId="2" fillId="0" borderId="5" xfId="0" applyNumberFormat="1" applyFont="1" applyBorder="1"/>
    <xf numFmtId="168" fontId="2" fillId="0" borderId="1" xfId="0" applyNumberFormat="1" applyFont="1" applyBorder="1" applyAlignment="1">
      <alignment horizontal="center" vertical="center"/>
    </xf>
    <xf numFmtId="0" fontId="6" fillId="5" borderId="0" xfId="0" applyFont="1" applyFill="1" applyBorder="1"/>
    <xf numFmtId="0" fontId="5" fillId="5" borderId="0" xfId="0" applyFont="1" applyFill="1" applyBorder="1"/>
    <xf numFmtId="168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center"/>
    </xf>
    <xf numFmtId="168" fontId="0" fillId="0" borderId="5" xfId="1" applyNumberFormat="1" applyFont="1" applyFill="1" applyBorder="1" applyAlignment="1">
      <alignment horizontal="center"/>
    </xf>
    <xf numFmtId="168" fontId="2" fillId="0" borderId="0" xfId="1" applyNumberFormat="1" applyFont="1" applyFill="1" applyBorder="1"/>
    <xf numFmtId="168" fontId="2" fillId="0" borderId="0" xfId="0" applyNumberFormat="1" applyFont="1" applyFill="1" applyBorder="1"/>
    <xf numFmtId="0" fontId="2" fillId="0" borderId="4" xfId="0" applyFont="1" applyBorder="1" applyAlignment="1">
      <alignment horizontal="left"/>
    </xf>
    <xf numFmtId="0" fontId="8" fillId="0" borderId="0" xfId="0" applyFont="1" applyFill="1" applyBorder="1"/>
    <xf numFmtId="168" fontId="0" fillId="5" borderId="0" xfId="0" applyNumberFormat="1" applyFill="1" applyBorder="1" applyAlignment="1">
      <alignment horizontal="right"/>
    </xf>
    <xf numFmtId="168" fontId="0" fillId="5" borderId="0" xfId="0" applyNumberFormat="1" applyFill="1" applyBorder="1"/>
    <xf numFmtId="0" fontId="0" fillId="5" borderId="0" xfId="0" applyFill="1"/>
    <xf numFmtId="0" fontId="2" fillId="5" borderId="0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167" fontId="0" fillId="0" borderId="0" xfId="2" applyNumberFormat="1" applyFont="1" applyFill="1"/>
    <xf numFmtId="167" fontId="0" fillId="0" borderId="0" xfId="0" applyNumberFormat="1" applyFill="1"/>
    <xf numFmtId="9" fontId="0" fillId="0" borderId="0" xfId="0" applyNumberFormat="1" applyFill="1"/>
    <xf numFmtId="0" fontId="2" fillId="5" borderId="0" xfId="0" applyFont="1" applyFill="1"/>
    <xf numFmtId="0" fontId="3" fillId="5" borderId="0" xfId="0" applyFont="1" applyFill="1"/>
    <xf numFmtId="0" fontId="8" fillId="0" borderId="0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0" fontId="2" fillId="0" borderId="8" xfId="2" applyNumberFormat="1" applyFont="1" applyBorder="1" applyAlignment="1">
      <alignment horizontal="center" wrapText="1"/>
    </xf>
    <xf numFmtId="0" fontId="2" fillId="0" borderId="9" xfId="0" applyFont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0" fontId="2" fillId="0" borderId="8" xfId="2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69" fontId="2" fillId="0" borderId="0" xfId="0" applyNumberFormat="1" applyFont="1" applyBorder="1" applyAlignment="1">
      <alignment horizontal="center" vertical="top" wrapText="1"/>
    </xf>
    <xf numFmtId="169" fontId="2" fillId="0" borderId="1" xfId="0" applyNumberFormat="1" applyFont="1" applyBorder="1" applyAlignment="1">
      <alignment horizontal="center" vertical="top" wrapText="1"/>
    </xf>
    <xf numFmtId="169" fontId="2" fillId="0" borderId="1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top" wrapText="1"/>
    </xf>
    <xf numFmtId="0" fontId="10" fillId="0" borderId="0" xfId="0" quotePrefix="1" applyFont="1" applyBorder="1" applyAlignment="1">
      <alignment horizontal="center" vertical="top" wrapText="1"/>
    </xf>
    <xf numFmtId="167" fontId="0" fillId="0" borderId="0" xfId="2" applyNumberFormat="1" applyFont="1" applyBorder="1"/>
    <xf numFmtId="9" fontId="0" fillId="2" borderId="0" xfId="2" applyFont="1" applyFill="1" applyBorder="1"/>
    <xf numFmtId="9" fontId="0" fillId="0" borderId="1" xfId="0" applyNumberFormat="1" applyBorder="1" applyAlignment="1">
      <alignment horizontal="right"/>
    </xf>
    <xf numFmtId="168" fontId="0" fillId="6" borderId="0" xfId="1" applyNumberFormat="1" applyFont="1" applyFill="1" applyBorder="1"/>
    <xf numFmtId="0" fontId="0" fillId="0" borderId="0" xfId="0" applyFill="1" applyAlignment="1">
      <alignment horizontal="center" vertical="center"/>
    </xf>
    <xf numFmtId="168" fontId="0" fillId="0" borderId="0" xfId="0" applyNumberFormat="1" applyFont="1" applyFill="1" applyBorder="1" applyAlignment="1">
      <alignment horizontal="center" vertical="center"/>
    </xf>
    <xf numFmtId="168" fontId="0" fillId="0" borderId="5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9" fontId="2" fillId="0" borderId="1" xfId="0" applyNumberFormat="1" applyFont="1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A3A0-0D04-4C6D-AD93-847102FC4D14}">
  <dimension ref="B1:D39"/>
  <sheetViews>
    <sheetView showGridLines="0" zoomScale="80" zoomScaleNormal="80" workbookViewId="0">
      <selection activeCell="C15" sqref="C15"/>
    </sheetView>
  </sheetViews>
  <sheetFormatPr defaultRowHeight="14.5" x14ac:dyDescent="0.35"/>
  <cols>
    <col min="1" max="1" width="3.26953125" customWidth="1"/>
    <col min="2" max="2" width="23.453125" customWidth="1"/>
    <col min="3" max="4" width="42.81640625" customWidth="1"/>
    <col min="5" max="7" width="14" customWidth="1"/>
    <col min="8" max="8" width="16.7265625" bestFit="1" customWidth="1"/>
    <col min="9" max="13" width="17.81640625" customWidth="1"/>
    <col min="14" max="14" width="2.26953125" customWidth="1"/>
    <col min="15" max="15" width="16.54296875" customWidth="1"/>
    <col min="16" max="16" width="2.81640625" customWidth="1"/>
    <col min="17" max="17" width="17.1796875" customWidth="1"/>
  </cols>
  <sheetData>
    <row r="1" spans="2:4" ht="15.5" x14ac:dyDescent="0.35">
      <c r="B1" s="118" t="s">
        <v>99</v>
      </c>
    </row>
    <row r="2" spans="2:4" ht="15" thickBot="1" x14ac:dyDescent="0.4">
      <c r="B2" s="119"/>
      <c r="C2" s="120" t="s">
        <v>100</v>
      </c>
      <c r="D2" s="121" t="s">
        <v>101</v>
      </c>
    </row>
    <row r="3" spans="2:4" x14ac:dyDescent="0.35">
      <c r="B3" s="122" t="s">
        <v>58</v>
      </c>
      <c r="C3" s="138">
        <f>'Assumptions and Summary'!D18</f>
        <v>2500000</v>
      </c>
      <c r="D3" s="140">
        <f>'Assumptions and Summary'!D19</f>
        <v>7500000</v>
      </c>
    </row>
    <row r="4" spans="2:4" ht="43.5" x14ac:dyDescent="0.35">
      <c r="B4" s="122"/>
      <c r="C4" s="141" t="s">
        <v>102</v>
      </c>
      <c r="D4" s="124" t="s">
        <v>103</v>
      </c>
    </row>
    <row r="5" spans="2:4" x14ac:dyDescent="0.35">
      <c r="B5" s="125"/>
      <c r="C5" s="139">
        <f>'Assumptions and Summary'!H24</f>
        <v>712500</v>
      </c>
      <c r="D5" s="142">
        <f>'Assumptions and Summary'!H25</f>
        <v>4987500</v>
      </c>
    </row>
    <row r="6" spans="2:4" ht="29" x14ac:dyDescent="0.35">
      <c r="B6" s="122" t="s">
        <v>104</v>
      </c>
      <c r="C6" s="141" t="s">
        <v>105</v>
      </c>
      <c r="D6" s="124" t="s">
        <v>105</v>
      </c>
    </row>
    <row r="7" spans="2:4" x14ac:dyDescent="0.35">
      <c r="B7" s="122"/>
      <c r="C7" s="138">
        <f>'5yr Deferral BCA'!C57</f>
        <v>571748.49378471484</v>
      </c>
      <c r="D7" s="140">
        <f>'Avoidance BCA'!C50</f>
        <v>4002239.4564930042</v>
      </c>
    </row>
    <row r="8" spans="2:4" x14ac:dyDescent="0.35">
      <c r="B8" s="122"/>
      <c r="C8" s="143" t="s">
        <v>106</v>
      </c>
      <c r="D8" s="124"/>
    </row>
    <row r="9" spans="2:4" ht="43.5" x14ac:dyDescent="0.35">
      <c r="B9" s="122"/>
      <c r="C9" s="141" t="s">
        <v>107</v>
      </c>
      <c r="D9" s="124"/>
    </row>
    <row r="10" spans="2:4" x14ac:dyDescent="0.35">
      <c r="B10" s="122"/>
      <c r="C10" s="138">
        <f>'5yr Deferral BCA'!C56</f>
        <v>1796744.0038745035</v>
      </c>
      <c r="D10" s="124"/>
    </row>
    <row r="11" spans="2:4" x14ac:dyDescent="0.35">
      <c r="B11" s="122"/>
      <c r="C11" s="143" t="s">
        <v>108</v>
      </c>
      <c r="D11" s="124"/>
    </row>
    <row r="12" spans="2:4" x14ac:dyDescent="0.35">
      <c r="B12" s="122"/>
      <c r="C12" s="138">
        <f>C7+C10</f>
        <v>2368492.4976592185</v>
      </c>
      <c r="D12" s="124"/>
    </row>
    <row r="13" spans="2:4" x14ac:dyDescent="0.35">
      <c r="B13" s="125"/>
      <c r="C13" s="126" t="s">
        <v>109</v>
      </c>
      <c r="D13" s="127"/>
    </row>
    <row r="14" spans="2:4" ht="43.5" x14ac:dyDescent="0.35">
      <c r="B14" s="122" t="s">
        <v>110</v>
      </c>
      <c r="C14" s="123" t="s">
        <v>111</v>
      </c>
      <c r="D14" s="124" t="s">
        <v>112</v>
      </c>
    </row>
    <row r="15" spans="2:4" x14ac:dyDescent="0.35">
      <c r="B15" s="122"/>
      <c r="C15" s="138">
        <f>'5yr Deferral BCA'!C55</f>
        <v>2423563.3985846802</v>
      </c>
      <c r="D15" s="140">
        <f>'Avoidance BCA'!C49</f>
        <v>7270690.1957540456</v>
      </c>
    </row>
    <row r="16" spans="2:4" x14ac:dyDescent="0.35">
      <c r="B16" s="122"/>
      <c r="C16" s="128" t="s">
        <v>113</v>
      </c>
      <c r="D16" s="129" t="s">
        <v>113</v>
      </c>
    </row>
    <row r="17" spans="2:4" x14ac:dyDescent="0.35">
      <c r="B17" s="122"/>
      <c r="C17" s="123" t="s">
        <v>114</v>
      </c>
      <c r="D17" s="124" t="s">
        <v>114</v>
      </c>
    </row>
    <row r="18" spans="2:4" x14ac:dyDescent="0.35">
      <c r="B18" s="122"/>
      <c r="C18" s="138">
        <f>C12</f>
        <v>2368492.4976592185</v>
      </c>
      <c r="D18" s="140">
        <f>D7</f>
        <v>4002239.4564930042</v>
      </c>
    </row>
    <row r="19" spans="2:4" x14ac:dyDescent="0.35">
      <c r="B19" s="122"/>
      <c r="C19" s="128" t="s">
        <v>115</v>
      </c>
      <c r="D19" s="129" t="s">
        <v>115</v>
      </c>
    </row>
    <row r="20" spans="2:4" x14ac:dyDescent="0.35">
      <c r="B20" s="122"/>
      <c r="C20" s="138">
        <f>C15-C18</f>
        <v>55070.900925461669</v>
      </c>
      <c r="D20" s="140">
        <f>D15-D18</f>
        <v>3268450.7392610414</v>
      </c>
    </row>
    <row r="21" spans="2:4" x14ac:dyDescent="0.35">
      <c r="B21" s="125"/>
      <c r="C21" s="126" t="s">
        <v>116</v>
      </c>
      <c r="D21" s="127" t="s">
        <v>116</v>
      </c>
    </row>
    <row r="22" spans="2:4" x14ac:dyDescent="0.35">
      <c r="B22" s="130" t="s">
        <v>117</v>
      </c>
      <c r="C22" s="154" t="s">
        <v>118</v>
      </c>
      <c r="D22" s="155"/>
    </row>
    <row r="23" spans="2:4" x14ac:dyDescent="0.35">
      <c r="B23" s="131"/>
      <c r="C23" s="156">
        <f>C20+D20</f>
        <v>3323521.6401865031</v>
      </c>
      <c r="D23" s="157"/>
    </row>
    <row r="25" spans="2:4" ht="15.5" x14ac:dyDescent="0.35">
      <c r="B25" s="118" t="s">
        <v>119</v>
      </c>
    </row>
    <row r="26" spans="2:4" ht="15" thickBot="1" x14ac:dyDescent="0.4">
      <c r="B26" s="132"/>
      <c r="C26" s="133" t="s">
        <v>100</v>
      </c>
      <c r="D26" s="134" t="s">
        <v>101</v>
      </c>
    </row>
    <row r="27" spans="2:4" ht="43.5" x14ac:dyDescent="0.35">
      <c r="B27" s="135" t="s">
        <v>120</v>
      </c>
      <c r="C27" s="136" t="s">
        <v>121</v>
      </c>
      <c r="D27" s="137"/>
    </row>
    <row r="28" spans="2:4" x14ac:dyDescent="0.35">
      <c r="B28" s="122" t="s">
        <v>122</v>
      </c>
      <c r="C28" s="138">
        <f>'Assumptions and Summary'!D18</f>
        <v>2500000</v>
      </c>
      <c r="D28" s="140">
        <f>'Assumptions and Summary'!D19</f>
        <v>7500000</v>
      </c>
    </row>
    <row r="29" spans="2:4" ht="43.5" x14ac:dyDescent="0.35">
      <c r="B29" s="125"/>
      <c r="C29" s="126" t="s">
        <v>123</v>
      </c>
      <c r="D29" s="127" t="s">
        <v>124</v>
      </c>
    </row>
    <row r="30" spans="2:4" x14ac:dyDescent="0.35">
      <c r="B30" s="122" t="s">
        <v>125</v>
      </c>
      <c r="C30" s="123" t="s">
        <v>126</v>
      </c>
      <c r="D30" s="124" t="s">
        <v>126</v>
      </c>
    </row>
    <row r="31" spans="2:4" x14ac:dyDescent="0.35">
      <c r="B31" s="122"/>
      <c r="C31" s="138">
        <f>'5yr Deferral BCA'!C60</f>
        <v>989410.90991072869</v>
      </c>
      <c r="D31" s="140">
        <f>'Avoidance BCA'!C53</f>
        <v>2968232.7297321851</v>
      </c>
    </row>
    <row r="32" spans="2:4" x14ac:dyDescent="0.35">
      <c r="B32" s="122"/>
      <c r="C32" s="128" t="s">
        <v>113</v>
      </c>
      <c r="D32" s="124"/>
    </row>
    <row r="33" spans="2:4" ht="29" x14ac:dyDescent="0.35">
      <c r="B33" s="122"/>
      <c r="C33" s="123" t="s">
        <v>127</v>
      </c>
      <c r="D33" s="124"/>
    </row>
    <row r="34" spans="2:4" x14ac:dyDescent="0.35">
      <c r="B34" s="122"/>
      <c r="C34" s="138">
        <f>'5yr Deferral BCA'!C61</f>
        <v>733514.18031328381</v>
      </c>
      <c r="D34" s="124"/>
    </row>
    <row r="35" spans="2:4" x14ac:dyDescent="0.35">
      <c r="B35" s="122"/>
      <c r="C35" s="128" t="s">
        <v>115</v>
      </c>
      <c r="D35" s="124"/>
    </row>
    <row r="36" spans="2:4" x14ac:dyDescent="0.35">
      <c r="B36" s="122"/>
      <c r="C36" s="138">
        <f>C31-C34</f>
        <v>255896.72959744488</v>
      </c>
      <c r="D36" s="124"/>
    </row>
    <row r="37" spans="2:4" x14ac:dyDescent="0.35">
      <c r="B37" s="125"/>
      <c r="C37" s="126" t="s">
        <v>128</v>
      </c>
      <c r="D37" s="127"/>
    </row>
    <row r="38" spans="2:4" x14ac:dyDescent="0.35">
      <c r="B38" s="122" t="s">
        <v>117</v>
      </c>
      <c r="C38" s="158" t="s">
        <v>129</v>
      </c>
      <c r="D38" s="159"/>
    </row>
    <row r="39" spans="2:4" x14ac:dyDescent="0.35">
      <c r="B39" s="125"/>
      <c r="C39" s="156">
        <f>C36+D31</f>
        <v>3224129.4593296302</v>
      </c>
      <c r="D39" s="157"/>
    </row>
  </sheetData>
  <mergeCells count="4">
    <mergeCell ref="C22:D22"/>
    <mergeCell ref="C23:D23"/>
    <mergeCell ref="C38:D38"/>
    <mergeCell ref="C39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9391-43CE-42D3-910B-47F4BE8D3D19}">
  <dimension ref="A2:S84"/>
  <sheetViews>
    <sheetView showGridLines="0" zoomScale="80" zoomScaleNormal="80" workbookViewId="0">
      <selection activeCell="B25" sqref="B25"/>
    </sheetView>
  </sheetViews>
  <sheetFormatPr defaultRowHeight="14.5" outlineLevelRow="1" x14ac:dyDescent="0.35"/>
  <cols>
    <col min="1" max="1" width="3.26953125" customWidth="1"/>
    <col min="2" max="2" width="39.1796875" customWidth="1"/>
    <col min="3" max="3" width="17.453125" bestFit="1" customWidth="1"/>
    <col min="4" max="7" width="14" customWidth="1"/>
    <col min="8" max="8" width="16.7265625" bestFit="1" customWidth="1"/>
    <col min="9" max="13" width="17.81640625" customWidth="1"/>
    <col min="14" max="14" width="2.26953125" customWidth="1"/>
    <col min="15" max="15" width="16.54296875" customWidth="1"/>
    <col min="16" max="16" width="2.81640625" customWidth="1"/>
    <col min="17" max="17" width="17.1796875" customWidth="1"/>
  </cols>
  <sheetData>
    <row r="2" spans="2:4" x14ac:dyDescent="0.35">
      <c r="B2" s="24" t="s">
        <v>71</v>
      </c>
    </row>
    <row r="4" spans="2:4" ht="15" thickBot="1" x14ac:dyDescent="0.4">
      <c r="B4" s="27" t="s">
        <v>60</v>
      </c>
      <c r="C4" s="28"/>
    </row>
    <row r="5" spans="2:4" hidden="1" outlineLevel="1" x14ac:dyDescent="0.35">
      <c r="B5" t="s">
        <v>6</v>
      </c>
      <c r="C5" s="26">
        <v>9.3600000000000003E-2</v>
      </c>
    </row>
    <row r="6" spans="2:4" hidden="1" outlineLevel="1" x14ac:dyDescent="0.35">
      <c r="B6" t="s">
        <v>63</v>
      </c>
      <c r="C6" s="36">
        <v>0.4</v>
      </c>
    </row>
    <row r="7" spans="2:4" hidden="1" outlineLevel="1" x14ac:dyDescent="0.35">
      <c r="B7" s="18" t="s">
        <v>3</v>
      </c>
      <c r="C7" s="29">
        <v>4.0399999999999998E-2</v>
      </c>
    </row>
    <row r="8" spans="2:4" hidden="1" outlineLevel="1" x14ac:dyDescent="0.35">
      <c r="B8" s="20" t="s">
        <v>64</v>
      </c>
      <c r="C8" s="43">
        <f>1-C6</f>
        <v>0.6</v>
      </c>
    </row>
    <row r="9" spans="2:4" hidden="1" outlineLevel="1" x14ac:dyDescent="0.35">
      <c r="B9" t="s">
        <v>4</v>
      </c>
      <c r="C9" s="23">
        <v>48</v>
      </c>
    </row>
    <row r="10" spans="2:4" hidden="1" outlineLevel="1" x14ac:dyDescent="0.35">
      <c r="B10" s="20" t="s">
        <v>5</v>
      </c>
      <c r="C10" s="144">
        <f>1/C9</f>
        <v>2.0833333333333332E-2</v>
      </c>
    </row>
    <row r="11" spans="2:4" hidden="1" outlineLevel="1" x14ac:dyDescent="0.35">
      <c r="B11" s="20" t="s">
        <v>131</v>
      </c>
      <c r="C11" s="144">
        <v>0.08</v>
      </c>
    </row>
    <row r="12" spans="2:4" hidden="1" outlineLevel="1" x14ac:dyDescent="0.35">
      <c r="B12" s="2" t="s">
        <v>130</v>
      </c>
      <c r="C12" s="30">
        <v>0.26500000000000001</v>
      </c>
    </row>
    <row r="13" spans="2:4" ht="13.5" customHeight="1" collapsed="1" x14ac:dyDescent="0.35">
      <c r="C13" s="6"/>
    </row>
    <row r="14" spans="2:4" x14ac:dyDescent="0.35">
      <c r="B14" t="s">
        <v>35</v>
      </c>
      <c r="C14" s="6">
        <f>C5*C6+C7*C8</f>
        <v>6.1679999999999999E-2</v>
      </c>
    </row>
    <row r="15" spans="2:4" ht="7.5" customHeight="1" x14ac:dyDescent="0.35">
      <c r="C15" s="6"/>
    </row>
    <row r="16" spans="2:4" ht="15" thickBot="1" x14ac:dyDescent="0.4">
      <c r="B16" s="27" t="s">
        <v>61</v>
      </c>
      <c r="C16" s="27"/>
      <c r="D16" s="31"/>
    </row>
    <row r="17" spans="1:19" hidden="1" outlineLevel="1" x14ac:dyDescent="0.35">
      <c r="B17" s="25" t="s">
        <v>78</v>
      </c>
      <c r="C17" s="25"/>
      <c r="D17" s="76">
        <v>10000000</v>
      </c>
      <c r="E17" s="18"/>
      <c r="F17" s="18"/>
      <c r="G17" s="18"/>
      <c r="H17" s="18"/>
      <c r="I17" s="18"/>
      <c r="J17" s="18"/>
    </row>
    <row r="18" spans="1:19" hidden="1" outlineLevel="1" x14ac:dyDescent="0.35">
      <c r="B18" s="25" t="s">
        <v>18</v>
      </c>
      <c r="C18" s="145">
        <v>0.25</v>
      </c>
      <c r="D18" s="147">
        <f>C18*D17</f>
        <v>2500000</v>
      </c>
      <c r="E18" s="117" t="s">
        <v>95</v>
      </c>
      <c r="F18" s="18"/>
      <c r="G18" s="18"/>
      <c r="H18" s="18"/>
      <c r="I18" s="18"/>
      <c r="J18" s="18"/>
    </row>
    <row r="19" spans="1:19" hidden="1" outlineLevel="1" x14ac:dyDescent="0.35">
      <c r="B19" s="32" t="s">
        <v>19</v>
      </c>
      <c r="C19" s="146">
        <f>1-C18</f>
        <v>0.75</v>
      </c>
      <c r="D19" s="77">
        <f>C19*D17</f>
        <v>7500000</v>
      </c>
      <c r="E19" s="117" t="s">
        <v>94</v>
      </c>
      <c r="F19" s="18"/>
      <c r="G19" s="18"/>
      <c r="H19" s="20"/>
      <c r="I19" s="20"/>
      <c r="J19" s="18"/>
    </row>
    <row r="20" spans="1:19" collapsed="1" x14ac:dyDescent="0.35">
      <c r="B20" s="25"/>
      <c r="C20" s="22"/>
      <c r="D20" s="18"/>
      <c r="E20" s="18"/>
      <c r="F20" s="18"/>
      <c r="G20" s="18"/>
      <c r="H20" s="20"/>
      <c r="I20" s="20"/>
      <c r="J20" s="18"/>
    </row>
    <row r="21" spans="1:19" ht="15" thickBot="1" x14ac:dyDescent="0.4">
      <c r="B21" s="104"/>
      <c r="C21" s="34">
        <v>2025</v>
      </c>
      <c r="D21" s="34">
        <v>2026</v>
      </c>
      <c r="E21" s="34">
        <v>2027</v>
      </c>
      <c r="F21" s="34">
        <v>2028</v>
      </c>
      <c r="G21" s="34">
        <v>2029</v>
      </c>
      <c r="H21" s="35" t="s">
        <v>90</v>
      </c>
      <c r="I21" s="19"/>
    </row>
    <row r="22" spans="1:19" x14ac:dyDescent="0.35">
      <c r="B22" s="17" t="s">
        <v>45</v>
      </c>
      <c r="C22" s="76">
        <v>200000</v>
      </c>
      <c r="D22" s="76">
        <v>900000</v>
      </c>
      <c r="E22" s="76">
        <v>1100000</v>
      </c>
      <c r="F22" s="76">
        <v>1600000</v>
      </c>
      <c r="G22" s="76">
        <v>1900000</v>
      </c>
      <c r="H22" s="78">
        <f>SUM(C22:G22)</f>
        <v>5700000</v>
      </c>
      <c r="I22" s="19"/>
    </row>
    <row r="23" spans="1:19" ht="9" customHeight="1" x14ac:dyDescent="0.35">
      <c r="A23" s="20"/>
      <c r="B23" s="21"/>
      <c r="C23" s="53"/>
      <c r="D23" s="53"/>
      <c r="E23" s="53"/>
      <c r="F23" s="53"/>
      <c r="G23" s="53"/>
      <c r="H23" s="78"/>
      <c r="I23" s="20"/>
      <c r="J23" s="20"/>
      <c r="K23" s="20"/>
    </row>
    <row r="24" spans="1:19" x14ac:dyDescent="0.35">
      <c r="B24" s="75" t="s">
        <v>43</v>
      </c>
      <c r="C24" s="79">
        <f>(($D$18/($D$18+$D$19)/2)*C22)</f>
        <v>25000</v>
      </c>
      <c r="D24" s="79">
        <f>(($D$18/($D$18+$D$19)/2)*D22)</f>
        <v>112500</v>
      </c>
      <c r="E24" s="79">
        <f>(($D$18/($D$18+$D$19)/2)*E22)</f>
        <v>137500</v>
      </c>
      <c r="F24" s="79">
        <f>(($D$18/($D$18+$D$19)/2)*F22)</f>
        <v>200000</v>
      </c>
      <c r="G24" s="79">
        <f>(($D$18/($D$18+$D$19)/2)*G22)</f>
        <v>237500</v>
      </c>
      <c r="H24" s="80">
        <f>SUM(C24:G24)</f>
        <v>712500</v>
      </c>
      <c r="I24" s="19"/>
    </row>
    <row r="25" spans="1:19" x14ac:dyDescent="0.35">
      <c r="B25" s="12" t="s">
        <v>44</v>
      </c>
      <c r="C25" s="77">
        <f>C22-C24</f>
        <v>175000</v>
      </c>
      <c r="D25" s="77">
        <f>D22-D24</f>
        <v>787500</v>
      </c>
      <c r="E25" s="77">
        <f>E22-E24</f>
        <v>962500</v>
      </c>
      <c r="F25" s="77">
        <f>F22-F24</f>
        <v>1400000</v>
      </c>
      <c r="G25" s="77">
        <f>G22-G24</f>
        <v>1662500</v>
      </c>
      <c r="H25" s="81">
        <f>SUM(C25:G25)</f>
        <v>4987500</v>
      </c>
      <c r="I25" s="19"/>
    </row>
    <row r="26" spans="1:19" x14ac:dyDescent="0.35">
      <c r="B26" s="17"/>
      <c r="C26" s="82"/>
      <c r="D26" s="82"/>
      <c r="E26" s="82"/>
      <c r="F26" s="82"/>
      <c r="G26" s="82"/>
      <c r="H26" s="83">
        <f>SUM(H24:H25)</f>
        <v>5700000</v>
      </c>
      <c r="I26" s="19"/>
    </row>
    <row r="27" spans="1:19" x14ac:dyDescent="0.35">
      <c r="B27" s="17"/>
      <c r="C27" s="82"/>
      <c r="D27" s="82"/>
      <c r="E27" s="82"/>
      <c r="F27" s="82"/>
      <c r="G27" s="82"/>
      <c r="H27" s="78"/>
      <c r="I27" s="19"/>
    </row>
    <row r="28" spans="1:19" x14ac:dyDescent="0.35">
      <c r="B28" s="96" t="s">
        <v>79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x14ac:dyDescent="0.35">
      <c r="B29" s="117" t="s">
        <v>96</v>
      </c>
      <c r="C29" s="18"/>
      <c r="D29" s="18"/>
      <c r="E29" s="18"/>
      <c r="F29" s="18"/>
      <c r="G29" s="18"/>
      <c r="H29" s="20"/>
      <c r="I29" s="19"/>
    </row>
    <row r="30" spans="1:19" x14ac:dyDescent="0.35">
      <c r="B30" s="18"/>
      <c r="C30" s="18"/>
      <c r="D30" s="18"/>
      <c r="E30" s="18"/>
      <c r="F30" s="18"/>
      <c r="G30" s="18"/>
      <c r="H30" s="20"/>
      <c r="I30" s="19"/>
    </row>
    <row r="31" spans="1:19" ht="15" thickBot="1" x14ac:dyDescent="0.4">
      <c r="B31" s="91"/>
      <c r="C31" s="27">
        <v>2025</v>
      </c>
      <c r="D31" s="27">
        <v>2026</v>
      </c>
      <c r="E31" s="27">
        <v>2027</v>
      </c>
      <c r="F31" s="27">
        <v>2028</v>
      </c>
      <c r="G31" s="27">
        <v>2029</v>
      </c>
      <c r="H31" s="35" t="s">
        <v>90</v>
      </c>
      <c r="I31" s="19"/>
    </row>
    <row r="32" spans="1:19" x14ac:dyDescent="0.35">
      <c r="B32" s="17" t="s">
        <v>20</v>
      </c>
      <c r="C32" s="54">
        <f>'5yr Deferral BCA'!D43</f>
        <v>56316.574546485244</v>
      </c>
      <c r="D32" s="54">
        <f>'5yr Deferral BCA'!E43</f>
        <v>182784.21201814056</v>
      </c>
      <c r="E32" s="54">
        <f>'5yr Deferral BCA'!F43</f>
        <v>178868.65079365077</v>
      </c>
      <c r="F32" s="54">
        <f>'5yr Deferral BCA'!G43</f>
        <v>174953.08956916092</v>
      </c>
      <c r="G32" s="54">
        <f>'5yr Deferral BCA'!H43</f>
        <v>171037.52834467118</v>
      </c>
      <c r="H32" s="88">
        <f>SUM(C32:G32)</f>
        <v>763960.05527210864</v>
      </c>
      <c r="I32" s="19"/>
    </row>
    <row r="33" spans="2:19" ht="15" thickBot="1" x14ac:dyDescent="0.4">
      <c r="B33" s="92" t="s">
        <v>21</v>
      </c>
      <c r="C33" s="93">
        <f>C24</f>
        <v>25000</v>
      </c>
      <c r="D33" s="93">
        <f>D24</f>
        <v>112500</v>
      </c>
      <c r="E33" s="93">
        <f>E24</f>
        <v>137500</v>
      </c>
      <c r="F33" s="93">
        <f>F24</f>
        <v>200000</v>
      </c>
      <c r="G33" s="93">
        <f>G24</f>
        <v>237500</v>
      </c>
      <c r="H33" s="94">
        <f t="shared" ref="H33" si="0">SUM(C33:G33)</f>
        <v>712500</v>
      </c>
      <c r="I33" s="19"/>
    </row>
    <row r="34" spans="2:19" ht="15" thickTop="1" x14ac:dyDescent="0.35">
      <c r="B34" s="87" t="s">
        <v>81</v>
      </c>
      <c r="C34" s="88">
        <f>C32-C33</f>
        <v>31316.574546485244</v>
      </c>
      <c r="D34" s="88">
        <f t="shared" ref="D34:G34" si="1">D32-D33</f>
        <v>70284.212018140563</v>
      </c>
      <c r="E34" s="88">
        <f t="shared" si="1"/>
        <v>41368.65079365077</v>
      </c>
      <c r="F34" s="88">
        <f t="shared" si="1"/>
        <v>-25046.910430839082</v>
      </c>
      <c r="G34" s="88">
        <f t="shared" si="1"/>
        <v>-66462.471655328816</v>
      </c>
      <c r="H34" s="88">
        <f>SUM(C34:G34)</f>
        <v>51460.055272108671</v>
      </c>
      <c r="I34" s="19"/>
    </row>
    <row r="35" spans="2:19" ht="20.5" customHeight="1" x14ac:dyDescent="0.35">
      <c r="B35" s="18"/>
      <c r="C35" s="89"/>
      <c r="D35" s="89"/>
      <c r="E35" s="89"/>
      <c r="F35" s="89"/>
      <c r="I35" s="19"/>
    </row>
    <row r="36" spans="2:19" x14ac:dyDescent="0.35">
      <c r="B36" s="18"/>
      <c r="C36" s="95"/>
      <c r="D36" s="89"/>
      <c r="E36" s="89"/>
      <c r="F36" s="89"/>
      <c r="G36" s="90"/>
      <c r="H36" s="88"/>
      <c r="I36" s="19"/>
    </row>
    <row r="37" spans="2:19" x14ac:dyDescent="0.35">
      <c r="B37" s="8" t="s">
        <v>38</v>
      </c>
      <c r="C37" s="148" t="s">
        <v>92</v>
      </c>
      <c r="D37" s="149">
        <f>'5yr Deferral BCA'!C55</f>
        <v>2423563.3985846802</v>
      </c>
      <c r="E37" s="89"/>
      <c r="F37" s="89"/>
      <c r="G37" s="90"/>
      <c r="H37" s="88"/>
      <c r="I37" s="19"/>
    </row>
    <row r="38" spans="2:19" x14ac:dyDescent="0.35">
      <c r="B38" s="8" t="s">
        <v>39</v>
      </c>
      <c r="C38" s="148" t="s">
        <v>92</v>
      </c>
      <c r="D38" s="149">
        <f>'5yr Deferral BCA'!C56</f>
        <v>1796744.0038745035</v>
      </c>
      <c r="E38" s="89"/>
      <c r="F38" s="89"/>
      <c r="G38" s="90"/>
      <c r="H38" s="88"/>
      <c r="I38" s="19"/>
    </row>
    <row r="39" spans="2:19" ht="15" thickBot="1" x14ac:dyDescent="0.4">
      <c r="B39" s="8" t="s">
        <v>40</v>
      </c>
      <c r="C39" s="148" t="s">
        <v>90</v>
      </c>
      <c r="D39" s="150">
        <f>'5yr Deferral BCA'!C57</f>
        <v>571748.49378471484</v>
      </c>
      <c r="E39" s="89"/>
      <c r="F39" s="89"/>
      <c r="G39" s="90"/>
      <c r="H39" s="88"/>
      <c r="I39" s="19"/>
    </row>
    <row r="40" spans="2:19" ht="15" thickTop="1" x14ac:dyDescent="0.35">
      <c r="B40" s="90" t="s">
        <v>34</v>
      </c>
      <c r="C40" s="148" t="s">
        <v>92</v>
      </c>
      <c r="D40" s="151">
        <f>D37-D38-D39</f>
        <v>55070.900925461785</v>
      </c>
      <c r="E40" s="89"/>
      <c r="F40" s="89"/>
      <c r="G40" s="90"/>
      <c r="H40" s="88"/>
      <c r="I40" s="19"/>
    </row>
    <row r="41" spans="2:19" x14ac:dyDescent="0.35">
      <c r="B41" s="87" t="s">
        <v>24</v>
      </c>
      <c r="C41" s="148" t="s">
        <v>92</v>
      </c>
      <c r="D41" s="152">
        <f>D40/2</f>
        <v>27535.450462730892</v>
      </c>
      <c r="E41" s="89"/>
      <c r="F41" s="89"/>
      <c r="G41" s="89"/>
      <c r="H41" s="89"/>
      <c r="I41" s="19"/>
    </row>
    <row r="42" spans="2:19" x14ac:dyDescent="0.35">
      <c r="B42" s="87"/>
      <c r="C42" s="151"/>
      <c r="D42" s="78"/>
      <c r="E42" s="89"/>
      <c r="F42" s="89"/>
      <c r="G42" s="89"/>
      <c r="H42" s="89"/>
      <c r="I42" s="19"/>
    </row>
    <row r="43" spans="2:19" x14ac:dyDescent="0.35">
      <c r="B43" s="87" t="s">
        <v>26</v>
      </c>
      <c r="C43" s="66" t="s">
        <v>91</v>
      </c>
      <c r="D43" s="151">
        <f>'5yr Deferral BCA'!C62</f>
        <v>255896.72959744488</v>
      </c>
      <c r="E43" s="89"/>
      <c r="F43" s="89"/>
      <c r="G43" s="89"/>
      <c r="H43" s="89"/>
      <c r="I43" s="19"/>
    </row>
    <row r="44" spans="2:19" x14ac:dyDescent="0.35">
      <c r="B44" s="19"/>
      <c r="C44" s="19"/>
      <c r="D44" s="19"/>
      <c r="E44" s="19"/>
      <c r="F44" s="19"/>
      <c r="G44" s="19"/>
      <c r="H44" s="19"/>
      <c r="I44" s="19"/>
    </row>
    <row r="45" spans="2:19" x14ac:dyDescent="0.35">
      <c r="B45" s="96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</row>
    <row r="46" spans="2:19" ht="15.65" customHeight="1" x14ac:dyDescent="0.35">
      <c r="B46" s="117" t="s">
        <v>97</v>
      </c>
      <c r="C46" s="20"/>
      <c r="D46" s="20"/>
      <c r="E46" s="19"/>
      <c r="F46" s="19"/>
      <c r="G46" s="19"/>
      <c r="H46" s="19"/>
      <c r="I46" s="19"/>
    </row>
    <row r="47" spans="2:19" ht="15.65" customHeight="1" x14ac:dyDescent="0.35">
      <c r="B47" s="117"/>
      <c r="C47" s="20"/>
      <c r="D47" s="20"/>
      <c r="E47" s="19"/>
      <c r="F47" s="19"/>
      <c r="G47" s="19"/>
      <c r="H47" s="19"/>
      <c r="I47" s="19"/>
    </row>
    <row r="48" spans="2:19" x14ac:dyDescent="0.35">
      <c r="B48" s="21" t="s">
        <v>22</v>
      </c>
      <c r="C48" s="66" t="s">
        <v>92</v>
      </c>
      <c r="D48" s="98">
        <f>'Avoidance BCA'!C60</f>
        <v>21032179.591836739</v>
      </c>
      <c r="I48" s="19"/>
    </row>
    <row r="49" spans="2:19" ht="15" thickBot="1" x14ac:dyDescent="0.4">
      <c r="B49" s="21" t="s">
        <v>33</v>
      </c>
      <c r="C49" s="66" t="s">
        <v>90</v>
      </c>
      <c r="D49" s="101">
        <f>SUM(C25:G25)</f>
        <v>4987500</v>
      </c>
      <c r="I49" s="19"/>
    </row>
    <row r="50" spans="2:19" ht="15" thickTop="1" x14ac:dyDescent="0.35">
      <c r="B50" s="99" t="s">
        <v>81</v>
      </c>
      <c r="C50" s="110" t="s">
        <v>92</v>
      </c>
      <c r="D50" s="100">
        <f>D48-D49</f>
        <v>16044679.591836739</v>
      </c>
      <c r="I50" s="19"/>
    </row>
    <row r="51" spans="2:19" x14ac:dyDescent="0.35">
      <c r="B51" s="21"/>
      <c r="C51" s="66"/>
      <c r="D51" s="98"/>
      <c r="I51" s="19"/>
    </row>
    <row r="52" spans="2:19" x14ac:dyDescent="0.35">
      <c r="B52" s="99" t="s">
        <v>34</v>
      </c>
      <c r="C52" s="66" t="s">
        <v>91</v>
      </c>
      <c r="D52" s="100">
        <f>'Avoidance BCA'!C51</f>
        <v>3268450.7392610414</v>
      </c>
      <c r="I52" s="19"/>
    </row>
    <row r="53" spans="2:19" x14ac:dyDescent="0.35">
      <c r="B53" s="99" t="s">
        <v>25</v>
      </c>
      <c r="C53" s="66" t="s">
        <v>91</v>
      </c>
      <c r="D53" s="100">
        <f>D52/2</f>
        <v>1634225.3696305207</v>
      </c>
      <c r="I53" s="19"/>
    </row>
    <row r="54" spans="2:19" x14ac:dyDescent="0.35">
      <c r="B54" s="99" t="s">
        <v>23</v>
      </c>
      <c r="C54" s="66" t="s">
        <v>91</v>
      </c>
      <c r="D54" s="100">
        <f>'Avoidance BCA'!C53</f>
        <v>2968232.7297321851</v>
      </c>
      <c r="I54" s="19"/>
    </row>
    <row r="55" spans="2:19" x14ac:dyDescent="0.35">
      <c r="B55" s="19"/>
      <c r="C55" s="19"/>
      <c r="D55" s="19"/>
      <c r="I55" s="19"/>
    </row>
    <row r="56" spans="2:19" x14ac:dyDescent="0.35">
      <c r="B56" s="109" t="s">
        <v>87</v>
      </c>
      <c r="C56" s="106"/>
      <c r="D56" s="106"/>
      <c r="E56" s="106"/>
      <c r="F56" s="106"/>
      <c r="G56" s="106"/>
      <c r="H56" s="107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</row>
    <row r="58" spans="2:19" ht="15" thickBot="1" x14ac:dyDescent="0.4">
      <c r="B58" s="65"/>
      <c r="C58" s="65">
        <v>2025</v>
      </c>
      <c r="D58" s="65">
        <v>2026</v>
      </c>
      <c r="E58" s="65">
        <v>2027</v>
      </c>
      <c r="F58" s="65">
        <v>2028</v>
      </c>
      <c r="G58" s="65">
        <v>2029</v>
      </c>
      <c r="H58" s="65">
        <v>2030</v>
      </c>
      <c r="I58" s="65">
        <v>2031</v>
      </c>
      <c r="J58" s="65">
        <v>2032</v>
      </c>
      <c r="K58" s="65">
        <v>2033</v>
      </c>
      <c r="L58" s="65">
        <v>2034</v>
      </c>
      <c r="M58" s="65" t="s">
        <v>89</v>
      </c>
      <c r="N58" s="66"/>
      <c r="O58" s="65" t="s">
        <v>88</v>
      </c>
      <c r="P58" s="66"/>
      <c r="Q58" s="65" t="s">
        <v>51</v>
      </c>
    </row>
    <row r="59" spans="2:19" x14ac:dyDescent="0.35">
      <c r="B59" s="59" t="s">
        <v>52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f>Q59/4</f>
        <v>415440.20502331288</v>
      </c>
      <c r="J59" s="49">
        <f t="shared" ref="J59:L61" si="2">I59</f>
        <v>415440.20502331288</v>
      </c>
      <c r="K59" s="49">
        <f t="shared" si="2"/>
        <v>415440.20502331288</v>
      </c>
      <c r="L59" s="49">
        <f t="shared" si="2"/>
        <v>415440.20502331288</v>
      </c>
      <c r="M59" s="67">
        <f>SUM(C59:L59)</f>
        <v>1661760.8200932515</v>
      </c>
      <c r="O59" s="67">
        <f>NPV($C$14,C59:L59)</f>
        <v>1001369.7800240263</v>
      </c>
      <c r="Q59" s="5">
        <f>D53+D41</f>
        <v>1661760.8200932515</v>
      </c>
    </row>
    <row r="60" spans="2:19" x14ac:dyDescent="0.35">
      <c r="B60" s="59" t="s">
        <v>53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f>Q60/4</f>
        <v>806032.36483240756</v>
      </c>
      <c r="J60" s="49">
        <f t="shared" si="2"/>
        <v>806032.36483240756</v>
      </c>
      <c r="K60" s="49">
        <f t="shared" si="2"/>
        <v>806032.36483240756</v>
      </c>
      <c r="L60" s="49">
        <f t="shared" si="2"/>
        <v>806032.36483240756</v>
      </c>
      <c r="M60" s="67">
        <f>SUM(C60:L60)</f>
        <v>3224129.4593296302</v>
      </c>
      <c r="O60" s="67">
        <f>NPV($C$14,C60:L60)</f>
        <v>1942846.2678983614</v>
      </c>
      <c r="Q60" s="5">
        <f>D54+D43</f>
        <v>3224129.4593296302</v>
      </c>
    </row>
    <row r="61" spans="2:19" x14ac:dyDescent="0.35">
      <c r="B61" s="59" t="s">
        <v>54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f>Q61/4</f>
        <v>813189.75</v>
      </c>
      <c r="J61" s="49">
        <f t="shared" si="2"/>
        <v>813189.75</v>
      </c>
      <c r="K61" s="49">
        <f t="shared" si="2"/>
        <v>813189.75</v>
      </c>
      <c r="L61" s="49">
        <f t="shared" si="2"/>
        <v>813189.75</v>
      </c>
      <c r="M61" s="67">
        <f>SUM(C61:L61)</f>
        <v>3252759</v>
      </c>
      <c r="O61" s="67">
        <f>NPV($C$14,C61:L61)</f>
        <v>1960098.3035081967</v>
      </c>
      <c r="Q61" s="60">
        <v>3252759</v>
      </c>
    </row>
    <row r="62" spans="2:19" x14ac:dyDescent="0.35">
      <c r="B62" s="17"/>
      <c r="C62" s="82"/>
      <c r="D62" s="82"/>
      <c r="E62" s="82"/>
      <c r="F62" s="82"/>
      <c r="G62" s="82"/>
      <c r="H62" s="78"/>
      <c r="I62" s="19"/>
    </row>
    <row r="63" spans="2:19" ht="15" thickBot="1" x14ac:dyDescent="0.4">
      <c r="B63" s="27" t="s">
        <v>32</v>
      </c>
      <c r="C63" s="27"/>
      <c r="D63" s="27"/>
      <c r="E63" s="27"/>
      <c r="F63" s="27"/>
      <c r="G63" s="27"/>
      <c r="H63" s="62"/>
      <c r="I63" s="19"/>
    </row>
    <row r="64" spans="2:19" hidden="1" outlineLevel="1" x14ac:dyDescent="0.35">
      <c r="B64" t="s">
        <v>82</v>
      </c>
      <c r="I64" s="19"/>
    </row>
    <row r="65" spans="2:19" hidden="1" outlineLevel="1" x14ac:dyDescent="0.35">
      <c r="B65" t="s">
        <v>83</v>
      </c>
      <c r="I65" s="19"/>
    </row>
    <row r="66" spans="2:19" hidden="1" outlineLevel="1" x14ac:dyDescent="0.35">
      <c r="B66" s="18" t="s">
        <v>84</v>
      </c>
      <c r="C66" s="18"/>
      <c r="D66" s="18"/>
      <c r="E66" s="18"/>
      <c r="F66" s="18"/>
      <c r="G66" s="18"/>
      <c r="I66" s="19"/>
    </row>
    <row r="67" spans="2:19" hidden="1" outlineLevel="1" x14ac:dyDescent="0.35">
      <c r="B67" s="2" t="s">
        <v>85</v>
      </c>
      <c r="C67" s="2"/>
      <c r="D67" s="2"/>
      <c r="E67" s="2"/>
      <c r="F67" s="2"/>
      <c r="G67" s="2"/>
      <c r="I67" s="19"/>
    </row>
    <row r="68" spans="2:19" collapsed="1" x14ac:dyDescent="0.35">
      <c r="B68" s="105" t="s">
        <v>86</v>
      </c>
      <c r="C68" s="18"/>
      <c r="D68" s="18"/>
      <c r="E68" s="18"/>
      <c r="F68" s="18"/>
      <c r="G68" s="18"/>
      <c r="I68" s="19"/>
    </row>
    <row r="69" spans="2:19" x14ac:dyDescent="0.35">
      <c r="B69" s="17"/>
      <c r="C69" s="82"/>
      <c r="D69" s="82"/>
      <c r="E69" s="82"/>
      <c r="F69" s="82"/>
      <c r="G69" s="82"/>
      <c r="H69" s="78"/>
      <c r="I69" s="19"/>
    </row>
    <row r="70" spans="2:19" x14ac:dyDescent="0.35">
      <c r="B70" s="96" t="s">
        <v>27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</row>
    <row r="71" spans="2:19" x14ac:dyDescent="0.35">
      <c r="B71" s="47"/>
      <c r="C71" s="19"/>
      <c r="D71" s="19"/>
      <c r="E71" s="19"/>
      <c r="F71" s="19"/>
      <c r="G71" s="19"/>
      <c r="H71" s="19"/>
      <c r="I71" s="19"/>
    </row>
    <row r="72" spans="2:19" x14ac:dyDescent="0.35">
      <c r="B72" s="21" t="s">
        <v>98</v>
      </c>
      <c r="C72" s="66"/>
      <c r="D72" s="78">
        <f>H34+D50</f>
        <v>16096139.647108847</v>
      </c>
      <c r="F72" s="18"/>
      <c r="I72" s="19"/>
    </row>
    <row r="73" spans="2:19" x14ac:dyDescent="0.35">
      <c r="B73" s="99" t="s">
        <v>28</v>
      </c>
      <c r="D73" s="102">
        <f>D40+D52</f>
        <v>3323521.6401865031</v>
      </c>
      <c r="F73" s="20"/>
      <c r="G73" s="19"/>
      <c r="H73" s="19"/>
      <c r="I73" s="19"/>
    </row>
    <row r="74" spans="2:19" x14ac:dyDescent="0.35">
      <c r="B74" s="20"/>
      <c r="D74" s="20"/>
      <c r="E74" s="78"/>
      <c r="F74" s="20"/>
      <c r="G74" s="19"/>
      <c r="H74" s="19"/>
      <c r="I74" s="19"/>
    </row>
    <row r="75" spans="2:19" ht="16.5" x14ac:dyDescent="0.35">
      <c r="B75" s="99" t="s">
        <v>55</v>
      </c>
      <c r="D75" s="103">
        <f>O59</f>
        <v>1001369.7800240263</v>
      </c>
      <c r="F75" s="20"/>
      <c r="G75" s="19"/>
      <c r="H75" s="19"/>
      <c r="I75" s="19"/>
    </row>
    <row r="76" spans="2:19" ht="16.5" x14ac:dyDescent="0.35">
      <c r="B76" s="99" t="s">
        <v>56</v>
      </c>
      <c r="D76" s="103">
        <f>O60</f>
        <v>1942846.2678983614</v>
      </c>
      <c r="F76" s="20"/>
      <c r="G76" s="19"/>
      <c r="H76" s="19"/>
      <c r="I76" s="19"/>
    </row>
    <row r="77" spans="2:19" x14ac:dyDescent="0.35">
      <c r="B77" s="20"/>
      <c r="D77" s="78"/>
      <c r="F77" s="20"/>
      <c r="G77" s="19"/>
      <c r="H77" s="19"/>
      <c r="I77" s="19"/>
    </row>
    <row r="78" spans="2:19" x14ac:dyDescent="0.35">
      <c r="B78" s="99" t="s">
        <v>29</v>
      </c>
      <c r="D78" s="78"/>
      <c r="F78" s="20"/>
      <c r="G78" s="19"/>
      <c r="H78" s="19"/>
      <c r="I78" s="19"/>
    </row>
    <row r="79" spans="2:19" x14ac:dyDescent="0.35">
      <c r="B79" s="21" t="s">
        <v>30</v>
      </c>
      <c r="D79" s="78">
        <f>D73-D75</f>
        <v>2322151.860162477</v>
      </c>
      <c r="F79" s="20"/>
      <c r="G79" s="19"/>
      <c r="H79" s="19"/>
      <c r="I79" s="19"/>
    </row>
    <row r="80" spans="2:19" x14ac:dyDescent="0.35">
      <c r="B80" s="21" t="s">
        <v>31</v>
      </c>
      <c r="D80" s="78">
        <f>D73-D76</f>
        <v>1380675.3722881416</v>
      </c>
      <c r="F80" s="20"/>
      <c r="G80" s="19"/>
      <c r="H80" s="19"/>
      <c r="I80" s="19"/>
    </row>
    <row r="81" spans="2:9" x14ac:dyDescent="0.35">
      <c r="B81" s="20"/>
      <c r="D81" s="20"/>
      <c r="E81" s="20"/>
      <c r="F81" s="20"/>
      <c r="G81" s="19"/>
      <c r="H81" s="19"/>
      <c r="I81" s="19"/>
    </row>
    <row r="82" spans="2:9" x14ac:dyDescent="0.35">
      <c r="B82" s="19" t="s">
        <v>93</v>
      </c>
      <c r="C82" s="19"/>
      <c r="D82" s="19"/>
      <c r="E82" s="19"/>
      <c r="F82" s="19"/>
      <c r="G82" s="19"/>
      <c r="H82" s="19"/>
      <c r="I82" s="19"/>
    </row>
    <row r="83" spans="2:9" ht="12" customHeight="1" x14ac:dyDescent="0.35">
      <c r="B83" s="111" t="s">
        <v>57</v>
      </c>
    </row>
    <row r="84" spans="2:9" x14ac:dyDescent="0.35">
      <c r="B84" s="8"/>
      <c r="C84" s="11"/>
      <c r="D84" s="11"/>
      <c r="E84" s="11"/>
      <c r="F84" s="11"/>
      <c r="G84" s="11"/>
      <c r="H84" s="11"/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F42D-7E60-4E8E-8375-40547A83E878}">
  <dimension ref="A1:BG66"/>
  <sheetViews>
    <sheetView showGridLines="0" tabSelected="1" zoomScale="70" zoomScaleNormal="70" workbookViewId="0">
      <pane xSplit="3" ySplit="21" topLeftCell="D22" activePane="bottomRight" state="frozen"/>
      <selection activeCell="AZ1" sqref="D1:AZ1048576"/>
      <selection pane="topRight" activeCell="AZ1" sqref="D1:AZ1048576"/>
      <selection pane="bottomLeft" activeCell="AZ1" sqref="D1:AZ1048576"/>
      <selection pane="bottomRight" activeCell="F5" sqref="F5"/>
    </sheetView>
  </sheetViews>
  <sheetFormatPr defaultRowHeight="14.5" outlineLevelRow="1" x14ac:dyDescent="0.35"/>
  <cols>
    <col min="1" max="1" width="4.54296875" customWidth="1"/>
    <col min="2" max="2" width="38.453125" customWidth="1"/>
    <col min="3" max="3" width="14.1796875" customWidth="1"/>
    <col min="4" max="52" width="12" customWidth="1"/>
    <col min="53" max="57" width="9.81640625" bestFit="1" customWidth="1"/>
    <col min="58" max="58" width="11.7265625" bestFit="1" customWidth="1"/>
    <col min="59" max="77" width="13" customWidth="1"/>
  </cols>
  <sheetData>
    <row r="1" spans="2:3" ht="12" customHeight="1" x14ac:dyDescent="0.35"/>
    <row r="2" spans="2:3" x14ac:dyDescent="0.35">
      <c r="B2" s="45" t="s">
        <v>66</v>
      </c>
    </row>
    <row r="3" spans="2:3" x14ac:dyDescent="0.35">
      <c r="B3" s="44" t="s">
        <v>67</v>
      </c>
    </row>
    <row r="4" spans="2:3" ht="10.5" customHeight="1" x14ac:dyDescent="0.35"/>
    <row r="5" spans="2:3" ht="15" thickBot="1" x14ac:dyDescent="0.4">
      <c r="B5" s="27" t="s">
        <v>60</v>
      </c>
      <c r="C5" s="37"/>
    </row>
    <row r="6" spans="2:3" hidden="1" outlineLevel="1" x14ac:dyDescent="0.35">
      <c r="B6" t="s">
        <v>6</v>
      </c>
      <c r="C6" s="39">
        <f>'Assumptions and Summary'!C5</f>
        <v>9.3600000000000003E-2</v>
      </c>
    </row>
    <row r="7" spans="2:3" hidden="1" outlineLevel="1" x14ac:dyDescent="0.35">
      <c r="B7" t="s">
        <v>63</v>
      </c>
      <c r="C7" s="46">
        <f>'Assumptions and Summary'!C6</f>
        <v>0.4</v>
      </c>
    </row>
    <row r="8" spans="2:3" hidden="1" outlineLevel="1" x14ac:dyDescent="0.35">
      <c r="B8" s="18" t="s">
        <v>3</v>
      </c>
      <c r="C8" s="39">
        <f>'Assumptions and Summary'!C7</f>
        <v>4.0399999999999998E-2</v>
      </c>
    </row>
    <row r="9" spans="2:3" hidden="1" outlineLevel="1" x14ac:dyDescent="0.35">
      <c r="B9" s="18" t="s">
        <v>64</v>
      </c>
      <c r="C9" s="46">
        <f>'Assumptions and Summary'!C8</f>
        <v>0.6</v>
      </c>
    </row>
    <row r="10" spans="2:3" hidden="1" outlineLevel="1" x14ac:dyDescent="0.35">
      <c r="B10" t="s">
        <v>4</v>
      </c>
      <c r="C10" s="38">
        <f>'Assumptions and Summary'!C9</f>
        <v>48</v>
      </c>
    </row>
    <row r="11" spans="2:3" hidden="1" outlineLevel="1" x14ac:dyDescent="0.35">
      <c r="B11" s="20" t="s">
        <v>5</v>
      </c>
      <c r="C11" s="144">
        <f>'Assumptions and Summary'!C10</f>
        <v>2.0833333333333332E-2</v>
      </c>
    </row>
    <row r="12" spans="2:3" hidden="1" outlineLevel="1" x14ac:dyDescent="0.35">
      <c r="B12" s="20" t="s">
        <v>131</v>
      </c>
      <c r="C12" s="144">
        <f>'Assumptions and Summary'!C11</f>
        <v>0.08</v>
      </c>
    </row>
    <row r="13" spans="2:3" hidden="1" outlineLevel="1" x14ac:dyDescent="0.35">
      <c r="B13" s="2" t="s">
        <v>130</v>
      </c>
      <c r="C13" s="30">
        <f>'Assumptions and Summary'!C12</f>
        <v>0.26500000000000001</v>
      </c>
    </row>
    <row r="14" spans="2:3" collapsed="1" x14ac:dyDescent="0.35">
      <c r="C14" s="39"/>
    </row>
    <row r="15" spans="2:3" ht="15" thickBot="1" x14ac:dyDescent="0.4">
      <c r="B15" s="27" t="s">
        <v>61</v>
      </c>
      <c r="C15" s="40"/>
    </row>
    <row r="16" spans="2:3" hidden="1" outlineLevel="1" x14ac:dyDescent="0.35">
      <c r="B16" s="25" t="s">
        <v>59</v>
      </c>
      <c r="C16" s="22">
        <f>'Assumptions and Summary'!D17</f>
        <v>10000000</v>
      </c>
    </row>
    <row r="17" spans="1:58" hidden="1" outlineLevel="1" x14ac:dyDescent="0.35">
      <c r="B17" s="25" t="s">
        <v>18</v>
      </c>
      <c r="C17" s="22">
        <f>'Assumptions and Summary'!D18</f>
        <v>2500000</v>
      </c>
    </row>
    <row r="18" spans="1:58" hidden="1" outlineLevel="1" x14ac:dyDescent="0.35">
      <c r="B18" s="32" t="s">
        <v>19</v>
      </c>
      <c r="C18" s="33">
        <f>'Assumptions and Summary'!D19</f>
        <v>7500000</v>
      </c>
    </row>
    <row r="19" spans="1:58" collapsed="1" x14ac:dyDescent="0.35">
      <c r="B19" s="25"/>
      <c r="C19" s="22"/>
    </row>
    <row r="20" spans="1:58" s="16" customFormat="1" x14ac:dyDescent="0.35">
      <c r="A20"/>
      <c r="B20"/>
      <c r="C20" s="17" t="s">
        <v>68</v>
      </c>
      <c r="D20" s="68">
        <v>1</v>
      </c>
      <c r="E20" s="69">
        <f>D20+1</f>
        <v>2</v>
      </c>
      <c r="F20" s="69">
        <f t="shared" ref="F20:BE20" si="0">E20+1</f>
        <v>3</v>
      </c>
      <c r="G20" s="69">
        <f t="shared" si="0"/>
        <v>4</v>
      </c>
      <c r="H20" s="69">
        <f t="shared" si="0"/>
        <v>5</v>
      </c>
      <c r="I20" s="69">
        <f t="shared" si="0"/>
        <v>6</v>
      </c>
      <c r="J20" s="69">
        <f t="shared" si="0"/>
        <v>7</v>
      </c>
      <c r="K20" s="69">
        <f t="shared" si="0"/>
        <v>8</v>
      </c>
      <c r="L20" s="69">
        <f t="shared" si="0"/>
        <v>9</v>
      </c>
      <c r="M20" s="69">
        <f t="shared" si="0"/>
        <v>10</v>
      </c>
      <c r="N20" s="69">
        <f t="shared" si="0"/>
        <v>11</v>
      </c>
      <c r="O20" s="69">
        <f t="shared" si="0"/>
        <v>12</v>
      </c>
      <c r="P20" s="69">
        <f t="shared" si="0"/>
        <v>13</v>
      </c>
      <c r="Q20" s="69">
        <f t="shared" si="0"/>
        <v>14</v>
      </c>
      <c r="R20" s="69">
        <f t="shared" si="0"/>
        <v>15</v>
      </c>
      <c r="S20" s="69">
        <f t="shared" si="0"/>
        <v>16</v>
      </c>
      <c r="T20" s="69">
        <f t="shared" si="0"/>
        <v>17</v>
      </c>
      <c r="U20" s="69">
        <f t="shared" si="0"/>
        <v>18</v>
      </c>
      <c r="V20" s="69">
        <f t="shared" si="0"/>
        <v>19</v>
      </c>
      <c r="W20" s="69">
        <f t="shared" si="0"/>
        <v>20</v>
      </c>
      <c r="X20" s="69">
        <f t="shared" si="0"/>
        <v>21</v>
      </c>
      <c r="Y20" s="69">
        <f t="shared" si="0"/>
        <v>22</v>
      </c>
      <c r="Z20" s="69">
        <f t="shared" si="0"/>
        <v>23</v>
      </c>
      <c r="AA20" s="69">
        <f t="shared" si="0"/>
        <v>24</v>
      </c>
      <c r="AB20" s="69">
        <f t="shared" si="0"/>
        <v>25</v>
      </c>
      <c r="AC20" s="69">
        <f t="shared" si="0"/>
        <v>26</v>
      </c>
      <c r="AD20" s="69">
        <f t="shared" si="0"/>
        <v>27</v>
      </c>
      <c r="AE20" s="69">
        <f t="shared" si="0"/>
        <v>28</v>
      </c>
      <c r="AF20" s="69">
        <f t="shared" si="0"/>
        <v>29</v>
      </c>
      <c r="AG20" s="69">
        <f t="shared" si="0"/>
        <v>30</v>
      </c>
      <c r="AH20" s="69">
        <f t="shared" si="0"/>
        <v>31</v>
      </c>
      <c r="AI20" s="69">
        <f t="shared" si="0"/>
        <v>32</v>
      </c>
      <c r="AJ20" s="69">
        <f t="shared" si="0"/>
        <v>33</v>
      </c>
      <c r="AK20" s="69">
        <f t="shared" si="0"/>
        <v>34</v>
      </c>
      <c r="AL20" s="69">
        <f t="shared" si="0"/>
        <v>35</v>
      </c>
      <c r="AM20" s="69">
        <f t="shared" si="0"/>
        <v>36</v>
      </c>
      <c r="AN20" s="69">
        <f t="shared" si="0"/>
        <v>37</v>
      </c>
      <c r="AO20" s="69">
        <f t="shared" si="0"/>
        <v>38</v>
      </c>
      <c r="AP20" s="69">
        <f t="shared" si="0"/>
        <v>39</v>
      </c>
      <c r="AQ20" s="69">
        <f t="shared" si="0"/>
        <v>40</v>
      </c>
      <c r="AR20" s="69">
        <f t="shared" si="0"/>
        <v>41</v>
      </c>
      <c r="AS20" s="69">
        <f t="shared" si="0"/>
        <v>42</v>
      </c>
      <c r="AT20" s="69">
        <f t="shared" si="0"/>
        <v>43</v>
      </c>
      <c r="AU20" s="69">
        <f t="shared" si="0"/>
        <v>44</v>
      </c>
      <c r="AV20" s="69">
        <f t="shared" si="0"/>
        <v>45</v>
      </c>
      <c r="AW20" s="69">
        <f t="shared" si="0"/>
        <v>46</v>
      </c>
      <c r="AX20" s="69">
        <f t="shared" si="0"/>
        <v>47</v>
      </c>
      <c r="AY20" s="69">
        <f t="shared" si="0"/>
        <v>48</v>
      </c>
      <c r="AZ20" s="69">
        <f t="shared" si="0"/>
        <v>49</v>
      </c>
      <c r="BA20" s="69">
        <f t="shared" si="0"/>
        <v>50</v>
      </c>
      <c r="BB20" s="69">
        <f t="shared" si="0"/>
        <v>51</v>
      </c>
      <c r="BC20" s="69">
        <f t="shared" si="0"/>
        <v>52</v>
      </c>
      <c r="BD20" s="69">
        <f t="shared" si="0"/>
        <v>53</v>
      </c>
      <c r="BE20" s="69">
        <f t="shared" si="0"/>
        <v>54</v>
      </c>
    </row>
    <row r="21" spans="1:58" s="16" customFormat="1" x14ac:dyDescent="0.35">
      <c r="A21"/>
      <c r="B21" s="42"/>
      <c r="C21" s="42"/>
      <c r="D21" s="70">
        <v>2025</v>
      </c>
      <c r="E21" s="70">
        <v>2026</v>
      </c>
      <c r="F21" s="70">
        <v>2027</v>
      </c>
      <c r="G21" s="70">
        <v>2028</v>
      </c>
      <c r="H21" s="70">
        <v>2029</v>
      </c>
      <c r="I21" s="70">
        <v>2030</v>
      </c>
      <c r="J21" s="70">
        <v>2031</v>
      </c>
      <c r="K21" s="70">
        <v>2032</v>
      </c>
      <c r="L21" s="70">
        <v>2033</v>
      </c>
      <c r="M21" s="70">
        <v>2034</v>
      </c>
      <c r="N21" s="70">
        <v>2035</v>
      </c>
      <c r="O21" s="70">
        <v>2036</v>
      </c>
      <c r="P21" s="70">
        <v>2037</v>
      </c>
      <c r="Q21" s="70">
        <v>2038</v>
      </c>
      <c r="R21" s="70">
        <v>2039</v>
      </c>
      <c r="S21" s="70">
        <v>2040</v>
      </c>
      <c r="T21" s="70">
        <v>2041</v>
      </c>
      <c r="U21" s="70">
        <v>2042</v>
      </c>
      <c r="V21" s="70">
        <v>2043</v>
      </c>
      <c r="W21" s="70">
        <v>2044</v>
      </c>
      <c r="X21" s="70">
        <v>2045</v>
      </c>
      <c r="Y21" s="70">
        <v>2046</v>
      </c>
      <c r="Z21" s="70">
        <v>2047</v>
      </c>
      <c r="AA21" s="70">
        <v>2048</v>
      </c>
      <c r="AB21" s="70">
        <v>2049</v>
      </c>
      <c r="AC21" s="70">
        <v>2050</v>
      </c>
      <c r="AD21" s="70">
        <v>2051</v>
      </c>
      <c r="AE21" s="70">
        <v>2052</v>
      </c>
      <c r="AF21" s="70">
        <v>2053</v>
      </c>
      <c r="AG21" s="70">
        <v>2054</v>
      </c>
      <c r="AH21" s="70">
        <v>2055</v>
      </c>
      <c r="AI21" s="70">
        <v>2056</v>
      </c>
      <c r="AJ21" s="70">
        <v>2057</v>
      </c>
      <c r="AK21" s="70">
        <v>2058</v>
      </c>
      <c r="AL21" s="70">
        <v>2059</v>
      </c>
      <c r="AM21" s="70">
        <v>2060</v>
      </c>
      <c r="AN21" s="70">
        <v>2061</v>
      </c>
      <c r="AO21" s="70">
        <v>2062</v>
      </c>
      <c r="AP21" s="70">
        <v>2063</v>
      </c>
      <c r="AQ21" s="70">
        <v>2064</v>
      </c>
      <c r="AR21" s="70">
        <v>2065</v>
      </c>
      <c r="AS21" s="70">
        <v>2066</v>
      </c>
      <c r="AT21" s="70">
        <v>2067</v>
      </c>
      <c r="AU21" s="70">
        <v>2068</v>
      </c>
      <c r="AV21" s="70">
        <v>2069</v>
      </c>
      <c r="AW21" s="70">
        <v>2070</v>
      </c>
      <c r="AX21" s="70">
        <v>2071</v>
      </c>
      <c r="AY21" s="70">
        <v>2072</v>
      </c>
      <c r="AZ21" s="70">
        <v>2073</v>
      </c>
      <c r="BA21" s="70">
        <v>2074</v>
      </c>
      <c r="BB21" s="70">
        <v>2075</v>
      </c>
      <c r="BC21" s="70">
        <v>2076</v>
      </c>
      <c r="BD21" s="70">
        <v>2077</v>
      </c>
      <c r="BE21" s="70">
        <v>2078</v>
      </c>
      <c r="BF21" s="71"/>
    </row>
    <row r="23" spans="1:58" x14ac:dyDescent="0.35">
      <c r="B23" s="8" t="s">
        <v>0</v>
      </c>
      <c r="D23" s="73">
        <f>C17</f>
        <v>2500000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7"/>
    </row>
    <row r="24" spans="1:58" x14ac:dyDescent="0.35">
      <c r="B24" s="8" t="s">
        <v>65</v>
      </c>
      <c r="D24" s="48">
        <f>$D$23-SUM($D27:D27)</f>
        <v>2473958.3333333335</v>
      </c>
      <c r="E24" s="48">
        <f>$D$23-SUM($D27:E27)</f>
        <v>2421875</v>
      </c>
      <c r="F24" s="48">
        <f>$D$23-SUM($D27:F27)</f>
        <v>2369791.6666666665</v>
      </c>
      <c r="G24" s="48">
        <f>$D$23-SUM($D27:G27)</f>
        <v>2317708.3333333335</v>
      </c>
      <c r="H24" s="48">
        <f>$D$23-SUM($D27:H27)</f>
        <v>2265625</v>
      </c>
      <c r="I24" s="48">
        <f>$D$23-SUM($D27:I27)</f>
        <v>2213541.6666666665</v>
      </c>
      <c r="J24" s="48">
        <f>$D$23-SUM($D27:J27)</f>
        <v>2161458.3333333335</v>
      </c>
      <c r="K24" s="48">
        <f>$D$23-SUM($D27:K27)</f>
        <v>2109375</v>
      </c>
      <c r="L24" s="48">
        <f>$D$23-SUM($D27:L27)</f>
        <v>2057291.6666666667</v>
      </c>
      <c r="M24" s="48">
        <f>$D$23-SUM($D27:M27)</f>
        <v>2005208.3333333335</v>
      </c>
      <c r="N24" s="48">
        <f>$D$23-SUM($D27:N27)</f>
        <v>1953125</v>
      </c>
      <c r="O24" s="48">
        <f>$D$23-SUM($D27:O27)</f>
        <v>1901041.6666666667</v>
      </c>
      <c r="P24" s="48">
        <f>$D$23-SUM($D27:P27)</f>
        <v>1848958.3333333335</v>
      </c>
      <c r="Q24" s="48">
        <f>$D$23-SUM($D27:Q27)</f>
        <v>1796875</v>
      </c>
      <c r="R24" s="48">
        <f>$D$23-SUM($D27:R27)</f>
        <v>1744791.6666666665</v>
      </c>
      <c r="S24" s="48">
        <f>$D$23-SUM($D27:S27)</f>
        <v>1692708.3333333333</v>
      </c>
      <c r="T24" s="48">
        <f>$D$23-SUM($D27:T27)</f>
        <v>1640625</v>
      </c>
      <c r="U24" s="48">
        <f>$D$23-SUM($D27:U27)</f>
        <v>1588541.6666666665</v>
      </c>
      <c r="V24" s="48">
        <f>$D$23-SUM($D27:V27)</f>
        <v>1536458.333333333</v>
      </c>
      <c r="W24" s="48">
        <f>$D$23-SUM($D27:W27)</f>
        <v>1484374.9999999998</v>
      </c>
      <c r="X24" s="48">
        <f>$D$23-SUM($D27:X27)</f>
        <v>1432291.6666666665</v>
      </c>
      <c r="Y24" s="48">
        <f>$D$23-SUM($D27:Y27)</f>
        <v>1380208.3333333333</v>
      </c>
      <c r="Z24" s="48">
        <f>$D$23-SUM($D27:Z27)</f>
        <v>1328125</v>
      </c>
      <c r="AA24" s="48">
        <f>$D$23-SUM($D27:AA27)</f>
        <v>1276041.6666666667</v>
      </c>
      <c r="AB24" s="48">
        <f>$D$23-SUM($D27:AB27)</f>
        <v>1223958.3333333335</v>
      </c>
      <c r="AC24" s="48">
        <f>$D$23-SUM($D27:AC27)</f>
        <v>1171875.0000000002</v>
      </c>
      <c r="AD24" s="48">
        <f>$D$23-SUM($D27:AD27)</f>
        <v>1119791.666666667</v>
      </c>
      <c r="AE24" s="48">
        <f>$D$23-SUM($D27:AE27)</f>
        <v>1067708.3333333337</v>
      </c>
      <c r="AF24" s="48">
        <f>$D$23-SUM($D27:AF27)</f>
        <v>1015625.0000000005</v>
      </c>
      <c r="AG24" s="48">
        <f>$D$23-SUM($D27:AG27)</f>
        <v>963541.66666666721</v>
      </c>
      <c r="AH24" s="48">
        <f>$D$23-SUM($D27:AH27)</f>
        <v>911458.33333333395</v>
      </c>
      <c r="AI24" s="48">
        <f>$D$23-SUM($D27:AI27)</f>
        <v>859375.0000000007</v>
      </c>
      <c r="AJ24" s="48">
        <f>$D$23-SUM($D27:AJ27)</f>
        <v>807291.66666666744</v>
      </c>
      <c r="AK24" s="48">
        <f>$D$23-SUM($D27:AK27)</f>
        <v>755208.33333333419</v>
      </c>
      <c r="AL24" s="48">
        <f>$D$23-SUM($D27:AL27)</f>
        <v>703125.00000000093</v>
      </c>
      <c r="AM24" s="48">
        <f>$D$23-SUM($D27:AM27)</f>
        <v>651041.66666666768</v>
      </c>
      <c r="AN24" s="48">
        <f>$D$23-SUM($D27:AN27)</f>
        <v>598958.33333333442</v>
      </c>
      <c r="AO24" s="48">
        <f>$D$23-SUM($D27:AO27)</f>
        <v>546875.00000000116</v>
      </c>
      <c r="AP24" s="48">
        <f>$D$23-SUM($D27:AP27)</f>
        <v>494791.66666666791</v>
      </c>
      <c r="AQ24" s="48">
        <f>$D$23-SUM($D27:AQ27)</f>
        <v>442708.33333333465</v>
      </c>
      <c r="AR24" s="48">
        <f>$D$23-SUM($D27:AR27)</f>
        <v>390625.0000000014</v>
      </c>
      <c r="AS24" s="48">
        <f>$D$23-SUM($D27:AS27)</f>
        <v>338541.66666666791</v>
      </c>
      <c r="AT24" s="48">
        <f>$D$23-SUM($D27:AT27)</f>
        <v>286458.33333333442</v>
      </c>
      <c r="AU24" s="48">
        <f>$D$23-SUM($D27:AU27)</f>
        <v>234375.00000000093</v>
      </c>
      <c r="AV24" s="48">
        <f>$D$23-SUM($D27:AV27)</f>
        <v>182291.66666666744</v>
      </c>
      <c r="AW24" s="48">
        <f>$D$23-SUM($D27:AW27)</f>
        <v>130208.33333333395</v>
      </c>
      <c r="AX24" s="48">
        <f>$D$23-SUM($D27:AX27)</f>
        <v>78125.000000000466</v>
      </c>
      <c r="AY24" s="48">
        <f>$D$23-SUM($D27:AY27)</f>
        <v>26041.666666666977</v>
      </c>
      <c r="AZ24" s="48">
        <f>$D$23-SUM($D27:AZ27)</f>
        <v>0</v>
      </c>
      <c r="BA24" s="48">
        <f>$D$23-SUM($D27:BA27)</f>
        <v>0</v>
      </c>
      <c r="BB24" s="48">
        <f>$D$23-SUM($D27:BB27)</f>
        <v>0</v>
      </c>
      <c r="BC24" s="48">
        <f>$D$23-SUM($D27:BC27)</f>
        <v>0</v>
      </c>
      <c r="BD24" s="48">
        <f>$D$23-SUM($D27:BD27)</f>
        <v>0</v>
      </c>
      <c r="BE24" s="48">
        <f>$D$23-SUM($D27:BE27)</f>
        <v>0</v>
      </c>
      <c r="BF24" s="7"/>
    </row>
    <row r="25" spans="1:58" x14ac:dyDescent="0.35">
      <c r="B25" s="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7"/>
    </row>
    <row r="26" spans="1:58" x14ac:dyDescent="0.35">
      <c r="B26" s="8" t="s">
        <v>7</v>
      </c>
      <c r="D26" s="50">
        <f>D23/2</f>
        <v>1250000</v>
      </c>
      <c r="E26" s="51">
        <f>D28+D23/2</f>
        <v>2473958.333333333</v>
      </c>
      <c r="F26" s="49">
        <f>E28</f>
        <v>2421874.9999999995</v>
      </c>
      <c r="G26" s="49">
        <f t="shared" ref="G26:N26" si="1">F28</f>
        <v>2369791.666666666</v>
      </c>
      <c r="H26" s="49">
        <f t="shared" si="1"/>
        <v>2317708.3333333326</v>
      </c>
      <c r="I26" s="49">
        <f t="shared" si="1"/>
        <v>2265624.9999999991</v>
      </c>
      <c r="J26" s="49">
        <f t="shared" si="1"/>
        <v>2213541.6666666656</v>
      </c>
      <c r="K26" s="49">
        <f t="shared" si="1"/>
        <v>2161458.3333333321</v>
      </c>
      <c r="L26" s="49">
        <f t="shared" si="1"/>
        <v>2109374.9999999986</v>
      </c>
      <c r="M26" s="49">
        <f t="shared" si="1"/>
        <v>2057291.6666666653</v>
      </c>
      <c r="N26" s="49">
        <f t="shared" si="1"/>
        <v>2005208.3333333321</v>
      </c>
      <c r="O26" s="49">
        <f t="shared" ref="O26" si="2">N28</f>
        <v>1953124.9999999988</v>
      </c>
      <c r="P26" s="49">
        <f t="shared" ref="P26" si="3">O28</f>
        <v>1901041.6666666656</v>
      </c>
      <c r="Q26" s="49">
        <f t="shared" ref="Q26" si="4">P28</f>
        <v>1848958.3333333323</v>
      </c>
      <c r="R26" s="49">
        <f>Q28</f>
        <v>1796874.9999999991</v>
      </c>
      <c r="S26" s="49">
        <f t="shared" ref="S26" si="5">R28</f>
        <v>1744791.6666666658</v>
      </c>
      <c r="T26" s="49">
        <f t="shared" ref="T26" si="6">S28</f>
        <v>1692708.3333333326</v>
      </c>
      <c r="U26" s="49">
        <f t="shared" ref="U26" si="7">T28</f>
        <v>1640624.9999999993</v>
      </c>
      <c r="V26" s="49">
        <f t="shared" ref="V26" si="8">U28</f>
        <v>1588541.666666666</v>
      </c>
      <c r="W26" s="49">
        <f t="shared" ref="W26" si="9">V28</f>
        <v>1536458.3333333328</v>
      </c>
      <c r="X26" s="49">
        <f t="shared" ref="X26" si="10">W28</f>
        <v>1484374.9999999995</v>
      </c>
      <c r="Y26" s="49">
        <f t="shared" ref="Y26" si="11">X28</f>
        <v>1432291.6666666663</v>
      </c>
      <c r="Z26" s="49">
        <f t="shared" ref="Z26" si="12">Y28</f>
        <v>1380208.333333333</v>
      </c>
      <c r="AA26" s="49">
        <f t="shared" ref="AA26" si="13">Z28</f>
        <v>1328124.9999999998</v>
      </c>
      <c r="AB26" s="49">
        <f t="shared" ref="AB26" si="14">AA28</f>
        <v>1276041.6666666665</v>
      </c>
      <c r="AC26" s="49">
        <f t="shared" ref="AC26" si="15">AB28</f>
        <v>1223958.3333333333</v>
      </c>
      <c r="AD26" s="49">
        <f t="shared" ref="AD26" si="16">AC28</f>
        <v>1171875</v>
      </c>
      <c r="AE26" s="49">
        <f t="shared" ref="AE26" si="17">AD28</f>
        <v>1119791.6666666667</v>
      </c>
      <c r="AF26" s="49">
        <f t="shared" ref="AF26" si="18">AE28</f>
        <v>1067708.3333333335</v>
      </c>
      <c r="AG26" s="49">
        <f t="shared" ref="AG26:AH26" si="19">AF28</f>
        <v>1015625.0000000001</v>
      </c>
      <c r="AH26" s="49">
        <f t="shared" si="19"/>
        <v>963541.66666666674</v>
      </c>
      <c r="AI26" s="49">
        <f t="shared" ref="AI26" si="20">AH28</f>
        <v>911458.33333333337</v>
      </c>
      <c r="AJ26" s="49">
        <f t="shared" ref="AJ26" si="21">AI28</f>
        <v>859375</v>
      </c>
      <c r="AK26" s="49">
        <f t="shared" ref="AK26" si="22">AJ28</f>
        <v>807291.66666666663</v>
      </c>
      <c r="AL26" s="49">
        <f t="shared" ref="AL26" si="23">AK28</f>
        <v>755208.33333333326</v>
      </c>
      <c r="AM26" s="49">
        <f t="shared" ref="AM26" si="24">AL28</f>
        <v>703124.99999999988</v>
      </c>
      <c r="AN26" s="49">
        <f t="shared" ref="AN26" si="25">AM28</f>
        <v>651041.66666666651</v>
      </c>
      <c r="AO26" s="49">
        <f t="shared" ref="AO26" si="26">AN28</f>
        <v>598958.33333333314</v>
      </c>
      <c r="AP26" s="49">
        <f t="shared" ref="AP26" si="27">AO28</f>
        <v>546874.99999999977</v>
      </c>
      <c r="AQ26" s="49">
        <f t="shared" ref="AQ26" si="28">AP28</f>
        <v>494791.66666666645</v>
      </c>
      <c r="AR26" s="49">
        <f t="shared" ref="AR26" si="29">AQ28</f>
        <v>442708.33333333314</v>
      </c>
      <c r="AS26" s="49">
        <f t="shared" ref="AS26" si="30">AR28</f>
        <v>390624.99999999983</v>
      </c>
      <c r="AT26" s="49">
        <f t="shared" ref="AT26" si="31">AS28</f>
        <v>338541.66666666651</v>
      </c>
      <c r="AU26" s="49">
        <f t="shared" ref="AU26" si="32">AT28</f>
        <v>286458.3333333332</v>
      </c>
      <c r="AV26" s="49">
        <f t="shared" ref="AV26" si="33">AU28</f>
        <v>234374.99999999988</v>
      </c>
      <c r="AW26" s="49">
        <f t="shared" ref="AW26" si="34">AV28</f>
        <v>182291.66666666657</v>
      </c>
      <c r="AX26" s="49">
        <f t="shared" ref="AX26" si="35">AW28</f>
        <v>130208.33333333324</v>
      </c>
      <c r="AY26" s="49">
        <f t="shared" ref="AY26" si="36">AX28</f>
        <v>78124.999999999913</v>
      </c>
      <c r="AZ26" s="49">
        <f t="shared" ref="AZ26" si="37">AY28</f>
        <v>26041.666666666584</v>
      </c>
      <c r="BA26" s="49"/>
      <c r="BB26" s="49"/>
      <c r="BC26" s="49"/>
      <c r="BD26" s="49"/>
      <c r="BE26" s="49"/>
      <c r="BF26" s="5"/>
    </row>
    <row r="27" spans="1:58" x14ac:dyDescent="0.35">
      <c r="B27" s="8" t="s">
        <v>1</v>
      </c>
      <c r="D27" s="52">
        <f>D26*$C$11</f>
        <v>26041.666666666664</v>
      </c>
      <c r="E27" s="53">
        <f t="shared" ref="E27:AJ27" si="38">MIN($D$23*$C$11,D24)</f>
        <v>52083.333333333328</v>
      </c>
      <c r="F27" s="53">
        <f t="shared" si="38"/>
        <v>52083.333333333328</v>
      </c>
      <c r="G27" s="53">
        <f t="shared" si="38"/>
        <v>52083.333333333328</v>
      </c>
      <c r="H27" s="53">
        <f t="shared" si="38"/>
        <v>52083.333333333328</v>
      </c>
      <c r="I27" s="53">
        <f t="shared" si="38"/>
        <v>52083.333333333328</v>
      </c>
      <c r="J27" s="53">
        <f t="shared" si="38"/>
        <v>52083.333333333328</v>
      </c>
      <c r="K27" s="53">
        <f t="shared" si="38"/>
        <v>52083.333333333328</v>
      </c>
      <c r="L27" s="53">
        <f t="shared" si="38"/>
        <v>52083.333333333328</v>
      </c>
      <c r="M27" s="53">
        <f t="shared" si="38"/>
        <v>52083.333333333328</v>
      </c>
      <c r="N27" s="53">
        <f t="shared" si="38"/>
        <v>52083.333333333328</v>
      </c>
      <c r="O27" s="53">
        <f t="shared" si="38"/>
        <v>52083.333333333328</v>
      </c>
      <c r="P27" s="53">
        <f t="shared" si="38"/>
        <v>52083.333333333328</v>
      </c>
      <c r="Q27" s="53">
        <f t="shared" si="38"/>
        <v>52083.333333333328</v>
      </c>
      <c r="R27" s="53">
        <f t="shared" si="38"/>
        <v>52083.333333333328</v>
      </c>
      <c r="S27" s="53">
        <f t="shared" si="38"/>
        <v>52083.333333333328</v>
      </c>
      <c r="T27" s="53">
        <f t="shared" si="38"/>
        <v>52083.333333333328</v>
      </c>
      <c r="U27" s="53">
        <f t="shared" si="38"/>
        <v>52083.333333333328</v>
      </c>
      <c r="V27" s="53">
        <f t="shared" si="38"/>
        <v>52083.333333333328</v>
      </c>
      <c r="W27" s="53">
        <f t="shared" si="38"/>
        <v>52083.333333333328</v>
      </c>
      <c r="X27" s="53">
        <f t="shared" si="38"/>
        <v>52083.333333333328</v>
      </c>
      <c r="Y27" s="53">
        <f t="shared" si="38"/>
        <v>52083.333333333328</v>
      </c>
      <c r="Z27" s="53">
        <f t="shared" si="38"/>
        <v>52083.333333333328</v>
      </c>
      <c r="AA27" s="53">
        <f t="shared" si="38"/>
        <v>52083.333333333328</v>
      </c>
      <c r="AB27" s="53">
        <f t="shared" si="38"/>
        <v>52083.333333333328</v>
      </c>
      <c r="AC27" s="53">
        <f t="shared" si="38"/>
        <v>52083.333333333328</v>
      </c>
      <c r="AD27" s="53">
        <f t="shared" si="38"/>
        <v>52083.333333333328</v>
      </c>
      <c r="AE27" s="53">
        <f t="shared" si="38"/>
        <v>52083.333333333328</v>
      </c>
      <c r="AF27" s="53">
        <f t="shared" si="38"/>
        <v>52083.333333333328</v>
      </c>
      <c r="AG27" s="53">
        <f t="shared" si="38"/>
        <v>52083.333333333328</v>
      </c>
      <c r="AH27" s="53">
        <f t="shared" si="38"/>
        <v>52083.333333333328</v>
      </c>
      <c r="AI27" s="53">
        <f t="shared" si="38"/>
        <v>52083.333333333328</v>
      </c>
      <c r="AJ27" s="53">
        <f t="shared" si="38"/>
        <v>52083.333333333328</v>
      </c>
      <c r="AK27" s="53">
        <f t="shared" ref="AK27:BE27" si="39">MIN($D$23*$C$11,AJ24)</f>
        <v>52083.333333333328</v>
      </c>
      <c r="AL27" s="53">
        <f t="shared" si="39"/>
        <v>52083.333333333328</v>
      </c>
      <c r="AM27" s="53">
        <f t="shared" si="39"/>
        <v>52083.333333333328</v>
      </c>
      <c r="AN27" s="53">
        <f t="shared" si="39"/>
        <v>52083.333333333328</v>
      </c>
      <c r="AO27" s="53">
        <f t="shared" si="39"/>
        <v>52083.333333333328</v>
      </c>
      <c r="AP27" s="53">
        <f t="shared" si="39"/>
        <v>52083.333333333328</v>
      </c>
      <c r="AQ27" s="53">
        <f t="shared" si="39"/>
        <v>52083.333333333328</v>
      </c>
      <c r="AR27" s="53">
        <f t="shared" si="39"/>
        <v>52083.333333333328</v>
      </c>
      <c r="AS27" s="53">
        <f t="shared" si="39"/>
        <v>52083.333333333328</v>
      </c>
      <c r="AT27" s="53">
        <f t="shared" si="39"/>
        <v>52083.333333333328</v>
      </c>
      <c r="AU27" s="53">
        <f t="shared" si="39"/>
        <v>52083.333333333328</v>
      </c>
      <c r="AV27" s="53">
        <f t="shared" si="39"/>
        <v>52083.333333333328</v>
      </c>
      <c r="AW27" s="53">
        <f t="shared" si="39"/>
        <v>52083.333333333328</v>
      </c>
      <c r="AX27" s="53">
        <f t="shared" si="39"/>
        <v>52083.333333333328</v>
      </c>
      <c r="AY27" s="53">
        <f t="shared" si="39"/>
        <v>52083.333333333328</v>
      </c>
      <c r="AZ27" s="53">
        <f t="shared" si="39"/>
        <v>26041.666666666977</v>
      </c>
      <c r="BA27" s="53">
        <f t="shared" si="39"/>
        <v>0</v>
      </c>
      <c r="BB27" s="53">
        <f t="shared" si="39"/>
        <v>0</v>
      </c>
      <c r="BC27" s="53">
        <f t="shared" si="39"/>
        <v>0</v>
      </c>
      <c r="BD27" s="53">
        <f t="shared" si="39"/>
        <v>0</v>
      </c>
      <c r="BE27" s="53">
        <f t="shared" si="39"/>
        <v>0</v>
      </c>
      <c r="BF27" s="5"/>
    </row>
    <row r="28" spans="1:58" x14ac:dyDescent="0.35">
      <c r="B28" s="8" t="s">
        <v>8</v>
      </c>
      <c r="D28" s="54">
        <f>D26-D27</f>
        <v>1223958.3333333333</v>
      </c>
      <c r="E28" s="54">
        <f>E26-E27</f>
        <v>2421874.9999999995</v>
      </c>
      <c r="F28" s="54">
        <f>F26-F27</f>
        <v>2369791.666666666</v>
      </c>
      <c r="G28" s="54">
        <f t="shared" ref="G28:N28" si="40">G26-G27</f>
        <v>2317708.3333333326</v>
      </c>
      <c r="H28" s="54">
        <f t="shared" si="40"/>
        <v>2265624.9999999991</v>
      </c>
      <c r="I28" s="54">
        <f t="shared" si="40"/>
        <v>2213541.6666666656</v>
      </c>
      <c r="J28" s="54">
        <f t="shared" si="40"/>
        <v>2161458.3333333321</v>
      </c>
      <c r="K28" s="54">
        <f t="shared" si="40"/>
        <v>2109374.9999999986</v>
      </c>
      <c r="L28" s="54">
        <f t="shared" si="40"/>
        <v>2057291.6666666653</v>
      </c>
      <c r="M28" s="54">
        <f t="shared" si="40"/>
        <v>2005208.3333333321</v>
      </c>
      <c r="N28" s="54">
        <f t="shared" si="40"/>
        <v>1953124.9999999988</v>
      </c>
      <c r="O28" s="54">
        <f t="shared" ref="O28:AC28" si="41">O26-O27</f>
        <v>1901041.6666666656</v>
      </c>
      <c r="P28" s="54">
        <f t="shared" si="41"/>
        <v>1848958.3333333323</v>
      </c>
      <c r="Q28" s="54">
        <f t="shared" si="41"/>
        <v>1796874.9999999991</v>
      </c>
      <c r="R28" s="54">
        <f t="shared" si="41"/>
        <v>1744791.6666666658</v>
      </c>
      <c r="S28" s="54">
        <f t="shared" si="41"/>
        <v>1692708.3333333326</v>
      </c>
      <c r="T28" s="54">
        <f t="shared" si="41"/>
        <v>1640624.9999999993</v>
      </c>
      <c r="U28" s="54">
        <f t="shared" si="41"/>
        <v>1588541.666666666</v>
      </c>
      <c r="V28" s="54">
        <f t="shared" si="41"/>
        <v>1536458.3333333328</v>
      </c>
      <c r="W28" s="54">
        <f t="shared" si="41"/>
        <v>1484374.9999999995</v>
      </c>
      <c r="X28" s="54">
        <f t="shared" si="41"/>
        <v>1432291.6666666663</v>
      </c>
      <c r="Y28" s="54">
        <f t="shared" si="41"/>
        <v>1380208.333333333</v>
      </c>
      <c r="Z28" s="54">
        <f t="shared" si="41"/>
        <v>1328124.9999999998</v>
      </c>
      <c r="AA28" s="54">
        <f t="shared" si="41"/>
        <v>1276041.6666666665</v>
      </c>
      <c r="AB28" s="54">
        <f t="shared" si="41"/>
        <v>1223958.3333333333</v>
      </c>
      <c r="AC28" s="54">
        <f t="shared" si="41"/>
        <v>1171875</v>
      </c>
      <c r="AD28" s="54">
        <f t="shared" ref="AD28:AG28" si="42">AD26-AD27</f>
        <v>1119791.6666666667</v>
      </c>
      <c r="AE28" s="54">
        <f t="shared" si="42"/>
        <v>1067708.3333333335</v>
      </c>
      <c r="AF28" s="54">
        <f t="shared" si="42"/>
        <v>1015625.0000000001</v>
      </c>
      <c r="AG28" s="54">
        <f t="shared" si="42"/>
        <v>963541.66666666674</v>
      </c>
      <c r="AH28" s="54">
        <f t="shared" ref="AH28" si="43">AH26-AH27</f>
        <v>911458.33333333337</v>
      </c>
      <c r="AI28" s="54">
        <f t="shared" ref="AI28:BE28" si="44">AI26-AI27</f>
        <v>859375</v>
      </c>
      <c r="AJ28" s="54">
        <f t="shared" si="44"/>
        <v>807291.66666666663</v>
      </c>
      <c r="AK28" s="54">
        <f t="shared" si="44"/>
        <v>755208.33333333326</v>
      </c>
      <c r="AL28" s="54">
        <f t="shared" si="44"/>
        <v>703124.99999999988</v>
      </c>
      <c r="AM28" s="54">
        <f t="shared" si="44"/>
        <v>651041.66666666651</v>
      </c>
      <c r="AN28" s="54">
        <f t="shared" si="44"/>
        <v>598958.33333333314</v>
      </c>
      <c r="AO28" s="54">
        <f t="shared" si="44"/>
        <v>546874.99999999977</v>
      </c>
      <c r="AP28" s="54">
        <f t="shared" si="44"/>
        <v>494791.66666666645</v>
      </c>
      <c r="AQ28" s="54">
        <f t="shared" si="44"/>
        <v>442708.33333333314</v>
      </c>
      <c r="AR28" s="54">
        <f t="shared" si="44"/>
        <v>390624.99999999983</v>
      </c>
      <c r="AS28" s="54">
        <f t="shared" si="44"/>
        <v>338541.66666666651</v>
      </c>
      <c r="AT28" s="54">
        <f t="shared" si="44"/>
        <v>286458.3333333332</v>
      </c>
      <c r="AU28" s="54">
        <f t="shared" si="44"/>
        <v>234374.99999999988</v>
      </c>
      <c r="AV28" s="54">
        <f t="shared" si="44"/>
        <v>182291.66666666657</v>
      </c>
      <c r="AW28" s="54">
        <f t="shared" si="44"/>
        <v>130208.33333333324</v>
      </c>
      <c r="AX28" s="54">
        <f t="shared" si="44"/>
        <v>78124.999999999913</v>
      </c>
      <c r="AY28" s="54">
        <f t="shared" si="44"/>
        <v>26041.666666666584</v>
      </c>
      <c r="AZ28" s="53">
        <f t="shared" si="44"/>
        <v>-3.92901711165905E-10</v>
      </c>
      <c r="BA28" s="53">
        <f t="shared" si="44"/>
        <v>0</v>
      </c>
      <c r="BB28" s="53">
        <f t="shared" si="44"/>
        <v>0</v>
      </c>
      <c r="BC28" s="53">
        <f t="shared" si="44"/>
        <v>0</v>
      </c>
      <c r="BD28" s="53">
        <f t="shared" si="44"/>
        <v>0</v>
      </c>
      <c r="BE28" s="53">
        <f t="shared" si="44"/>
        <v>0</v>
      </c>
      <c r="BF28" s="5"/>
    </row>
    <row r="29" spans="1:58" x14ac:dyDescent="0.35">
      <c r="B29" s="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49"/>
      <c r="BB29" s="49"/>
      <c r="BC29" s="49"/>
      <c r="BD29" s="49"/>
      <c r="BE29" s="49"/>
      <c r="BF29" s="5"/>
    </row>
    <row r="30" spans="1:58" x14ac:dyDescent="0.35">
      <c r="B30" s="8" t="s">
        <v>9</v>
      </c>
      <c r="D30" s="49">
        <f t="shared" ref="D30:AI30" si="45">(D26+D28)/2</f>
        <v>1236979.1666666665</v>
      </c>
      <c r="E30" s="49">
        <f t="shared" si="45"/>
        <v>2447916.666666666</v>
      </c>
      <c r="F30" s="49">
        <f t="shared" si="45"/>
        <v>2395833.333333333</v>
      </c>
      <c r="G30" s="49">
        <f t="shared" si="45"/>
        <v>2343749.9999999991</v>
      </c>
      <c r="H30" s="49">
        <f t="shared" si="45"/>
        <v>2291666.666666666</v>
      </c>
      <c r="I30" s="49">
        <f t="shared" si="45"/>
        <v>2239583.3333333321</v>
      </c>
      <c r="J30" s="49">
        <f t="shared" si="45"/>
        <v>2187499.9999999991</v>
      </c>
      <c r="K30" s="49">
        <f t="shared" si="45"/>
        <v>2135416.6666666651</v>
      </c>
      <c r="L30" s="49">
        <f t="shared" si="45"/>
        <v>2083333.3333333321</v>
      </c>
      <c r="M30" s="49">
        <f t="shared" si="45"/>
        <v>2031249.9999999986</v>
      </c>
      <c r="N30" s="49">
        <f t="shared" si="45"/>
        <v>1979166.6666666656</v>
      </c>
      <c r="O30" s="49">
        <f t="shared" si="45"/>
        <v>1927083.3333333321</v>
      </c>
      <c r="P30" s="49">
        <f t="shared" si="45"/>
        <v>1874999.9999999991</v>
      </c>
      <c r="Q30" s="49">
        <f t="shared" si="45"/>
        <v>1822916.6666666656</v>
      </c>
      <c r="R30" s="49">
        <f t="shared" si="45"/>
        <v>1770833.3333333326</v>
      </c>
      <c r="S30" s="49">
        <f t="shared" si="45"/>
        <v>1718749.9999999991</v>
      </c>
      <c r="T30" s="49">
        <f t="shared" si="45"/>
        <v>1666666.666666666</v>
      </c>
      <c r="U30" s="49">
        <f t="shared" si="45"/>
        <v>1614583.3333333326</v>
      </c>
      <c r="V30" s="49">
        <f t="shared" si="45"/>
        <v>1562499.9999999995</v>
      </c>
      <c r="W30" s="49">
        <f t="shared" si="45"/>
        <v>1510416.666666666</v>
      </c>
      <c r="X30" s="49">
        <f t="shared" si="45"/>
        <v>1458333.333333333</v>
      </c>
      <c r="Y30" s="49">
        <f t="shared" si="45"/>
        <v>1406249.9999999995</v>
      </c>
      <c r="Z30" s="49">
        <f t="shared" si="45"/>
        <v>1354166.6666666665</v>
      </c>
      <c r="AA30" s="49">
        <f t="shared" si="45"/>
        <v>1302083.333333333</v>
      </c>
      <c r="AB30" s="49">
        <f t="shared" si="45"/>
        <v>1250000</v>
      </c>
      <c r="AC30" s="49">
        <f t="shared" si="45"/>
        <v>1197916.6666666665</v>
      </c>
      <c r="AD30" s="49">
        <f t="shared" si="45"/>
        <v>1145833.3333333335</v>
      </c>
      <c r="AE30" s="49">
        <f t="shared" si="45"/>
        <v>1093750</v>
      </c>
      <c r="AF30" s="49">
        <f t="shared" si="45"/>
        <v>1041666.6666666667</v>
      </c>
      <c r="AG30" s="49">
        <f t="shared" si="45"/>
        <v>989583.33333333349</v>
      </c>
      <c r="AH30" s="49">
        <f t="shared" si="45"/>
        <v>937500</v>
      </c>
      <c r="AI30" s="49">
        <f t="shared" si="45"/>
        <v>885416.66666666674</v>
      </c>
      <c r="AJ30" s="49">
        <f t="shared" ref="AJ30:AZ30" si="46">(AJ26+AJ28)/2</f>
        <v>833333.33333333326</v>
      </c>
      <c r="AK30" s="49">
        <f t="shared" si="46"/>
        <v>781250</v>
      </c>
      <c r="AL30" s="49">
        <f t="shared" si="46"/>
        <v>729166.66666666651</v>
      </c>
      <c r="AM30" s="49">
        <f t="shared" si="46"/>
        <v>677083.33333333326</v>
      </c>
      <c r="AN30" s="49">
        <f t="shared" si="46"/>
        <v>624999.99999999977</v>
      </c>
      <c r="AO30" s="49">
        <f t="shared" si="46"/>
        <v>572916.66666666651</v>
      </c>
      <c r="AP30" s="49">
        <f t="shared" si="46"/>
        <v>520833.33333333314</v>
      </c>
      <c r="AQ30" s="49">
        <f t="shared" si="46"/>
        <v>468749.99999999977</v>
      </c>
      <c r="AR30" s="49">
        <f t="shared" si="46"/>
        <v>416666.66666666651</v>
      </c>
      <c r="AS30" s="49">
        <f t="shared" si="46"/>
        <v>364583.33333333314</v>
      </c>
      <c r="AT30" s="49">
        <f t="shared" si="46"/>
        <v>312499.99999999988</v>
      </c>
      <c r="AU30" s="49">
        <f t="shared" si="46"/>
        <v>260416.66666666654</v>
      </c>
      <c r="AV30" s="49">
        <f t="shared" si="46"/>
        <v>208333.33333333323</v>
      </c>
      <c r="AW30" s="49">
        <f t="shared" si="46"/>
        <v>156249.99999999991</v>
      </c>
      <c r="AX30" s="49">
        <f t="shared" si="46"/>
        <v>104166.66666666657</v>
      </c>
      <c r="AY30" s="49">
        <f t="shared" si="46"/>
        <v>52083.333333333248</v>
      </c>
      <c r="AZ30" s="49">
        <f t="shared" si="46"/>
        <v>13020.833333333096</v>
      </c>
      <c r="BA30" s="49">
        <f t="shared" ref="BA30:BE30" si="47">(BA26+BA28)/2</f>
        <v>0</v>
      </c>
      <c r="BB30" s="49">
        <f t="shared" si="47"/>
        <v>0</v>
      </c>
      <c r="BC30" s="49">
        <f t="shared" si="47"/>
        <v>0</v>
      </c>
      <c r="BD30" s="49">
        <f t="shared" si="47"/>
        <v>0</v>
      </c>
      <c r="BE30" s="49">
        <f t="shared" si="47"/>
        <v>0</v>
      </c>
      <c r="BF30" s="5"/>
    </row>
    <row r="31" spans="1:58" x14ac:dyDescent="0.35">
      <c r="B31" s="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7"/>
    </row>
    <row r="32" spans="1:58" x14ac:dyDescent="0.35">
      <c r="B32" s="8" t="s">
        <v>62</v>
      </c>
      <c r="D32" s="49">
        <f t="shared" ref="D32:AI32" si="48">D27</f>
        <v>26041.666666666664</v>
      </c>
      <c r="E32" s="49">
        <f t="shared" si="48"/>
        <v>52083.333333333328</v>
      </c>
      <c r="F32" s="49">
        <f t="shared" si="48"/>
        <v>52083.333333333328</v>
      </c>
      <c r="G32" s="49">
        <f t="shared" si="48"/>
        <v>52083.333333333328</v>
      </c>
      <c r="H32" s="49">
        <f t="shared" si="48"/>
        <v>52083.333333333328</v>
      </c>
      <c r="I32" s="49">
        <f t="shared" si="48"/>
        <v>52083.333333333328</v>
      </c>
      <c r="J32" s="49">
        <f t="shared" si="48"/>
        <v>52083.333333333328</v>
      </c>
      <c r="K32" s="49">
        <f t="shared" si="48"/>
        <v>52083.333333333328</v>
      </c>
      <c r="L32" s="49">
        <f t="shared" si="48"/>
        <v>52083.333333333328</v>
      </c>
      <c r="M32" s="49">
        <f t="shared" si="48"/>
        <v>52083.333333333328</v>
      </c>
      <c r="N32" s="49">
        <f t="shared" si="48"/>
        <v>52083.333333333328</v>
      </c>
      <c r="O32" s="49">
        <f t="shared" si="48"/>
        <v>52083.333333333328</v>
      </c>
      <c r="P32" s="49">
        <f t="shared" si="48"/>
        <v>52083.333333333328</v>
      </c>
      <c r="Q32" s="49">
        <f t="shared" si="48"/>
        <v>52083.333333333328</v>
      </c>
      <c r="R32" s="49">
        <f t="shared" si="48"/>
        <v>52083.333333333328</v>
      </c>
      <c r="S32" s="49">
        <f t="shared" si="48"/>
        <v>52083.333333333328</v>
      </c>
      <c r="T32" s="49">
        <f t="shared" si="48"/>
        <v>52083.333333333328</v>
      </c>
      <c r="U32" s="49">
        <f t="shared" si="48"/>
        <v>52083.333333333328</v>
      </c>
      <c r="V32" s="49">
        <f t="shared" si="48"/>
        <v>52083.333333333328</v>
      </c>
      <c r="W32" s="49">
        <f t="shared" si="48"/>
        <v>52083.333333333328</v>
      </c>
      <c r="X32" s="49">
        <f t="shared" si="48"/>
        <v>52083.333333333328</v>
      </c>
      <c r="Y32" s="49">
        <f t="shared" si="48"/>
        <v>52083.333333333328</v>
      </c>
      <c r="Z32" s="49">
        <f t="shared" si="48"/>
        <v>52083.333333333328</v>
      </c>
      <c r="AA32" s="49">
        <f t="shared" si="48"/>
        <v>52083.333333333328</v>
      </c>
      <c r="AB32" s="49">
        <f t="shared" si="48"/>
        <v>52083.333333333328</v>
      </c>
      <c r="AC32" s="49">
        <f t="shared" si="48"/>
        <v>52083.333333333328</v>
      </c>
      <c r="AD32" s="49">
        <f t="shared" si="48"/>
        <v>52083.333333333328</v>
      </c>
      <c r="AE32" s="49">
        <f t="shared" si="48"/>
        <v>52083.333333333328</v>
      </c>
      <c r="AF32" s="49">
        <f t="shared" si="48"/>
        <v>52083.333333333328</v>
      </c>
      <c r="AG32" s="49">
        <f t="shared" si="48"/>
        <v>52083.333333333328</v>
      </c>
      <c r="AH32" s="49">
        <f t="shared" si="48"/>
        <v>52083.333333333328</v>
      </c>
      <c r="AI32" s="49">
        <f t="shared" si="48"/>
        <v>52083.333333333328</v>
      </c>
      <c r="AJ32" s="49">
        <f t="shared" ref="AJ32:AZ32" si="49">AJ27</f>
        <v>52083.333333333328</v>
      </c>
      <c r="AK32" s="49">
        <f t="shared" si="49"/>
        <v>52083.333333333328</v>
      </c>
      <c r="AL32" s="49">
        <f t="shared" si="49"/>
        <v>52083.333333333328</v>
      </c>
      <c r="AM32" s="49">
        <f t="shared" si="49"/>
        <v>52083.333333333328</v>
      </c>
      <c r="AN32" s="49">
        <f t="shared" si="49"/>
        <v>52083.333333333328</v>
      </c>
      <c r="AO32" s="49">
        <f t="shared" si="49"/>
        <v>52083.333333333328</v>
      </c>
      <c r="AP32" s="49">
        <f t="shared" si="49"/>
        <v>52083.333333333328</v>
      </c>
      <c r="AQ32" s="49">
        <f t="shared" si="49"/>
        <v>52083.333333333328</v>
      </c>
      <c r="AR32" s="49">
        <f t="shared" si="49"/>
        <v>52083.333333333328</v>
      </c>
      <c r="AS32" s="49">
        <f t="shared" si="49"/>
        <v>52083.333333333328</v>
      </c>
      <c r="AT32" s="49">
        <f t="shared" si="49"/>
        <v>52083.333333333328</v>
      </c>
      <c r="AU32" s="49">
        <f t="shared" si="49"/>
        <v>52083.333333333328</v>
      </c>
      <c r="AV32" s="49">
        <f t="shared" si="49"/>
        <v>52083.333333333328</v>
      </c>
      <c r="AW32" s="49">
        <f t="shared" si="49"/>
        <v>52083.333333333328</v>
      </c>
      <c r="AX32" s="49">
        <f t="shared" si="49"/>
        <v>52083.333333333328</v>
      </c>
      <c r="AY32" s="49">
        <f t="shared" si="49"/>
        <v>52083.333333333328</v>
      </c>
      <c r="AZ32" s="49">
        <f t="shared" si="49"/>
        <v>26041.666666666977</v>
      </c>
      <c r="BA32" s="49">
        <f t="shared" ref="BA32:BE32" si="50">BA27</f>
        <v>0</v>
      </c>
      <c r="BB32" s="49">
        <f t="shared" si="50"/>
        <v>0</v>
      </c>
      <c r="BC32" s="49">
        <f t="shared" si="50"/>
        <v>0</v>
      </c>
      <c r="BD32" s="49">
        <f t="shared" si="50"/>
        <v>0</v>
      </c>
      <c r="BE32" s="49">
        <f t="shared" si="50"/>
        <v>0</v>
      </c>
      <c r="BF32" s="5"/>
    </row>
    <row r="33" spans="2:59" x14ac:dyDescent="0.35">
      <c r="B33" s="8" t="s">
        <v>3</v>
      </c>
      <c r="D33" s="49">
        <f t="shared" ref="D33:AI33" si="51">(D30*$C$9)*$C$8</f>
        <v>29984.374999999993</v>
      </c>
      <c r="E33" s="49">
        <f t="shared" si="51"/>
        <v>59337.499999999978</v>
      </c>
      <c r="F33" s="49">
        <f t="shared" si="51"/>
        <v>58074.999999999985</v>
      </c>
      <c r="G33" s="49">
        <f t="shared" si="51"/>
        <v>56812.499999999971</v>
      </c>
      <c r="H33" s="49">
        <f t="shared" si="51"/>
        <v>55549.999999999978</v>
      </c>
      <c r="I33" s="49">
        <f t="shared" si="51"/>
        <v>54287.499999999971</v>
      </c>
      <c r="J33" s="49">
        <f t="shared" si="51"/>
        <v>53024.999999999971</v>
      </c>
      <c r="K33" s="49">
        <f t="shared" si="51"/>
        <v>51762.499999999964</v>
      </c>
      <c r="L33" s="49">
        <f t="shared" si="51"/>
        <v>50499.999999999971</v>
      </c>
      <c r="M33" s="49">
        <f t="shared" si="51"/>
        <v>49237.499999999964</v>
      </c>
      <c r="N33" s="49">
        <f t="shared" si="51"/>
        <v>47974.999999999971</v>
      </c>
      <c r="O33" s="49">
        <f t="shared" si="51"/>
        <v>46712.499999999971</v>
      </c>
      <c r="P33" s="49">
        <f t="shared" si="51"/>
        <v>45449.999999999971</v>
      </c>
      <c r="Q33" s="49">
        <f t="shared" si="51"/>
        <v>44187.499999999971</v>
      </c>
      <c r="R33" s="49">
        <f t="shared" si="51"/>
        <v>42924.999999999978</v>
      </c>
      <c r="S33" s="49">
        <f t="shared" si="51"/>
        <v>41662.499999999978</v>
      </c>
      <c r="T33" s="49">
        <f t="shared" si="51"/>
        <v>40399.999999999978</v>
      </c>
      <c r="U33" s="49">
        <f t="shared" si="51"/>
        <v>39137.499999999978</v>
      </c>
      <c r="V33" s="49">
        <f t="shared" si="51"/>
        <v>37874.999999999985</v>
      </c>
      <c r="W33" s="49">
        <f t="shared" si="51"/>
        <v>36612.499999999985</v>
      </c>
      <c r="X33" s="49">
        <f t="shared" si="51"/>
        <v>35349.999999999993</v>
      </c>
      <c r="Y33" s="49">
        <f t="shared" si="51"/>
        <v>34087.499999999985</v>
      </c>
      <c r="Z33" s="49">
        <f t="shared" si="51"/>
        <v>32824.999999999993</v>
      </c>
      <c r="AA33" s="49">
        <f t="shared" si="51"/>
        <v>31562.499999999989</v>
      </c>
      <c r="AB33" s="49">
        <f t="shared" si="51"/>
        <v>30300</v>
      </c>
      <c r="AC33" s="49">
        <f t="shared" si="51"/>
        <v>29037.499999999993</v>
      </c>
      <c r="AD33" s="49">
        <f t="shared" si="51"/>
        <v>27775.000000000004</v>
      </c>
      <c r="AE33" s="49">
        <f t="shared" si="51"/>
        <v>26512.5</v>
      </c>
      <c r="AF33" s="49">
        <f t="shared" si="51"/>
        <v>25250</v>
      </c>
      <c r="AG33" s="49">
        <f t="shared" si="51"/>
        <v>23987.500000000004</v>
      </c>
      <c r="AH33" s="49">
        <f t="shared" si="51"/>
        <v>22725</v>
      </c>
      <c r="AI33" s="49">
        <f t="shared" si="51"/>
        <v>21462.5</v>
      </c>
      <c r="AJ33" s="49">
        <f t="shared" ref="AJ33:AZ33" si="52">(AJ30*$C$9)*$C$8</f>
        <v>20199.999999999996</v>
      </c>
      <c r="AK33" s="49">
        <f t="shared" si="52"/>
        <v>18937.5</v>
      </c>
      <c r="AL33" s="49">
        <f t="shared" si="52"/>
        <v>17674.999999999996</v>
      </c>
      <c r="AM33" s="49">
        <f t="shared" si="52"/>
        <v>16412.499999999996</v>
      </c>
      <c r="AN33" s="49">
        <f t="shared" si="52"/>
        <v>15149.999999999993</v>
      </c>
      <c r="AO33" s="49">
        <f t="shared" si="52"/>
        <v>13887.499999999995</v>
      </c>
      <c r="AP33" s="49">
        <f t="shared" si="52"/>
        <v>12624.999999999995</v>
      </c>
      <c r="AQ33" s="49">
        <f t="shared" si="52"/>
        <v>11362.499999999993</v>
      </c>
      <c r="AR33" s="49">
        <f t="shared" si="52"/>
        <v>10099.999999999995</v>
      </c>
      <c r="AS33" s="49">
        <f t="shared" si="52"/>
        <v>8837.4999999999945</v>
      </c>
      <c r="AT33" s="49">
        <f t="shared" si="52"/>
        <v>7574.9999999999964</v>
      </c>
      <c r="AU33" s="49">
        <f t="shared" si="52"/>
        <v>6312.4999999999964</v>
      </c>
      <c r="AV33" s="49">
        <f t="shared" si="52"/>
        <v>5049.9999999999973</v>
      </c>
      <c r="AW33" s="49">
        <f t="shared" si="52"/>
        <v>3787.4999999999977</v>
      </c>
      <c r="AX33" s="49">
        <f t="shared" si="52"/>
        <v>2524.9999999999977</v>
      </c>
      <c r="AY33" s="49">
        <f t="shared" si="52"/>
        <v>1262.499999999998</v>
      </c>
      <c r="AZ33" s="49">
        <f t="shared" si="52"/>
        <v>315.6249999999942</v>
      </c>
      <c r="BA33" s="49">
        <f t="shared" ref="BA33:BE33" si="53">(BA30*$C$9)*$C$8</f>
        <v>0</v>
      </c>
      <c r="BB33" s="49">
        <f t="shared" si="53"/>
        <v>0</v>
      </c>
      <c r="BC33" s="49">
        <f t="shared" si="53"/>
        <v>0</v>
      </c>
      <c r="BD33" s="49">
        <f t="shared" si="53"/>
        <v>0</v>
      </c>
      <c r="BE33" s="49">
        <f t="shared" si="53"/>
        <v>0</v>
      </c>
      <c r="BF33" s="49"/>
    </row>
    <row r="34" spans="2:59" x14ac:dyDescent="0.35">
      <c r="B34" s="8" t="s">
        <v>6</v>
      </c>
      <c r="D34" s="49">
        <f t="shared" ref="D34:AI34" si="54">(D30*$C$7)*$C$6</f>
        <v>46312.5</v>
      </c>
      <c r="E34" s="49">
        <f t="shared" si="54"/>
        <v>91649.999999999985</v>
      </c>
      <c r="F34" s="49">
        <f t="shared" si="54"/>
        <v>89700</v>
      </c>
      <c r="G34" s="49">
        <f t="shared" si="54"/>
        <v>87749.999999999971</v>
      </c>
      <c r="H34" s="49">
        <f t="shared" si="54"/>
        <v>85799.999999999985</v>
      </c>
      <c r="I34" s="49">
        <f t="shared" si="54"/>
        <v>83849.999999999956</v>
      </c>
      <c r="J34" s="49">
        <f t="shared" si="54"/>
        <v>81899.999999999971</v>
      </c>
      <c r="K34" s="49">
        <f t="shared" si="54"/>
        <v>79949.999999999942</v>
      </c>
      <c r="L34" s="49">
        <f t="shared" si="54"/>
        <v>77999.999999999956</v>
      </c>
      <c r="M34" s="49">
        <f t="shared" si="54"/>
        <v>76049.999999999956</v>
      </c>
      <c r="N34" s="49">
        <f t="shared" si="54"/>
        <v>74099.999999999971</v>
      </c>
      <c r="O34" s="49">
        <f t="shared" si="54"/>
        <v>72149.999999999956</v>
      </c>
      <c r="P34" s="49">
        <f t="shared" si="54"/>
        <v>70199.999999999971</v>
      </c>
      <c r="Q34" s="49">
        <f t="shared" si="54"/>
        <v>68249.999999999971</v>
      </c>
      <c r="R34" s="49">
        <f t="shared" si="54"/>
        <v>66299.999999999971</v>
      </c>
      <c r="S34" s="49">
        <f t="shared" si="54"/>
        <v>64349.999999999971</v>
      </c>
      <c r="T34" s="49">
        <f t="shared" si="54"/>
        <v>62399.999999999985</v>
      </c>
      <c r="U34" s="49">
        <f t="shared" si="54"/>
        <v>60449.999999999971</v>
      </c>
      <c r="V34" s="49">
        <f t="shared" si="54"/>
        <v>58499.999999999993</v>
      </c>
      <c r="W34" s="49">
        <f t="shared" si="54"/>
        <v>56549.999999999978</v>
      </c>
      <c r="X34" s="49">
        <f t="shared" si="54"/>
        <v>54599.999999999993</v>
      </c>
      <c r="Y34" s="49">
        <f t="shared" si="54"/>
        <v>52649.999999999993</v>
      </c>
      <c r="Z34" s="49">
        <f t="shared" si="54"/>
        <v>50700</v>
      </c>
      <c r="AA34" s="49">
        <f t="shared" si="54"/>
        <v>48749.999999999993</v>
      </c>
      <c r="AB34" s="49">
        <f t="shared" si="54"/>
        <v>46800</v>
      </c>
      <c r="AC34" s="49">
        <f t="shared" si="54"/>
        <v>44850</v>
      </c>
      <c r="AD34" s="49">
        <f t="shared" si="54"/>
        <v>42900.000000000007</v>
      </c>
      <c r="AE34" s="49">
        <f t="shared" si="54"/>
        <v>40950</v>
      </c>
      <c r="AF34" s="49">
        <f t="shared" si="54"/>
        <v>39000.000000000007</v>
      </c>
      <c r="AG34" s="49">
        <f t="shared" si="54"/>
        <v>37050.000000000007</v>
      </c>
      <c r="AH34" s="49">
        <f t="shared" si="54"/>
        <v>35100</v>
      </c>
      <c r="AI34" s="49">
        <f t="shared" si="54"/>
        <v>33150.000000000007</v>
      </c>
      <c r="AJ34" s="49">
        <f t="shared" ref="AJ34:AZ34" si="55">(AJ30*$C$7)*$C$6</f>
        <v>31200</v>
      </c>
      <c r="AK34" s="49">
        <f t="shared" si="55"/>
        <v>29250</v>
      </c>
      <c r="AL34" s="49">
        <f t="shared" si="55"/>
        <v>27299.999999999996</v>
      </c>
      <c r="AM34" s="49">
        <f t="shared" si="55"/>
        <v>25350</v>
      </c>
      <c r="AN34" s="49">
        <f t="shared" si="55"/>
        <v>23399.999999999993</v>
      </c>
      <c r="AO34" s="49">
        <f t="shared" si="55"/>
        <v>21449.999999999996</v>
      </c>
      <c r="AP34" s="49">
        <f t="shared" si="55"/>
        <v>19499.999999999993</v>
      </c>
      <c r="AQ34" s="49">
        <f t="shared" si="55"/>
        <v>17549.999999999993</v>
      </c>
      <c r="AR34" s="49">
        <f t="shared" si="55"/>
        <v>15599.999999999996</v>
      </c>
      <c r="AS34" s="49">
        <f t="shared" si="55"/>
        <v>13649.999999999993</v>
      </c>
      <c r="AT34" s="49">
        <f t="shared" si="55"/>
        <v>11699.999999999996</v>
      </c>
      <c r="AU34" s="49">
        <f t="shared" si="55"/>
        <v>9749.9999999999964</v>
      </c>
      <c r="AV34" s="49">
        <f t="shared" si="55"/>
        <v>7799.9999999999973</v>
      </c>
      <c r="AW34" s="49">
        <f t="shared" si="55"/>
        <v>5849.9999999999973</v>
      </c>
      <c r="AX34" s="49">
        <f t="shared" si="55"/>
        <v>3899.9999999999964</v>
      </c>
      <c r="AY34" s="49">
        <f t="shared" si="55"/>
        <v>1949.9999999999968</v>
      </c>
      <c r="AZ34" s="49">
        <f t="shared" si="55"/>
        <v>487.49999999999113</v>
      </c>
      <c r="BA34" s="49">
        <f t="shared" ref="BA34:BE34" si="56">(BA30*$C$7)*$C$6</f>
        <v>0</v>
      </c>
      <c r="BB34" s="49">
        <f t="shared" si="56"/>
        <v>0</v>
      </c>
      <c r="BC34" s="49">
        <f t="shared" si="56"/>
        <v>0</v>
      </c>
      <c r="BD34" s="49">
        <f t="shared" si="56"/>
        <v>0</v>
      </c>
      <c r="BE34" s="49">
        <f t="shared" si="56"/>
        <v>0</v>
      </c>
      <c r="BF34" s="49"/>
      <c r="BG34" s="3"/>
    </row>
    <row r="35" spans="2:59" x14ac:dyDescent="0.35">
      <c r="B35" s="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</row>
    <row r="36" spans="2:59" x14ac:dyDescent="0.35">
      <c r="B36" s="8" t="s">
        <v>11</v>
      </c>
      <c r="D36" s="50">
        <f>D26</f>
        <v>1250000</v>
      </c>
      <c r="E36" s="55">
        <f>D38+D23/2</f>
        <v>2300000</v>
      </c>
      <c r="F36" s="49">
        <f>E38</f>
        <v>2100000</v>
      </c>
      <c r="G36" s="49">
        <f t="shared" ref="G36:N36" si="57">F38</f>
        <v>1900000</v>
      </c>
      <c r="H36" s="49">
        <f t="shared" si="57"/>
        <v>1700000</v>
      </c>
      <c r="I36" s="49">
        <f t="shared" si="57"/>
        <v>1500000</v>
      </c>
      <c r="J36" s="49">
        <f t="shared" si="57"/>
        <v>1300000</v>
      </c>
      <c r="K36" s="49">
        <f t="shared" si="57"/>
        <v>1100000</v>
      </c>
      <c r="L36" s="49">
        <f t="shared" si="57"/>
        <v>900000</v>
      </c>
      <c r="M36" s="49">
        <f t="shared" si="57"/>
        <v>700000</v>
      </c>
      <c r="N36" s="49">
        <f t="shared" si="57"/>
        <v>500000</v>
      </c>
      <c r="O36" s="49">
        <f t="shared" ref="O36" si="58">N38</f>
        <v>300000</v>
      </c>
      <c r="P36" s="49">
        <f>O38</f>
        <v>100000</v>
      </c>
      <c r="Q36" s="49">
        <f t="shared" ref="Q36" si="59">P38</f>
        <v>0</v>
      </c>
      <c r="R36" s="49">
        <f>Q38</f>
        <v>0</v>
      </c>
      <c r="S36" s="49">
        <f t="shared" ref="S36" si="60">R38</f>
        <v>0</v>
      </c>
      <c r="T36" s="49">
        <f t="shared" ref="T36" si="61">S38</f>
        <v>0</v>
      </c>
      <c r="U36" s="49">
        <f t="shared" ref="U36" si="62">T38</f>
        <v>0</v>
      </c>
      <c r="V36" s="49">
        <f t="shared" ref="V36" si="63">U38</f>
        <v>0</v>
      </c>
      <c r="W36" s="49">
        <f t="shared" ref="W36" si="64">V38</f>
        <v>0</v>
      </c>
      <c r="X36" s="49">
        <f t="shared" ref="X36" si="65">W38</f>
        <v>0</v>
      </c>
      <c r="Y36" s="49">
        <f t="shared" ref="Y36" si="66">X38</f>
        <v>0</v>
      </c>
      <c r="Z36" s="49">
        <f t="shared" ref="Z36" si="67">Y38</f>
        <v>0</v>
      </c>
      <c r="AA36" s="49">
        <f t="shared" ref="AA36" si="68">Z38</f>
        <v>0</v>
      </c>
      <c r="AB36" s="49">
        <f t="shared" ref="AB36" si="69">AA38</f>
        <v>0</v>
      </c>
      <c r="AC36" s="49">
        <f t="shared" ref="AC36" si="70">AB38</f>
        <v>0</v>
      </c>
      <c r="AD36" s="49">
        <f t="shared" ref="AD36" si="71">AC38</f>
        <v>0</v>
      </c>
      <c r="AE36" s="49">
        <f t="shared" ref="AE36" si="72">AD38</f>
        <v>0</v>
      </c>
      <c r="AF36" s="49">
        <f t="shared" ref="AF36" si="73">AE38</f>
        <v>0</v>
      </c>
      <c r="AG36" s="49">
        <f t="shared" ref="AG36:AH36" si="74">AF38</f>
        <v>0</v>
      </c>
      <c r="AH36" s="49">
        <f t="shared" si="74"/>
        <v>0</v>
      </c>
      <c r="AI36" s="49">
        <f t="shared" ref="AI36" si="75">AH38</f>
        <v>0</v>
      </c>
      <c r="AJ36" s="49">
        <f t="shared" ref="AJ36" si="76">AI38</f>
        <v>0</v>
      </c>
      <c r="AK36" s="49">
        <f t="shared" ref="AK36" si="77">AJ38</f>
        <v>0</v>
      </c>
      <c r="AL36" s="49">
        <f t="shared" ref="AL36" si="78">AK38</f>
        <v>0</v>
      </c>
      <c r="AM36" s="49">
        <f t="shared" ref="AM36" si="79">AL38</f>
        <v>0</v>
      </c>
      <c r="AN36" s="49">
        <f t="shared" ref="AN36" si="80">AM38</f>
        <v>0</v>
      </c>
      <c r="AO36" s="49">
        <f t="shared" ref="AO36" si="81">AN38</f>
        <v>0</v>
      </c>
      <c r="AP36" s="49">
        <f t="shared" ref="AP36" si="82">AO38</f>
        <v>0</v>
      </c>
      <c r="AQ36" s="49">
        <f t="shared" ref="AQ36" si="83">AP38</f>
        <v>0</v>
      </c>
      <c r="AR36" s="49">
        <f t="shared" ref="AR36" si="84">AQ38</f>
        <v>0</v>
      </c>
      <c r="AS36" s="49">
        <f t="shared" ref="AS36" si="85">AR38</f>
        <v>0</v>
      </c>
      <c r="AT36" s="49">
        <f t="shared" ref="AT36" si="86">AS38</f>
        <v>0</v>
      </c>
      <c r="AU36" s="49">
        <f t="shared" ref="AU36" si="87">AT38</f>
        <v>0</v>
      </c>
      <c r="AV36" s="49">
        <f t="shared" ref="AV36" si="88">AU38</f>
        <v>0</v>
      </c>
      <c r="AW36" s="49">
        <f t="shared" ref="AW36" si="89">AV38</f>
        <v>0</v>
      </c>
      <c r="AX36" s="49">
        <f t="shared" ref="AX36" si="90">AW38</f>
        <v>0</v>
      </c>
      <c r="AY36" s="49">
        <f t="shared" ref="AY36" si="91">AX38</f>
        <v>0</v>
      </c>
      <c r="AZ36" s="49">
        <f t="shared" ref="AZ36" si="92">AY38</f>
        <v>0</v>
      </c>
      <c r="BA36" s="49">
        <f t="shared" ref="BA36" si="93">AZ38</f>
        <v>0</v>
      </c>
      <c r="BB36" s="49">
        <f t="shared" ref="BB36" si="94">BA38</f>
        <v>0</v>
      </c>
      <c r="BC36" s="49">
        <f t="shared" ref="BC36" si="95">BB38</f>
        <v>0</v>
      </c>
      <c r="BD36" s="49">
        <f t="shared" ref="BD36" si="96">BC38</f>
        <v>0</v>
      </c>
      <c r="BE36" s="49">
        <f t="shared" ref="BE36" si="97">BD38</f>
        <v>0</v>
      </c>
      <c r="BF36" s="49"/>
    </row>
    <row r="37" spans="2:59" x14ac:dyDescent="0.35">
      <c r="B37" s="8" t="s">
        <v>17</v>
      </c>
      <c r="C37" s="113"/>
      <c r="D37" s="55">
        <f>(D26*C12)*2</f>
        <v>200000</v>
      </c>
      <c r="E37" s="49">
        <f t="shared" ref="E37:O37" si="98">IF(E36&gt;0,$D$23*$C12,0)</f>
        <v>200000</v>
      </c>
      <c r="F37" s="49">
        <f t="shared" si="98"/>
        <v>200000</v>
      </c>
      <c r="G37" s="49">
        <f t="shared" si="98"/>
        <v>200000</v>
      </c>
      <c r="H37" s="49">
        <f t="shared" si="98"/>
        <v>200000</v>
      </c>
      <c r="I37" s="49">
        <f t="shared" si="98"/>
        <v>200000</v>
      </c>
      <c r="J37" s="49">
        <f t="shared" si="98"/>
        <v>200000</v>
      </c>
      <c r="K37" s="49">
        <f t="shared" si="98"/>
        <v>200000</v>
      </c>
      <c r="L37" s="49">
        <f t="shared" si="98"/>
        <v>200000</v>
      </c>
      <c r="M37" s="49">
        <f t="shared" si="98"/>
        <v>200000</v>
      </c>
      <c r="N37" s="49">
        <f t="shared" si="98"/>
        <v>200000</v>
      </c>
      <c r="O37" s="49">
        <f t="shared" si="98"/>
        <v>200000</v>
      </c>
      <c r="P37" s="50">
        <f>IF(P36&gt;0,$D$23*$C12,0)/2</f>
        <v>100000</v>
      </c>
      <c r="Q37" s="49">
        <f t="shared" ref="Q37:BE37" si="99">IF(Q36&gt;0,$D$23*$C12,0)</f>
        <v>0</v>
      </c>
      <c r="R37" s="49">
        <f t="shared" si="99"/>
        <v>0</v>
      </c>
      <c r="S37" s="49">
        <f t="shared" si="99"/>
        <v>0</v>
      </c>
      <c r="T37" s="49">
        <f t="shared" si="99"/>
        <v>0</v>
      </c>
      <c r="U37" s="49">
        <f t="shared" si="99"/>
        <v>0</v>
      </c>
      <c r="V37" s="49">
        <f t="shared" si="99"/>
        <v>0</v>
      </c>
      <c r="W37" s="49">
        <f t="shared" si="99"/>
        <v>0</v>
      </c>
      <c r="X37" s="49">
        <f t="shared" si="99"/>
        <v>0</v>
      </c>
      <c r="Y37" s="49">
        <f t="shared" si="99"/>
        <v>0</v>
      </c>
      <c r="Z37" s="49">
        <f t="shared" si="99"/>
        <v>0</v>
      </c>
      <c r="AA37" s="49">
        <f t="shared" si="99"/>
        <v>0</v>
      </c>
      <c r="AB37" s="49">
        <f t="shared" si="99"/>
        <v>0</v>
      </c>
      <c r="AC37" s="49">
        <f t="shared" si="99"/>
        <v>0</v>
      </c>
      <c r="AD37" s="49">
        <f t="shared" si="99"/>
        <v>0</v>
      </c>
      <c r="AE37" s="49">
        <f t="shared" si="99"/>
        <v>0</v>
      </c>
      <c r="AF37" s="49">
        <f t="shared" si="99"/>
        <v>0</v>
      </c>
      <c r="AG37" s="49">
        <f t="shared" si="99"/>
        <v>0</v>
      </c>
      <c r="AH37" s="49">
        <f t="shared" si="99"/>
        <v>0</v>
      </c>
      <c r="AI37" s="49">
        <f t="shared" si="99"/>
        <v>0</v>
      </c>
      <c r="AJ37" s="49">
        <f t="shared" si="99"/>
        <v>0</v>
      </c>
      <c r="AK37" s="49">
        <f t="shared" si="99"/>
        <v>0</v>
      </c>
      <c r="AL37" s="49">
        <f t="shared" si="99"/>
        <v>0</v>
      </c>
      <c r="AM37" s="49">
        <f t="shared" si="99"/>
        <v>0</v>
      </c>
      <c r="AN37" s="49">
        <f t="shared" si="99"/>
        <v>0</v>
      </c>
      <c r="AO37" s="49">
        <f t="shared" si="99"/>
        <v>0</v>
      </c>
      <c r="AP37" s="49">
        <f t="shared" si="99"/>
        <v>0</v>
      </c>
      <c r="AQ37" s="49">
        <f t="shared" si="99"/>
        <v>0</v>
      </c>
      <c r="AR37" s="49">
        <f t="shared" si="99"/>
        <v>0</v>
      </c>
      <c r="AS37" s="49">
        <f t="shared" si="99"/>
        <v>0</v>
      </c>
      <c r="AT37" s="49">
        <f t="shared" si="99"/>
        <v>0</v>
      </c>
      <c r="AU37" s="49">
        <f t="shared" si="99"/>
        <v>0</v>
      </c>
      <c r="AV37" s="49">
        <f t="shared" si="99"/>
        <v>0</v>
      </c>
      <c r="AW37" s="49">
        <f t="shared" si="99"/>
        <v>0</v>
      </c>
      <c r="AX37" s="49">
        <f t="shared" si="99"/>
        <v>0</v>
      </c>
      <c r="AY37" s="49">
        <f t="shared" si="99"/>
        <v>0</v>
      </c>
      <c r="AZ37" s="49">
        <f t="shared" si="99"/>
        <v>0</v>
      </c>
      <c r="BA37" s="49">
        <f t="shared" si="99"/>
        <v>0</v>
      </c>
      <c r="BB37" s="49">
        <f t="shared" si="99"/>
        <v>0</v>
      </c>
      <c r="BC37" s="49">
        <f t="shared" si="99"/>
        <v>0</v>
      </c>
      <c r="BD37" s="49">
        <f t="shared" si="99"/>
        <v>0</v>
      </c>
      <c r="BE37" s="49">
        <f t="shared" si="99"/>
        <v>0</v>
      </c>
      <c r="BF37" s="49"/>
    </row>
    <row r="38" spans="2:59" x14ac:dyDescent="0.35">
      <c r="B38" s="8" t="s">
        <v>12</v>
      </c>
      <c r="D38" s="49">
        <f>IF((D36-D37)&gt;0,D36-D37,0)</f>
        <v>1050000</v>
      </c>
      <c r="E38" s="49">
        <f t="shared" ref="E38:AG38" si="100">IF((E36-E37)&gt;0,E36-E37,0)</f>
        <v>2100000</v>
      </c>
      <c r="F38" s="49">
        <f t="shared" si="100"/>
        <v>1900000</v>
      </c>
      <c r="G38" s="49">
        <f t="shared" si="100"/>
        <v>1700000</v>
      </c>
      <c r="H38" s="49">
        <f t="shared" si="100"/>
        <v>1500000</v>
      </c>
      <c r="I38" s="49">
        <f t="shared" si="100"/>
        <v>1300000</v>
      </c>
      <c r="J38" s="49">
        <f t="shared" si="100"/>
        <v>1100000</v>
      </c>
      <c r="K38" s="49">
        <f t="shared" si="100"/>
        <v>900000</v>
      </c>
      <c r="L38" s="49">
        <f t="shared" si="100"/>
        <v>700000</v>
      </c>
      <c r="M38" s="49">
        <f t="shared" si="100"/>
        <v>500000</v>
      </c>
      <c r="N38" s="49">
        <f t="shared" si="100"/>
        <v>300000</v>
      </c>
      <c r="O38" s="49">
        <f t="shared" si="100"/>
        <v>100000</v>
      </c>
      <c r="P38" s="49">
        <f t="shared" si="100"/>
        <v>0</v>
      </c>
      <c r="Q38" s="49">
        <f t="shared" si="100"/>
        <v>0</v>
      </c>
      <c r="R38" s="49">
        <f t="shared" si="100"/>
        <v>0</v>
      </c>
      <c r="S38" s="49">
        <f t="shared" si="100"/>
        <v>0</v>
      </c>
      <c r="T38" s="49">
        <f t="shared" si="100"/>
        <v>0</v>
      </c>
      <c r="U38" s="49">
        <f t="shared" si="100"/>
        <v>0</v>
      </c>
      <c r="V38" s="49">
        <f t="shared" si="100"/>
        <v>0</v>
      </c>
      <c r="W38" s="49">
        <f t="shared" si="100"/>
        <v>0</v>
      </c>
      <c r="X38" s="49">
        <f t="shared" si="100"/>
        <v>0</v>
      </c>
      <c r="Y38" s="49">
        <f t="shared" si="100"/>
        <v>0</v>
      </c>
      <c r="Z38" s="49">
        <f t="shared" si="100"/>
        <v>0</v>
      </c>
      <c r="AA38" s="49">
        <f t="shared" si="100"/>
        <v>0</v>
      </c>
      <c r="AB38" s="49">
        <f t="shared" si="100"/>
        <v>0</v>
      </c>
      <c r="AC38" s="49">
        <f>IF((AC36-AC12)&gt;0,AC36-AC12,0)</f>
        <v>0</v>
      </c>
      <c r="AD38" s="49">
        <f t="shared" si="100"/>
        <v>0</v>
      </c>
      <c r="AE38" s="49">
        <f t="shared" si="100"/>
        <v>0</v>
      </c>
      <c r="AF38" s="49">
        <f t="shared" si="100"/>
        <v>0</v>
      </c>
      <c r="AG38" s="49">
        <f t="shared" si="100"/>
        <v>0</v>
      </c>
      <c r="AH38" s="49">
        <f t="shared" ref="AH38" si="101">IF((AH36-AH37)&gt;0,AH36-AH37,0)</f>
        <v>0</v>
      </c>
      <c r="AI38" s="49">
        <f t="shared" ref="AI38:AZ38" si="102">IF((AI36-AI37)&gt;0,AI36-AI37,0)</f>
        <v>0</v>
      </c>
      <c r="AJ38" s="49">
        <f t="shared" si="102"/>
        <v>0</v>
      </c>
      <c r="AK38" s="49">
        <f t="shared" si="102"/>
        <v>0</v>
      </c>
      <c r="AL38" s="49">
        <f t="shared" si="102"/>
        <v>0</v>
      </c>
      <c r="AM38" s="49">
        <f t="shared" si="102"/>
        <v>0</v>
      </c>
      <c r="AN38" s="49">
        <f t="shared" si="102"/>
        <v>0</v>
      </c>
      <c r="AO38" s="49">
        <f t="shared" si="102"/>
        <v>0</v>
      </c>
      <c r="AP38" s="49">
        <f t="shared" si="102"/>
        <v>0</v>
      </c>
      <c r="AQ38" s="49">
        <f t="shared" si="102"/>
        <v>0</v>
      </c>
      <c r="AR38" s="49">
        <f t="shared" si="102"/>
        <v>0</v>
      </c>
      <c r="AS38" s="49">
        <f t="shared" si="102"/>
        <v>0</v>
      </c>
      <c r="AT38" s="49">
        <f t="shared" si="102"/>
        <v>0</v>
      </c>
      <c r="AU38" s="49">
        <f t="shared" si="102"/>
        <v>0</v>
      </c>
      <c r="AV38" s="49">
        <f t="shared" si="102"/>
        <v>0</v>
      </c>
      <c r="AW38" s="49">
        <f t="shared" si="102"/>
        <v>0</v>
      </c>
      <c r="AX38" s="49">
        <f t="shared" si="102"/>
        <v>0</v>
      </c>
      <c r="AY38" s="49">
        <f t="shared" si="102"/>
        <v>0</v>
      </c>
      <c r="AZ38" s="49">
        <f t="shared" si="102"/>
        <v>0</v>
      </c>
      <c r="BA38" s="49">
        <f t="shared" ref="BA38:BE38" si="103">IF((BA36-BA37)&gt;0,BA36-BA37,0)</f>
        <v>0</v>
      </c>
      <c r="BB38" s="49">
        <f t="shared" si="103"/>
        <v>0</v>
      </c>
      <c r="BC38" s="49">
        <f>IF((BC36-BC12)&gt;0,BC36-BC12,0)</f>
        <v>0</v>
      </c>
      <c r="BD38" s="49">
        <f t="shared" si="103"/>
        <v>0</v>
      </c>
      <c r="BE38" s="49">
        <f t="shared" si="103"/>
        <v>0</v>
      </c>
      <c r="BF38" s="49"/>
    </row>
    <row r="39" spans="2:59" x14ac:dyDescent="0.35">
      <c r="B39" s="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</row>
    <row r="40" spans="2:59" x14ac:dyDescent="0.35">
      <c r="B40" s="8" t="s">
        <v>13</v>
      </c>
      <c r="D40" s="49">
        <f>D34+D32-D37</f>
        <v>-127645.83333333334</v>
      </c>
      <c r="E40" s="49">
        <f t="shared" ref="E40:AZ40" si="104">E34+E32-E37</f>
        <v>-56266.666666666686</v>
      </c>
      <c r="F40" s="49">
        <f t="shared" si="104"/>
        <v>-58216.666666666686</v>
      </c>
      <c r="G40" s="49">
        <f t="shared" si="104"/>
        <v>-60166.666666666686</v>
      </c>
      <c r="H40" s="49">
        <f t="shared" si="104"/>
        <v>-62116.666666666686</v>
      </c>
      <c r="I40" s="49">
        <f t="shared" si="104"/>
        <v>-64066.666666666715</v>
      </c>
      <c r="J40" s="49">
        <f t="shared" si="104"/>
        <v>-66016.666666666686</v>
      </c>
      <c r="K40" s="49">
        <f t="shared" si="104"/>
        <v>-67966.666666666744</v>
      </c>
      <c r="L40" s="49">
        <f t="shared" si="104"/>
        <v>-69916.666666666715</v>
      </c>
      <c r="M40" s="49">
        <f t="shared" si="104"/>
        <v>-71866.666666666715</v>
      </c>
      <c r="N40" s="49">
        <f t="shared" si="104"/>
        <v>-73816.666666666701</v>
      </c>
      <c r="O40" s="49">
        <f t="shared" si="104"/>
        <v>-75766.666666666715</v>
      </c>
      <c r="P40" s="49">
        <f t="shared" si="104"/>
        <v>22283.333333333299</v>
      </c>
      <c r="Q40" s="49">
        <f t="shared" si="104"/>
        <v>120333.3333333333</v>
      </c>
      <c r="R40" s="49">
        <f t="shared" si="104"/>
        <v>118383.3333333333</v>
      </c>
      <c r="S40" s="49">
        <f t="shared" si="104"/>
        <v>116433.3333333333</v>
      </c>
      <c r="T40" s="49">
        <f t="shared" si="104"/>
        <v>114483.33333333331</v>
      </c>
      <c r="U40" s="49">
        <f t="shared" si="104"/>
        <v>112533.3333333333</v>
      </c>
      <c r="V40" s="49">
        <f t="shared" si="104"/>
        <v>110583.33333333331</v>
      </c>
      <c r="W40" s="49">
        <f t="shared" si="104"/>
        <v>108633.33333333331</v>
      </c>
      <c r="X40" s="49">
        <f t="shared" si="104"/>
        <v>106683.33333333331</v>
      </c>
      <c r="Y40" s="49">
        <f t="shared" si="104"/>
        <v>104733.33333333331</v>
      </c>
      <c r="Z40" s="49">
        <f t="shared" si="104"/>
        <v>102783.33333333333</v>
      </c>
      <c r="AA40" s="49">
        <f t="shared" si="104"/>
        <v>100833.33333333331</v>
      </c>
      <c r="AB40" s="49">
        <f t="shared" si="104"/>
        <v>98883.333333333328</v>
      </c>
      <c r="AC40" s="49">
        <f>AC34+AC32-AC12</f>
        <v>96933.333333333328</v>
      </c>
      <c r="AD40" s="49">
        <f t="shared" si="104"/>
        <v>94983.333333333343</v>
      </c>
      <c r="AE40" s="49">
        <f t="shared" si="104"/>
        <v>93033.333333333328</v>
      </c>
      <c r="AF40" s="49">
        <f t="shared" si="104"/>
        <v>91083.333333333343</v>
      </c>
      <c r="AG40" s="49">
        <f t="shared" si="104"/>
        <v>89133.333333333343</v>
      </c>
      <c r="AH40" s="49">
        <f t="shared" si="104"/>
        <v>87183.333333333328</v>
      </c>
      <c r="AI40" s="49">
        <f t="shared" si="104"/>
        <v>85233.333333333343</v>
      </c>
      <c r="AJ40" s="49">
        <f t="shared" si="104"/>
        <v>83283.333333333328</v>
      </c>
      <c r="AK40" s="49">
        <f t="shared" si="104"/>
        <v>81333.333333333328</v>
      </c>
      <c r="AL40" s="49">
        <f t="shared" si="104"/>
        <v>79383.333333333328</v>
      </c>
      <c r="AM40" s="49">
        <f t="shared" si="104"/>
        <v>77433.333333333328</v>
      </c>
      <c r="AN40" s="49">
        <f t="shared" si="104"/>
        <v>75483.333333333314</v>
      </c>
      <c r="AO40" s="49">
        <f t="shared" si="104"/>
        <v>73533.333333333328</v>
      </c>
      <c r="AP40" s="49">
        <f t="shared" si="104"/>
        <v>71583.333333333314</v>
      </c>
      <c r="AQ40" s="49">
        <f t="shared" si="104"/>
        <v>69633.333333333314</v>
      </c>
      <c r="AR40" s="49">
        <f t="shared" si="104"/>
        <v>67683.333333333328</v>
      </c>
      <c r="AS40" s="49">
        <f t="shared" si="104"/>
        <v>65733.333333333314</v>
      </c>
      <c r="AT40" s="49">
        <f t="shared" si="104"/>
        <v>63783.333333333328</v>
      </c>
      <c r="AU40" s="49">
        <f t="shared" si="104"/>
        <v>61833.333333333328</v>
      </c>
      <c r="AV40" s="49">
        <f t="shared" si="104"/>
        <v>59883.333333333328</v>
      </c>
      <c r="AW40" s="49">
        <f t="shared" si="104"/>
        <v>57933.333333333328</v>
      </c>
      <c r="AX40" s="49">
        <f t="shared" si="104"/>
        <v>55983.333333333328</v>
      </c>
      <c r="AY40" s="49">
        <f t="shared" si="104"/>
        <v>54033.333333333328</v>
      </c>
      <c r="AZ40" s="49">
        <f t="shared" si="104"/>
        <v>26529.16666666697</v>
      </c>
      <c r="BA40" s="49">
        <f t="shared" ref="BA40:BE40" si="105">BA34+BA32-BA37</f>
        <v>0</v>
      </c>
      <c r="BB40" s="49">
        <f t="shared" si="105"/>
        <v>0</v>
      </c>
      <c r="BC40" s="49">
        <f>BC34+BC32-BC12</f>
        <v>0</v>
      </c>
      <c r="BD40" s="49">
        <f t="shared" si="105"/>
        <v>0</v>
      </c>
      <c r="BE40" s="49">
        <f t="shared" si="105"/>
        <v>0</v>
      </c>
      <c r="BF40" s="49"/>
    </row>
    <row r="41" spans="2:59" x14ac:dyDescent="0.35">
      <c r="B41" s="8" t="s">
        <v>41</v>
      </c>
      <c r="C41" s="112"/>
      <c r="D41" s="49">
        <f>(D40*$C$13)/(1-$C$13)</f>
        <v>-46021.967120181413</v>
      </c>
      <c r="E41" s="49">
        <f>(E40*$C$13)/(1-$C$13)</f>
        <v>-20286.621315192755</v>
      </c>
      <c r="F41" s="49">
        <f t="shared" ref="F41:H41" si="106">(F40*$C$13)/(1-$C$13)</f>
        <v>-20989.682539682548</v>
      </c>
      <c r="G41" s="49">
        <f t="shared" si="106"/>
        <v>-21692.743764172345</v>
      </c>
      <c r="H41" s="49">
        <f t="shared" si="106"/>
        <v>-22395.804988662137</v>
      </c>
      <c r="I41" s="49">
        <f t="shared" ref="I41" si="107">(I40*$C$13)/(1-$C$13)</f>
        <v>-23098.866213151945</v>
      </c>
      <c r="J41" s="49">
        <f t="shared" ref="J41" si="108">(J40*$C$13)/(1-$C$13)</f>
        <v>-23801.927437641731</v>
      </c>
      <c r="K41" s="49">
        <f t="shared" ref="K41" si="109">(K40*$C$13)/(1-$C$13)</f>
        <v>-24504.988662131553</v>
      </c>
      <c r="L41" s="49">
        <f t="shared" ref="L41" si="110">(L40*$C$13)/(1-$C$13)</f>
        <v>-25208.049886621331</v>
      </c>
      <c r="M41" s="49">
        <f t="shared" ref="M41" si="111">(M40*$C$13)/(1-$C$13)</f>
        <v>-25911.111111111128</v>
      </c>
      <c r="N41" s="49">
        <f t="shared" ref="N41" si="112">(N40*$C$13)/(1-$C$13)</f>
        <v>-26614.172335600921</v>
      </c>
      <c r="O41" s="49">
        <f t="shared" ref="O41" si="113">(O40*$C$13)/(1-$C$13)</f>
        <v>-27317.233560090721</v>
      </c>
      <c r="P41" s="49">
        <f t="shared" ref="P41" si="114">(P40*$C$13)/(1-$C$13)</f>
        <v>8034.1269841269723</v>
      </c>
      <c r="Q41" s="49">
        <f t="shared" ref="Q41" si="115">(Q40*$C$13)/(1-$C$13)</f>
        <v>43385.48752834466</v>
      </c>
      <c r="R41" s="49">
        <f t="shared" ref="R41" si="116">(R40*$C$13)/(1-$C$13)</f>
        <v>42682.426303854867</v>
      </c>
      <c r="S41" s="49">
        <f t="shared" ref="S41" si="117">(S40*$C$13)/(1-$C$13)</f>
        <v>41979.365079365067</v>
      </c>
      <c r="T41" s="49">
        <f t="shared" ref="T41" si="118">(T40*$C$13)/(1-$C$13)</f>
        <v>41276.303854875281</v>
      </c>
      <c r="U41" s="49">
        <f t="shared" ref="U41" si="119">(U40*$C$13)/(1-$C$13)</f>
        <v>40573.242630385474</v>
      </c>
      <c r="V41" s="49">
        <f t="shared" ref="V41" si="120">(V40*$C$13)/(1-$C$13)</f>
        <v>39870.181405895688</v>
      </c>
      <c r="W41" s="49">
        <f t="shared" ref="W41" si="121">(W40*$C$13)/(1-$C$13)</f>
        <v>39167.120181405888</v>
      </c>
      <c r="X41" s="49">
        <f t="shared" ref="X41" si="122">(X40*$C$13)/(1-$C$13)</f>
        <v>38464.058956916095</v>
      </c>
      <c r="Y41" s="49">
        <f t="shared" ref="Y41" si="123">(Y40*$C$13)/(1-$C$13)</f>
        <v>37760.997732426295</v>
      </c>
      <c r="Z41" s="49">
        <f t="shared" ref="Z41" si="124">(Z40*$C$13)/(1-$C$13)</f>
        <v>37057.936507936509</v>
      </c>
      <c r="AA41" s="49">
        <f t="shared" ref="AA41" si="125">(AA40*$C$13)/(1-$C$13)</f>
        <v>36354.875283446709</v>
      </c>
      <c r="AB41" s="49">
        <f t="shared" ref="AB41" si="126">(AB40*$C$13)/(1-$C$13)</f>
        <v>35651.814058956916</v>
      </c>
      <c r="AC41" s="49">
        <f t="shared" ref="AC41" si="127">(AC40*$C$13)/(1-$C$13)</f>
        <v>34948.752834467123</v>
      </c>
      <c r="AD41" s="49">
        <f t="shared" ref="AD41" si="128">(AD40*$C$13)/(1-$C$13)</f>
        <v>34245.69160997733</v>
      </c>
      <c r="AE41" s="49">
        <f t="shared" ref="AE41" si="129">(AE40*$C$13)/(1-$C$13)</f>
        <v>33542.63038548753</v>
      </c>
      <c r="AF41" s="49">
        <f t="shared" ref="AF41" si="130">(AF40*$C$13)/(1-$C$13)</f>
        <v>32839.569160997737</v>
      </c>
      <c r="AG41" s="49">
        <f t="shared" ref="AG41" si="131">(AG40*$C$13)/(1-$C$13)</f>
        <v>32136.50793650794</v>
      </c>
      <c r="AH41" s="49">
        <f t="shared" ref="AH41" si="132">(AH40*$C$13)/(1-$C$13)</f>
        <v>31433.44671201814</v>
      </c>
      <c r="AI41" s="49">
        <f t="shared" ref="AI41" si="133">(AI40*$C$13)/(1-$C$13)</f>
        <v>30730.385487528347</v>
      </c>
      <c r="AJ41" s="49">
        <f t="shared" ref="AJ41" si="134">(AJ40*$C$13)/(1-$C$13)</f>
        <v>30027.324263038547</v>
      </c>
      <c r="AK41" s="49">
        <f t="shared" ref="AK41" si="135">(AK40*$C$13)/(1-$C$13)</f>
        <v>29324.26303854875</v>
      </c>
      <c r="AL41" s="49">
        <f t="shared" ref="AL41" si="136">(AL40*$C$13)/(1-$C$13)</f>
        <v>28621.201814058957</v>
      </c>
      <c r="AM41" s="49">
        <f t="shared" ref="AM41" si="137">(AM40*$C$13)/(1-$C$13)</f>
        <v>27918.140589569161</v>
      </c>
      <c r="AN41" s="49">
        <f t="shared" ref="AN41" si="138">(AN40*$C$13)/(1-$C$13)</f>
        <v>27215.07936507936</v>
      </c>
      <c r="AO41" s="49">
        <f t="shared" ref="AO41" si="139">(AO40*$C$13)/(1-$C$13)</f>
        <v>26512.018140589567</v>
      </c>
      <c r="AP41" s="49">
        <f t="shared" ref="AP41" si="140">(AP40*$C$13)/(1-$C$13)</f>
        <v>25808.956916099767</v>
      </c>
      <c r="AQ41" s="49">
        <f t="shared" ref="AQ41" si="141">(AQ40*$C$13)/(1-$C$13)</f>
        <v>25105.895691609971</v>
      </c>
      <c r="AR41" s="49">
        <f t="shared" ref="AR41" si="142">(AR40*$C$13)/(1-$C$13)</f>
        <v>24402.834467120181</v>
      </c>
      <c r="AS41" s="49">
        <f t="shared" ref="AS41" si="143">(AS40*$C$13)/(1-$C$13)</f>
        <v>23699.773242630381</v>
      </c>
      <c r="AT41" s="49">
        <f t="shared" ref="AT41" si="144">(AT40*$C$13)/(1-$C$13)</f>
        <v>22996.712018140588</v>
      </c>
      <c r="AU41" s="49">
        <f t="shared" ref="AU41" si="145">(AU40*$C$13)/(1-$C$13)</f>
        <v>22293.650793650791</v>
      </c>
      <c r="AV41" s="49">
        <f t="shared" ref="AV41" si="146">(AV40*$C$13)/(1-$C$13)</f>
        <v>21590.589569160995</v>
      </c>
      <c r="AW41" s="49">
        <f t="shared" ref="AW41" si="147">(AW40*$C$13)/(1-$C$13)</f>
        <v>20887.528344671202</v>
      </c>
      <c r="AX41" s="49">
        <f t="shared" ref="AX41" si="148">(AX40*$C$13)/(1-$C$13)</f>
        <v>20184.467120181405</v>
      </c>
      <c r="AY41" s="49">
        <f t="shared" ref="AY41" si="149">(AY40*$C$13)/(1-$C$13)</f>
        <v>19481.405895691609</v>
      </c>
      <c r="AZ41" s="49">
        <f t="shared" ref="AZ41" si="150">(AZ40*$C$13)/(1-$C$13)</f>
        <v>9564.9376417234653</v>
      </c>
      <c r="BA41" s="49">
        <f t="shared" ref="BA41:BE41" si="151">(BA40*$C$41)/(1-$C$41)</f>
        <v>0</v>
      </c>
      <c r="BB41" s="49">
        <f t="shared" si="151"/>
        <v>0</v>
      </c>
      <c r="BC41" s="49">
        <f t="shared" si="151"/>
        <v>0</v>
      </c>
      <c r="BD41" s="49">
        <f t="shared" si="151"/>
        <v>0</v>
      </c>
      <c r="BE41" s="49">
        <f t="shared" si="151"/>
        <v>0</v>
      </c>
      <c r="BF41" s="49"/>
    </row>
    <row r="42" spans="2:59" x14ac:dyDescent="0.35">
      <c r="B42" s="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</row>
    <row r="43" spans="2:59" x14ac:dyDescent="0.35">
      <c r="B43" s="4" t="s">
        <v>36</v>
      </c>
      <c r="D43" s="56">
        <f>D32+D33+D34+D41</f>
        <v>56316.574546485244</v>
      </c>
      <c r="E43" s="56">
        <f>E32+E33+E34+E41</f>
        <v>182784.21201814056</v>
      </c>
      <c r="F43" s="56">
        <f t="shared" ref="F43:N43" si="152">F32+F33+F34+F41</f>
        <v>178868.65079365077</v>
      </c>
      <c r="G43" s="56">
        <f t="shared" si="152"/>
        <v>174953.08956916092</v>
      </c>
      <c r="H43" s="56">
        <f t="shared" si="152"/>
        <v>171037.52834467118</v>
      </c>
      <c r="I43" s="56">
        <f t="shared" si="152"/>
        <v>167121.9671201813</v>
      </c>
      <c r="J43" s="56">
        <f t="shared" si="152"/>
        <v>163206.40589569154</v>
      </c>
      <c r="K43" s="56">
        <f t="shared" si="152"/>
        <v>159290.84467120166</v>
      </c>
      <c r="L43" s="56">
        <f t="shared" si="152"/>
        <v>155375.28344671192</v>
      </c>
      <c r="M43" s="56">
        <f t="shared" si="152"/>
        <v>151459.72222222213</v>
      </c>
      <c r="N43" s="56">
        <f t="shared" si="152"/>
        <v>147544.16099773234</v>
      </c>
      <c r="O43" s="56">
        <f t="shared" ref="O43:AC43" si="153">O32+O33+O34+O41</f>
        <v>143628.59977324255</v>
      </c>
      <c r="P43" s="56">
        <f t="shared" si="153"/>
        <v>175767.46031746024</v>
      </c>
      <c r="Q43" s="56">
        <f t="shared" si="153"/>
        <v>207906.32086167793</v>
      </c>
      <c r="R43" s="56">
        <f t="shared" si="153"/>
        <v>203990.75963718817</v>
      </c>
      <c r="S43" s="56">
        <f t="shared" si="153"/>
        <v>200075.19841269834</v>
      </c>
      <c r="T43" s="56">
        <f t="shared" si="153"/>
        <v>196159.63718820858</v>
      </c>
      <c r="U43" s="56">
        <f t="shared" si="153"/>
        <v>192244.07596371876</v>
      </c>
      <c r="V43" s="56">
        <f t="shared" si="153"/>
        <v>188328.51473922899</v>
      </c>
      <c r="W43" s="56">
        <f t="shared" si="153"/>
        <v>184412.95351473917</v>
      </c>
      <c r="X43" s="56">
        <f t="shared" si="153"/>
        <v>180497.39229024941</v>
      </c>
      <c r="Y43" s="56">
        <f t="shared" si="153"/>
        <v>176581.83106575962</v>
      </c>
      <c r="Z43" s="56">
        <f t="shared" si="153"/>
        <v>172666.26984126982</v>
      </c>
      <c r="AA43" s="56">
        <f t="shared" si="153"/>
        <v>168750.70861678003</v>
      </c>
      <c r="AB43" s="56">
        <f t="shared" si="153"/>
        <v>164835.14739229024</v>
      </c>
      <c r="AC43" s="56">
        <f t="shared" si="153"/>
        <v>160919.58616780044</v>
      </c>
      <c r="AD43" s="56">
        <f t="shared" ref="AD43:AG43" si="154">AD32+AD33+AD34+AD41</f>
        <v>157004.02494331068</v>
      </c>
      <c r="AE43" s="56">
        <f t="shared" si="154"/>
        <v>153088.46371882086</v>
      </c>
      <c r="AF43" s="56">
        <f t="shared" si="154"/>
        <v>149172.90249433107</v>
      </c>
      <c r="AG43" s="56">
        <f t="shared" si="154"/>
        <v>145257.34126984127</v>
      </c>
      <c r="AH43" s="56">
        <f t="shared" ref="AH43" si="155">AH32+AH33+AH34+AH41</f>
        <v>141341.78004535148</v>
      </c>
      <c r="AI43" s="56">
        <f t="shared" ref="AI43:AZ43" si="156">AI32+AI33+AI34+AI41</f>
        <v>137426.21882086169</v>
      </c>
      <c r="AJ43" s="56">
        <f t="shared" si="156"/>
        <v>133510.65759637186</v>
      </c>
      <c r="AK43" s="56">
        <f t="shared" si="156"/>
        <v>129595.09637188207</v>
      </c>
      <c r="AL43" s="56">
        <f t="shared" si="156"/>
        <v>125679.53514739228</v>
      </c>
      <c r="AM43" s="56">
        <f t="shared" si="156"/>
        <v>121763.97392290249</v>
      </c>
      <c r="AN43" s="56">
        <f t="shared" si="156"/>
        <v>117848.41269841268</v>
      </c>
      <c r="AO43" s="56">
        <f t="shared" si="156"/>
        <v>113932.8514739229</v>
      </c>
      <c r="AP43" s="56">
        <f t="shared" si="156"/>
        <v>110017.29024943308</v>
      </c>
      <c r="AQ43" s="56">
        <f t="shared" si="156"/>
        <v>106101.72902494328</v>
      </c>
      <c r="AR43" s="56">
        <f t="shared" si="156"/>
        <v>102186.16780045349</v>
      </c>
      <c r="AS43" s="56">
        <f t="shared" si="156"/>
        <v>98270.606575963699</v>
      </c>
      <c r="AT43" s="56">
        <f t="shared" si="156"/>
        <v>94355.04535147392</v>
      </c>
      <c r="AU43" s="56">
        <f t="shared" si="156"/>
        <v>90439.484126984113</v>
      </c>
      <c r="AV43" s="56">
        <f t="shared" si="156"/>
        <v>86523.92290249432</v>
      </c>
      <c r="AW43" s="56">
        <f t="shared" si="156"/>
        <v>82608.361678004527</v>
      </c>
      <c r="AX43" s="56">
        <f t="shared" si="156"/>
        <v>78692.800453514734</v>
      </c>
      <c r="AY43" s="56">
        <f t="shared" si="156"/>
        <v>74777.239229024941</v>
      </c>
      <c r="AZ43" s="56">
        <f t="shared" si="156"/>
        <v>36409.72930839043</v>
      </c>
      <c r="BA43" s="56">
        <f t="shared" ref="BA43" si="157">BA32+BA33+BA34+BA41</f>
        <v>0</v>
      </c>
      <c r="BB43" s="56">
        <f t="shared" ref="BB43:BE43" si="158">BB32+BB33+BB34+BB41</f>
        <v>0</v>
      </c>
      <c r="BC43" s="56">
        <f t="shared" si="158"/>
        <v>0</v>
      </c>
      <c r="BD43" s="56">
        <f t="shared" si="158"/>
        <v>0</v>
      </c>
      <c r="BE43" s="56">
        <f t="shared" si="158"/>
        <v>0</v>
      </c>
      <c r="BF43" s="56"/>
      <c r="BG43" s="9"/>
    </row>
    <row r="44" spans="2:59" x14ac:dyDescent="0.35">
      <c r="B44" s="4"/>
      <c r="D44" s="57"/>
      <c r="E44" s="57"/>
      <c r="F44" s="57"/>
      <c r="G44" s="57"/>
      <c r="H44" s="57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1"/>
    </row>
    <row r="45" spans="2:59" x14ac:dyDescent="0.35">
      <c r="B45" s="4" t="s">
        <v>37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57">
        <f>D43</f>
        <v>56316.574546485244</v>
      </c>
      <c r="J45" s="57">
        <f t="shared" ref="J45:BE45" si="159">E43</f>
        <v>182784.21201814056</v>
      </c>
      <c r="K45" s="57">
        <f t="shared" si="159"/>
        <v>178868.65079365077</v>
      </c>
      <c r="L45" s="57">
        <f t="shared" si="159"/>
        <v>174953.08956916092</v>
      </c>
      <c r="M45" s="57">
        <f t="shared" si="159"/>
        <v>171037.52834467118</v>
      </c>
      <c r="N45" s="57">
        <f t="shared" si="159"/>
        <v>167121.9671201813</v>
      </c>
      <c r="O45" s="57">
        <f t="shared" si="159"/>
        <v>163206.40589569154</v>
      </c>
      <c r="P45" s="57">
        <f t="shared" si="159"/>
        <v>159290.84467120166</v>
      </c>
      <c r="Q45" s="57">
        <f t="shared" si="159"/>
        <v>155375.28344671192</v>
      </c>
      <c r="R45" s="57">
        <f t="shared" si="159"/>
        <v>151459.72222222213</v>
      </c>
      <c r="S45" s="57">
        <f t="shared" si="159"/>
        <v>147544.16099773234</v>
      </c>
      <c r="T45" s="57">
        <f t="shared" si="159"/>
        <v>143628.59977324255</v>
      </c>
      <c r="U45" s="57">
        <f t="shared" si="159"/>
        <v>175767.46031746024</v>
      </c>
      <c r="V45" s="57">
        <f t="shared" si="159"/>
        <v>207906.32086167793</v>
      </c>
      <c r="W45" s="57">
        <f t="shared" si="159"/>
        <v>203990.75963718817</v>
      </c>
      <c r="X45" s="57">
        <f t="shared" si="159"/>
        <v>200075.19841269834</v>
      </c>
      <c r="Y45" s="57">
        <f t="shared" si="159"/>
        <v>196159.63718820858</v>
      </c>
      <c r="Z45" s="57">
        <f t="shared" si="159"/>
        <v>192244.07596371876</v>
      </c>
      <c r="AA45" s="57">
        <f t="shared" si="159"/>
        <v>188328.51473922899</v>
      </c>
      <c r="AB45" s="57">
        <f t="shared" si="159"/>
        <v>184412.95351473917</v>
      </c>
      <c r="AC45" s="57">
        <f t="shared" si="159"/>
        <v>180497.39229024941</v>
      </c>
      <c r="AD45" s="57">
        <f t="shared" si="159"/>
        <v>176581.83106575962</v>
      </c>
      <c r="AE45" s="57">
        <f t="shared" si="159"/>
        <v>172666.26984126982</v>
      </c>
      <c r="AF45" s="57">
        <f t="shared" si="159"/>
        <v>168750.70861678003</v>
      </c>
      <c r="AG45" s="57">
        <f t="shared" si="159"/>
        <v>164835.14739229024</v>
      </c>
      <c r="AH45" s="57">
        <f t="shared" si="159"/>
        <v>160919.58616780044</v>
      </c>
      <c r="AI45" s="57">
        <f t="shared" si="159"/>
        <v>157004.02494331068</v>
      </c>
      <c r="AJ45" s="57">
        <f t="shared" si="159"/>
        <v>153088.46371882086</v>
      </c>
      <c r="AK45" s="57">
        <f t="shared" si="159"/>
        <v>149172.90249433107</v>
      </c>
      <c r="AL45" s="57">
        <f t="shared" si="159"/>
        <v>145257.34126984127</v>
      </c>
      <c r="AM45" s="57">
        <f t="shared" si="159"/>
        <v>141341.78004535148</v>
      </c>
      <c r="AN45" s="57">
        <f t="shared" si="159"/>
        <v>137426.21882086169</v>
      </c>
      <c r="AO45" s="57">
        <f t="shared" si="159"/>
        <v>133510.65759637186</v>
      </c>
      <c r="AP45" s="57">
        <f t="shared" si="159"/>
        <v>129595.09637188207</v>
      </c>
      <c r="AQ45" s="57">
        <f t="shared" si="159"/>
        <v>125679.53514739228</v>
      </c>
      <c r="AR45" s="57">
        <f t="shared" si="159"/>
        <v>121763.97392290249</v>
      </c>
      <c r="AS45" s="57">
        <f t="shared" si="159"/>
        <v>117848.41269841268</v>
      </c>
      <c r="AT45" s="57">
        <f t="shared" si="159"/>
        <v>113932.8514739229</v>
      </c>
      <c r="AU45" s="57">
        <f t="shared" si="159"/>
        <v>110017.29024943308</v>
      </c>
      <c r="AV45" s="57">
        <f t="shared" si="159"/>
        <v>106101.72902494328</v>
      </c>
      <c r="AW45" s="57">
        <f t="shared" si="159"/>
        <v>102186.16780045349</v>
      </c>
      <c r="AX45" s="57">
        <f t="shared" si="159"/>
        <v>98270.606575963699</v>
      </c>
      <c r="AY45" s="57">
        <f t="shared" si="159"/>
        <v>94355.04535147392</v>
      </c>
      <c r="AZ45" s="57">
        <f t="shared" si="159"/>
        <v>90439.484126984113</v>
      </c>
      <c r="BA45" s="57">
        <f t="shared" si="159"/>
        <v>86523.92290249432</v>
      </c>
      <c r="BB45" s="57">
        <f t="shared" si="159"/>
        <v>82608.361678004527</v>
      </c>
      <c r="BC45" s="57">
        <f t="shared" si="159"/>
        <v>78692.800453514734</v>
      </c>
      <c r="BD45" s="57">
        <f t="shared" si="159"/>
        <v>74777.239229024941</v>
      </c>
      <c r="BE45" s="57">
        <f t="shared" si="159"/>
        <v>36409.72930839043</v>
      </c>
      <c r="BF45" s="56"/>
      <c r="BG45" s="9"/>
    </row>
    <row r="46" spans="2:59" x14ac:dyDescent="0.35">
      <c r="B46" s="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1"/>
    </row>
    <row r="47" spans="2:59" x14ac:dyDescent="0.35">
      <c r="B47" s="4" t="s">
        <v>15</v>
      </c>
      <c r="D47" s="56">
        <f>'Assumptions and Summary'!C24</f>
        <v>25000</v>
      </c>
      <c r="E47" s="56">
        <f>'Assumptions and Summary'!D24</f>
        <v>112500</v>
      </c>
      <c r="F47" s="56">
        <f>'Assumptions and Summary'!E24</f>
        <v>137500</v>
      </c>
      <c r="G47" s="56">
        <f>'Assumptions and Summary'!F24</f>
        <v>200000</v>
      </c>
      <c r="H47" s="56">
        <f>'Assumptions and Summary'!G24</f>
        <v>237500</v>
      </c>
      <c r="I47" s="56">
        <v>0</v>
      </c>
      <c r="J47" s="56">
        <f t="shared" ref="J47:M47" si="160">I47</f>
        <v>0</v>
      </c>
      <c r="K47" s="56">
        <f t="shared" si="160"/>
        <v>0</v>
      </c>
      <c r="L47" s="56">
        <f t="shared" si="160"/>
        <v>0</v>
      </c>
      <c r="M47" s="56">
        <f t="shared" si="160"/>
        <v>0</v>
      </c>
      <c r="N47" s="56">
        <f>M47/2</f>
        <v>0</v>
      </c>
      <c r="O47" s="56">
        <f t="shared" ref="O47:AC47" si="161">N47/2</f>
        <v>0</v>
      </c>
      <c r="P47" s="56">
        <f t="shared" si="161"/>
        <v>0</v>
      </c>
      <c r="Q47" s="56">
        <f t="shared" si="161"/>
        <v>0</v>
      </c>
      <c r="R47" s="56">
        <f>Q47/2</f>
        <v>0</v>
      </c>
      <c r="S47" s="56">
        <f t="shared" si="161"/>
        <v>0</v>
      </c>
      <c r="T47" s="56">
        <f t="shared" si="161"/>
        <v>0</v>
      </c>
      <c r="U47" s="56">
        <f t="shared" si="161"/>
        <v>0</v>
      </c>
      <c r="V47" s="56">
        <f t="shared" si="161"/>
        <v>0</v>
      </c>
      <c r="W47" s="56">
        <f t="shared" si="161"/>
        <v>0</v>
      </c>
      <c r="X47" s="56">
        <f t="shared" si="161"/>
        <v>0</v>
      </c>
      <c r="Y47" s="56">
        <f t="shared" si="161"/>
        <v>0</v>
      </c>
      <c r="Z47" s="56">
        <f t="shared" si="161"/>
        <v>0</v>
      </c>
      <c r="AA47" s="56">
        <f t="shared" si="161"/>
        <v>0</v>
      </c>
      <c r="AB47" s="56">
        <f t="shared" si="161"/>
        <v>0</v>
      </c>
      <c r="AC47" s="56">
        <f t="shared" si="161"/>
        <v>0</v>
      </c>
      <c r="AD47" s="56">
        <f t="shared" ref="AD47:AH47" si="162">AC47/2</f>
        <v>0</v>
      </c>
      <c r="AE47" s="56">
        <f t="shared" si="162"/>
        <v>0</v>
      </c>
      <c r="AF47" s="56">
        <f t="shared" si="162"/>
        <v>0</v>
      </c>
      <c r="AG47" s="56">
        <f t="shared" si="162"/>
        <v>0</v>
      </c>
      <c r="AH47" s="56">
        <f t="shared" si="162"/>
        <v>0</v>
      </c>
      <c r="AI47" s="56">
        <f t="shared" ref="AI47" si="163">AH47/2</f>
        <v>0</v>
      </c>
      <c r="AJ47" s="56">
        <f t="shared" ref="AJ47" si="164">AI47/2</f>
        <v>0</v>
      </c>
      <c r="AK47" s="56">
        <f t="shared" ref="AK47" si="165">AJ47/2</f>
        <v>0</v>
      </c>
      <c r="AL47" s="56">
        <f t="shared" ref="AL47" si="166">AK47/2</f>
        <v>0</v>
      </c>
      <c r="AM47" s="56">
        <f t="shared" ref="AM47" si="167">AL47/2</f>
        <v>0</v>
      </c>
      <c r="AN47" s="56">
        <f t="shared" ref="AN47" si="168">AM47/2</f>
        <v>0</v>
      </c>
      <c r="AO47" s="56">
        <f t="shared" ref="AO47" si="169">AN47/2</f>
        <v>0</v>
      </c>
      <c r="AP47" s="56">
        <f t="shared" ref="AP47" si="170">AO47/2</f>
        <v>0</v>
      </c>
      <c r="AQ47" s="56">
        <f t="shared" ref="AQ47" si="171">AP47/2</f>
        <v>0</v>
      </c>
      <c r="AR47" s="56">
        <f t="shared" ref="AR47" si="172">AQ47/2</f>
        <v>0</v>
      </c>
      <c r="AS47" s="56">
        <f t="shared" ref="AS47" si="173">AR47/2</f>
        <v>0</v>
      </c>
      <c r="AT47" s="56">
        <f t="shared" ref="AT47" si="174">AS47/2</f>
        <v>0</v>
      </c>
      <c r="AU47" s="56">
        <f t="shared" ref="AU47" si="175">AT47/2</f>
        <v>0</v>
      </c>
      <c r="AV47" s="56">
        <f t="shared" ref="AV47" si="176">AU47/2</f>
        <v>0</v>
      </c>
      <c r="AW47" s="56">
        <f t="shared" ref="AW47" si="177">AV47/2</f>
        <v>0</v>
      </c>
      <c r="AX47" s="56">
        <f t="shared" ref="AX47" si="178">AW47/2</f>
        <v>0</v>
      </c>
      <c r="AY47" s="56">
        <f t="shared" ref="AY47" si="179">AX47/2</f>
        <v>0</v>
      </c>
      <c r="AZ47" s="56">
        <f t="shared" ref="AZ47:BA47" si="180">AY47/2</f>
        <v>0</v>
      </c>
      <c r="BA47" s="56">
        <f t="shared" si="180"/>
        <v>0</v>
      </c>
      <c r="BB47" s="56">
        <f t="shared" ref="BB47" si="181">BA47/2</f>
        <v>0</v>
      </c>
      <c r="BC47" s="56">
        <f t="shared" ref="BC47" si="182">BB47/2</f>
        <v>0</v>
      </c>
      <c r="BD47" s="56">
        <f t="shared" ref="BD47" si="183">BC47/2</f>
        <v>0</v>
      </c>
      <c r="BE47" s="56">
        <f t="shared" ref="BE47" si="184">BD47/2</f>
        <v>0</v>
      </c>
      <c r="BF47" s="56"/>
      <c r="BG47" s="9"/>
    </row>
    <row r="48" spans="2:59" x14ac:dyDescent="0.35">
      <c r="B48" s="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1"/>
    </row>
    <row r="49" spans="2:59" x14ac:dyDescent="0.35">
      <c r="B49" s="4" t="s">
        <v>16</v>
      </c>
      <c r="D49" s="56">
        <f t="shared" ref="D49:AI49" si="185">D43-(D45+D47)</f>
        <v>31316.574546485244</v>
      </c>
      <c r="E49" s="56">
        <f t="shared" si="185"/>
        <v>70284.212018140563</v>
      </c>
      <c r="F49" s="56">
        <f t="shared" si="185"/>
        <v>41368.65079365077</v>
      </c>
      <c r="G49" s="56">
        <f t="shared" si="185"/>
        <v>-25046.910430839082</v>
      </c>
      <c r="H49" s="56">
        <f t="shared" si="185"/>
        <v>-66462.471655328816</v>
      </c>
      <c r="I49" s="56">
        <f t="shared" si="185"/>
        <v>110805.39257369607</v>
      </c>
      <c r="J49" s="56">
        <f t="shared" si="185"/>
        <v>-19577.806122449023</v>
      </c>
      <c r="K49" s="56">
        <f t="shared" si="185"/>
        <v>-19577.80612244911</v>
      </c>
      <c r="L49" s="56">
        <f t="shared" si="185"/>
        <v>-19577.806122448994</v>
      </c>
      <c r="M49" s="56">
        <f t="shared" si="185"/>
        <v>-19577.806122449052</v>
      </c>
      <c r="N49" s="56">
        <f t="shared" si="185"/>
        <v>-19577.806122448965</v>
      </c>
      <c r="O49" s="56">
        <f t="shared" si="185"/>
        <v>-19577.806122448994</v>
      </c>
      <c r="P49" s="56">
        <f t="shared" si="185"/>
        <v>16476.615646258579</v>
      </c>
      <c r="Q49" s="56">
        <f t="shared" si="185"/>
        <v>52531.037414966006</v>
      </c>
      <c r="R49" s="56">
        <f t="shared" si="185"/>
        <v>52531.037414966035</v>
      </c>
      <c r="S49" s="56">
        <f t="shared" si="185"/>
        <v>52531.037414966006</v>
      </c>
      <c r="T49" s="56">
        <f t="shared" si="185"/>
        <v>52531.037414966035</v>
      </c>
      <c r="U49" s="56">
        <f t="shared" si="185"/>
        <v>16476.61564625852</v>
      </c>
      <c r="V49" s="56">
        <f t="shared" si="185"/>
        <v>-19577.806122448936</v>
      </c>
      <c r="W49" s="56">
        <f t="shared" si="185"/>
        <v>-19577.806122448994</v>
      </c>
      <c r="X49" s="56">
        <f t="shared" si="185"/>
        <v>-19577.806122448936</v>
      </c>
      <c r="Y49" s="56">
        <f t="shared" si="185"/>
        <v>-19577.806122448965</v>
      </c>
      <c r="Z49" s="56">
        <f t="shared" si="185"/>
        <v>-19577.806122448936</v>
      </c>
      <c r="AA49" s="56">
        <f t="shared" si="185"/>
        <v>-19577.806122448965</v>
      </c>
      <c r="AB49" s="56">
        <f t="shared" si="185"/>
        <v>-19577.806122448936</v>
      </c>
      <c r="AC49" s="56">
        <f t="shared" si="185"/>
        <v>-19577.806122448965</v>
      </c>
      <c r="AD49" s="56">
        <f t="shared" si="185"/>
        <v>-19577.806122448936</v>
      </c>
      <c r="AE49" s="56">
        <f t="shared" si="185"/>
        <v>-19577.806122448965</v>
      </c>
      <c r="AF49" s="56">
        <f t="shared" si="185"/>
        <v>-19577.806122448965</v>
      </c>
      <c r="AG49" s="56">
        <f t="shared" si="185"/>
        <v>-19577.806122448965</v>
      </c>
      <c r="AH49" s="56">
        <f t="shared" si="185"/>
        <v>-19577.806122448965</v>
      </c>
      <c r="AI49" s="56">
        <f t="shared" si="185"/>
        <v>-19577.806122448994</v>
      </c>
      <c r="AJ49" s="56">
        <f t="shared" ref="AJ49:BE49" si="186">AJ43-(AJ45+AJ47)</f>
        <v>-19577.806122448994</v>
      </c>
      <c r="AK49" s="56">
        <f t="shared" si="186"/>
        <v>-19577.806122448994</v>
      </c>
      <c r="AL49" s="56">
        <f t="shared" si="186"/>
        <v>-19577.806122448994</v>
      </c>
      <c r="AM49" s="56">
        <f t="shared" si="186"/>
        <v>-19577.806122448994</v>
      </c>
      <c r="AN49" s="56">
        <f t="shared" si="186"/>
        <v>-19577.806122449008</v>
      </c>
      <c r="AO49" s="56">
        <f t="shared" si="186"/>
        <v>-19577.806122448965</v>
      </c>
      <c r="AP49" s="56">
        <f t="shared" si="186"/>
        <v>-19577.806122448994</v>
      </c>
      <c r="AQ49" s="56">
        <f t="shared" si="186"/>
        <v>-19577.806122448994</v>
      </c>
      <c r="AR49" s="56">
        <f t="shared" si="186"/>
        <v>-19577.806122448994</v>
      </c>
      <c r="AS49" s="56">
        <f t="shared" si="186"/>
        <v>-19577.806122448979</v>
      </c>
      <c r="AT49" s="56">
        <f t="shared" si="186"/>
        <v>-19577.806122448979</v>
      </c>
      <c r="AU49" s="56">
        <f t="shared" si="186"/>
        <v>-19577.806122448965</v>
      </c>
      <c r="AV49" s="56">
        <f t="shared" si="186"/>
        <v>-19577.806122448965</v>
      </c>
      <c r="AW49" s="56">
        <f t="shared" si="186"/>
        <v>-19577.806122448965</v>
      </c>
      <c r="AX49" s="56">
        <f t="shared" si="186"/>
        <v>-19577.806122448965</v>
      </c>
      <c r="AY49" s="56">
        <f t="shared" si="186"/>
        <v>-19577.806122448979</v>
      </c>
      <c r="AZ49" s="56">
        <f t="shared" si="186"/>
        <v>-54029.754818593683</v>
      </c>
      <c r="BA49" s="56">
        <f t="shared" ref="BA49" si="187">BA43-(BA45+BA47)</f>
        <v>-86523.92290249432</v>
      </c>
      <c r="BB49" s="56">
        <f t="shared" si="186"/>
        <v>-82608.361678004527</v>
      </c>
      <c r="BC49" s="56">
        <f t="shared" si="186"/>
        <v>-78692.800453514734</v>
      </c>
      <c r="BD49" s="56">
        <f t="shared" si="186"/>
        <v>-74777.239229024941</v>
      </c>
      <c r="BE49" s="56">
        <f t="shared" si="186"/>
        <v>-36409.72930839043</v>
      </c>
      <c r="BF49" s="56"/>
      <c r="BG49" s="9"/>
    </row>
    <row r="50" spans="2:59" x14ac:dyDescent="0.35">
      <c r="B50" s="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</row>
    <row r="51" spans="2:59" x14ac:dyDescent="0.35">
      <c r="B51" s="8" t="s">
        <v>50</v>
      </c>
      <c r="C51" s="5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5">
        <f>D34</f>
        <v>46312.5</v>
      </c>
      <c r="J51" s="5">
        <f t="shared" ref="J51:BE51" si="188">E34</f>
        <v>91649.999999999985</v>
      </c>
      <c r="K51" s="5">
        <f t="shared" si="188"/>
        <v>89700</v>
      </c>
      <c r="L51" s="5">
        <f t="shared" si="188"/>
        <v>87749.999999999971</v>
      </c>
      <c r="M51" s="5">
        <f t="shared" si="188"/>
        <v>85799.999999999985</v>
      </c>
      <c r="N51" s="5">
        <f t="shared" si="188"/>
        <v>83849.999999999956</v>
      </c>
      <c r="O51" s="5">
        <f t="shared" si="188"/>
        <v>81899.999999999971</v>
      </c>
      <c r="P51" s="5">
        <f t="shared" si="188"/>
        <v>79949.999999999942</v>
      </c>
      <c r="Q51" s="5">
        <f t="shared" si="188"/>
        <v>77999.999999999956</v>
      </c>
      <c r="R51" s="5">
        <f t="shared" si="188"/>
        <v>76049.999999999956</v>
      </c>
      <c r="S51" s="5">
        <f t="shared" si="188"/>
        <v>74099.999999999971</v>
      </c>
      <c r="T51" s="5">
        <f t="shared" si="188"/>
        <v>72149.999999999956</v>
      </c>
      <c r="U51" s="5">
        <f t="shared" si="188"/>
        <v>70199.999999999971</v>
      </c>
      <c r="V51" s="5">
        <f t="shared" si="188"/>
        <v>68249.999999999971</v>
      </c>
      <c r="W51" s="5">
        <f t="shared" si="188"/>
        <v>66299.999999999971</v>
      </c>
      <c r="X51" s="5">
        <f t="shared" si="188"/>
        <v>64349.999999999971</v>
      </c>
      <c r="Y51" s="5">
        <f t="shared" si="188"/>
        <v>62399.999999999985</v>
      </c>
      <c r="Z51" s="5">
        <f t="shared" si="188"/>
        <v>60449.999999999971</v>
      </c>
      <c r="AA51" s="5">
        <f t="shared" si="188"/>
        <v>58499.999999999993</v>
      </c>
      <c r="AB51" s="5">
        <f t="shared" si="188"/>
        <v>56549.999999999978</v>
      </c>
      <c r="AC51" s="5">
        <f t="shared" si="188"/>
        <v>54599.999999999993</v>
      </c>
      <c r="AD51" s="5">
        <f t="shared" si="188"/>
        <v>52649.999999999993</v>
      </c>
      <c r="AE51" s="5">
        <f t="shared" si="188"/>
        <v>50700</v>
      </c>
      <c r="AF51" s="5">
        <f t="shared" si="188"/>
        <v>48749.999999999993</v>
      </c>
      <c r="AG51" s="5">
        <f t="shared" si="188"/>
        <v>46800</v>
      </c>
      <c r="AH51" s="5">
        <f t="shared" si="188"/>
        <v>44850</v>
      </c>
      <c r="AI51" s="5">
        <f t="shared" si="188"/>
        <v>42900.000000000007</v>
      </c>
      <c r="AJ51" s="5">
        <f t="shared" si="188"/>
        <v>40950</v>
      </c>
      <c r="AK51" s="5">
        <f t="shared" si="188"/>
        <v>39000.000000000007</v>
      </c>
      <c r="AL51" s="5">
        <f t="shared" si="188"/>
        <v>37050.000000000007</v>
      </c>
      <c r="AM51" s="5">
        <f t="shared" si="188"/>
        <v>35100</v>
      </c>
      <c r="AN51" s="5">
        <f t="shared" si="188"/>
        <v>33150.000000000007</v>
      </c>
      <c r="AO51" s="5">
        <f t="shared" si="188"/>
        <v>31200</v>
      </c>
      <c r="AP51" s="5">
        <f t="shared" si="188"/>
        <v>29250</v>
      </c>
      <c r="AQ51" s="5">
        <f t="shared" si="188"/>
        <v>27299.999999999996</v>
      </c>
      <c r="AR51" s="5">
        <f t="shared" si="188"/>
        <v>25350</v>
      </c>
      <c r="AS51" s="5">
        <f t="shared" si="188"/>
        <v>23399.999999999993</v>
      </c>
      <c r="AT51" s="5">
        <f t="shared" si="188"/>
        <v>21449.999999999996</v>
      </c>
      <c r="AU51" s="5">
        <f t="shared" si="188"/>
        <v>19499.999999999993</v>
      </c>
      <c r="AV51" s="5">
        <f t="shared" si="188"/>
        <v>17549.999999999993</v>
      </c>
      <c r="AW51" s="5">
        <f t="shared" si="188"/>
        <v>15599.999999999996</v>
      </c>
      <c r="AX51" s="5">
        <f t="shared" si="188"/>
        <v>13649.999999999993</v>
      </c>
      <c r="AY51" s="5">
        <f t="shared" si="188"/>
        <v>11699.999999999996</v>
      </c>
      <c r="AZ51" s="5">
        <f t="shared" si="188"/>
        <v>9749.9999999999964</v>
      </c>
      <c r="BA51" s="5">
        <f t="shared" si="188"/>
        <v>7799.9999999999973</v>
      </c>
      <c r="BB51" s="5">
        <f t="shared" si="188"/>
        <v>5849.9999999999973</v>
      </c>
      <c r="BC51" s="5">
        <f t="shared" si="188"/>
        <v>3899.9999999999964</v>
      </c>
      <c r="BD51" s="5">
        <f t="shared" si="188"/>
        <v>1949.9999999999968</v>
      </c>
      <c r="BE51" s="5">
        <f t="shared" si="188"/>
        <v>487.49999999999113</v>
      </c>
    </row>
    <row r="52" spans="2:59" x14ac:dyDescent="0.35">
      <c r="B52" s="8"/>
    </row>
    <row r="53" spans="2:59" x14ac:dyDescent="0.35">
      <c r="B53" s="8" t="s">
        <v>46</v>
      </c>
      <c r="D53" s="5">
        <f>D34-D51</f>
        <v>46312.5</v>
      </c>
      <c r="E53" s="5">
        <f t="shared" ref="E53:BE53" si="189">E34-E51</f>
        <v>91649.999999999985</v>
      </c>
      <c r="F53" s="5">
        <f t="shared" si="189"/>
        <v>89700</v>
      </c>
      <c r="G53" s="5">
        <f t="shared" si="189"/>
        <v>87749.999999999971</v>
      </c>
      <c r="H53" s="5">
        <f t="shared" si="189"/>
        <v>85799.999999999985</v>
      </c>
      <c r="I53" s="5">
        <f t="shared" si="189"/>
        <v>37537.499999999956</v>
      </c>
      <c r="J53" s="5">
        <f t="shared" si="189"/>
        <v>-9750.0000000000146</v>
      </c>
      <c r="K53" s="5">
        <f t="shared" si="189"/>
        <v>-9750.0000000000582</v>
      </c>
      <c r="L53" s="5">
        <f t="shared" si="189"/>
        <v>-9750.0000000000146</v>
      </c>
      <c r="M53" s="5">
        <f t="shared" si="189"/>
        <v>-9750.0000000000291</v>
      </c>
      <c r="N53" s="5">
        <f t="shared" si="189"/>
        <v>-9749.9999999999854</v>
      </c>
      <c r="O53" s="5">
        <f t="shared" si="189"/>
        <v>-9750.0000000000146</v>
      </c>
      <c r="P53" s="5">
        <f t="shared" si="189"/>
        <v>-9749.9999999999709</v>
      </c>
      <c r="Q53" s="5">
        <f t="shared" si="189"/>
        <v>-9749.9999999999854</v>
      </c>
      <c r="R53" s="5">
        <f t="shared" si="189"/>
        <v>-9749.9999999999854</v>
      </c>
      <c r="S53" s="5">
        <f t="shared" si="189"/>
        <v>-9750</v>
      </c>
      <c r="T53" s="5">
        <f t="shared" si="189"/>
        <v>-9749.9999999999709</v>
      </c>
      <c r="U53" s="5">
        <f t="shared" si="189"/>
        <v>-9750</v>
      </c>
      <c r="V53" s="5">
        <f t="shared" si="189"/>
        <v>-9749.9999999999782</v>
      </c>
      <c r="W53" s="5">
        <f t="shared" si="189"/>
        <v>-9749.9999999999927</v>
      </c>
      <c r="X53" s="5">
        <f t="shared" si="189"/>
        <v>-9749.9999999999782</v>
      </c>
      <c r="Y53" s="5">
        <f t="shared" si="189"/>
        <v>-9749.9999999999927</v>
      </c>
      <c r="Z53" s="5">
        <f t="shared" si="189"/>
        <v>-9749.9999999999709</v>
      </c>
      <c r="AA53" s="5">
        <f t="shared" si="189"/>
        <v>-9750</v>
      </c>
      <c r="AB53" s="5">
        <f t="shared" si="189"/>
        <v>-9749.9999999999782</v>
      </c>
      <c r="AC53" s="5">
        <f t="shared" si="189"/>
        <v>-9749.9999999999927</v>
      </c>
      <c r="AD53" s="5">
        <f t="shared" si="189"/>
        <v>-9749.9999999999854</v>
      </c>
      <c r="AE53" s="5">
        <f t="shared" si="189"/>
        <v>-9750</v>
      </c>
      <c r="AF53" s="5">
        <f t="shared" si="189"/>
        <v>-9749.9999999999854</v>
      </c>
      <c r="AG53" s="5">
        <f t="shared" si="189"/>
        <v>-9749.9999999999927</v>
      </c>
      <c r="AH53" s="5">
        <f t="shared" si="189"/>
        <v>-9750</v>
      </c>
      <c r="AI53" s="5">
        <f t="shared" si="189"/>
        <v>-9750</v>
      </c>
      <c r="AJ53" s="5">
        <f t="shared" si="189"/>
        <v>-9750</v>
      </c>
      <c r="AK53" s="5">
        <f t="shared" si="189"/>
        <v>-9750.0000000000073</v>
      </c>
      <c r="AL53" s="5">
        <f t="shared" si="189"/>
        <v>-9750.0000000000109</v>
      </c>
      <c r="AM53" s="5">
        <f t="shared" si="189"/>
        <v>-9750</v>
      </c>
      <c r="AN53" s="5">
        <f t="shared" si="189"/>
        <v>-9750.0000000000146</v>
      </c>
      <c r="AO53" s="5">
        <f t="shared" si="189"/>
        <v>-9750.0000000000036</v>
      </c>
      <c r="AP53" s="5">
        <f t="shared" si="189"/>
        <v>-9750.0000000000073</v>
      </c>
      <c r="AQ53" s="5">
        <f t="shared" si="189"/>
        <v>-9750.0000000000036</v>
      </c>
      <c r="AR53" s="5">
        <f t="shared" si="189"/>
        <v>-9750.0000000000036</v>
      </c>
      <c r="AS53" s="5">
        <f t="shared" si="189"/>
        <v>-9750</v>
      </c>
      <c r="AT53" s="5">
        <f t="shared" si="189"/>
        <v>-9750</v>
      </c>
      <c r="AU53" s="5">
        <f t="shared" si="189"/>
        <v>-9749.9999999999964</v>
      </c>
      <c r="AV53" s="5">
        <f t="shared" si="189"/>
        <v>-9749.9999999999964</v>
      </c>
      <c r="AW53" s="5">
        <f t="shared" si="189"/>
        <v>-9750</v>
      </c>
      <c r="AX53" s="5">
        <f t="shared" si="189"/>
        <v>-9749.9999999999964</v>
      </c>
      <c r="AY53" s="5">
        <f t="shared" si="189"/>
        <v>-9750</v>
      </c>
      <c r="AZ53" s="5">
        <f t="shared" si="189"/>
        <v>-9262.5000000000055</v>
      </c>
      <c r="BA53" s="5">
        <f t="shared" si="189"/>
        <v>-7799.9999999999973</v>
      </c>
      <c r="BB53" s="5">
        <f t="shared" si="189"/>
        <v>-5849.9999999999973</v>
      </c>
      <c r="BC53" s="5">
        <f t="shared" si="189"/>
        <v>-3899.9999999999964</v>
      </c>
      <c r="BD53" s="5">
        <f t="shared" si="189"/>
        <v>-1949.9999999999968</v>
      </c>
      <c r="BE53" s="5">
        <f t="shared" si="189"/>
        <v>-487.49999999999113</v>
      </c>
      <c r="BF53" s="49"/>
    </row>
    <row r="54" spans="2:59" x14ac:dyDescent="0.35">
      <c r="C54" s="8"/>
      <c r="BF54" s="49"/>
    </row>
    <row r="55" spans="2:59" x14ac:dyDescent="0.35">
      <c r="B55" s="8" t="s">
        <v>38</v>
      </c>
      <c r="C55" s="74">
        <f>NPV(WACC,D43:BE43)</f>
        <v>2423563.3985846802</v>
      </c>
    </row>
    <row r="56" spans="2:59" x14ac:dyDescent="0.35">
      <c r="B56" s="8" t="s">
        <v>39</v>
      </c>
      <c r="C56" s="74">
        <f>NPV(WACC,D45:BE45)</f>
        <v>1796744.0038745035</v>
      </c>
    </row>
    <row r="57" spans="2:59" x14ac:dyDescent="0.35">
      <c r="B57" s="8" t="s">
        <v>40</v>
      </c>
      <c r="C57" s="74">
        <f>NPV(WACC,D47:BE47)</f>
        <v>571748.49378471484</v>
      </c>
    </row>
    <row r="58" spans="2:59" x14ac:dyDescent="0.35">
      <c r="B58" s="8" t="s">
        <v>42</v>
      </c>
      <c r="C58" s="74">
        <f>C55-C56-C57</f>
        <v>55070.900925461785</v>
      </c>
      <c r="D58" s="13"/>
    </row>
    <row r="59" spans="2:59" x14ac:dyDescent="0.35">
      <c r="B59" s="8"/>
      <c r="C59" s="153"/>
      <c r="D59" s="13"/>
    </row>
    <row r="60" spans="2:59" x14ac:dyDescent="0.35">
      <c r="B60" s="8" t="s">
        <v>47</v>
      </c>
      <c r="C60" s="74">
        <f>NPV(WACC,D34:BE34)</f>
        <v>989410.90991072869</v>
      </c>
      <c r="D60" s="14"/>
    </row>
    <row r="61" spans="2:59" x14ac:dyDescent="0.35">
      <c r="B61" s="8" t="s">
        <v>48</v>
      </c>
      <c r="C61" s="74">
        <f>NPV(WACC,D51:BE51)</f>
        <v>733514.18031328381</v>
      </c>
      <c r="D61" s="14"/>
    </row>
    <row r="62" spans="2:59" x14ac:dyDescent="0.35">
      <c r="B62" s="8" t="s">
        <v>49</v>
      </c>
      <c r="C62" s="74">
        <f>C60-C61</f>
        <v>255896.72959744488</v>
      </c>
      <c r="D62" s="14"/>
    </row>
    <row r="63" spans="2:59" x14ac:dyDescent="0.35">
      <c r="B63" s="8"/>
    </row>
    <row r="64" spans="2:59" x14ac:dyDescent="0.35">
      <c r="B64" s="8" t="s">
        <v>133</v>
      </c>
      <c r="C64" s="74">
        <f>SUM(D43:H43)-SUM(D45:H45)</f>
        <v>763960.05527210864</v>
      </c>
    </row>
    <row r="65" spans="2:3" x14ac:dyDescent="0.35">
      <c r="B65" s="8" t="s">
        <v>134</v>
      </c>
      <c r="C65" s="74">
        <f>SUM(D43:BE43)-SUM(D45:BE45)</f>
        <v>0</v>
      </c>
    </row>
    <row r="66" spans="2:3" x14ac:dyDescent="0.35">
      <c r="B66" s="8" t="s">
        <v>135</v>
      </c>
      <c r="C66" s="74">
        <f>NPV(WACC,D43:BE43)-NPV(WACC,D45:BE45)</f>
        <v>626819.39471017662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B670-A372-405E-95A8-1440DF909525}">
  <dimension ref="B2:BA73"/>
  <sheetViews>
    <sheetView showGridLines="0" zoomScale="70" zoomScaleNormal="70" workbookViewId="0">
      <pane xSplit="3" ySplit="21" topLeftCell="D22" activePane="bottomRight" state="frozen"/>
      <selection activeCell="B13" sqref="B13"/>
      <selection pane="topRight" activeCell="B13" sqref="B13"/>
      <selection pane="bottomLeft" activeCell="B13" sqref="B13"/>
      <selection pane="bottomRight" activeCell="AZ22" sqref="AZ22"/>
    </sheetView>
  </sheetViews>
  <sheetFormatPr defaultRowHeight="14.5" outlineLevelRow="1" x14ac:dyDescent="0.35"/>
  <cols>
    <col min="1" max="1" width="4.54296875" customWidth="1"/>
    <col min="2" max="2" width="38.453125" customWidth="1"/>
    <col min="3" max="3" width="14.1796875" customWidth="1"/>
    <col min="4" max="52" width="12" customWidth="1"/>
    <col min="53" max="53" width="12.81640625" bestFit="1" customWidth="1"/>
    <col min="54" max="71" width="13" customWidth="1"/>
  </cols>
  <sheetData>
    <row r="2" spans="2:3" x14ac:dyDescent="0.35">
      <c r="B2" s="45" t="s">
        <v>66</v>
      </c>
    </row>
    <row r="3" spans="2:3" x14ac:dyDescent="0.35">
      <c r="B3" s="44" t="s">
        <v>67</v>
      </c>
    </row>
    <row r="5" spans="2:3" ht="15" thickBot="1" x14ac:dyDescent="0.4">
      <c r="B5" s="27" t="s">
        <v>60</v>
      </c>
      <c r="C5" s="37"/>
    </row>
    <row r="6" spans="2:3" hidden="1" outlineLevel="1" x14ac:dyDescent="0.35">
      <c r="B6" t="s">
        <v>6</v>
      </c>
      <c r="C6" s="39">
        <f>'Assumptions and Summary'!C5</f>
        <v>9.3600000000000003E-2</v>
      </c>
    </row>
    <row r="7" spans="2:3" hidden="1" outlineLevel="1" x14ac:dyDescent="0.35">
      <c r="B7" t="s">
        <v>63</v>
      </c>
      <c r="C7" s="46">
        <f>'Assumptions and Summary'!C6</f>
        <v>0.4</v>
      </c>
    </row>
    <row r="8" spans="2:3" hidden="1" outlineLevel="1" x14ac:dyDescent="0.35">
      <c r="B8" s="18" t="s">
        <v>3</v>
      </c>
      <c r="C8" s="39">
        <f>'Assumptions and Summary'!C7</f>
        <v>4.0399999999999998E-2</v>
      </c>
    </row>
    <row r="9" spans="2:3" hidden="1" outlineLevel="1" x14ac:dyDescent="0.35">
      <c r="B9" s="18" t="s">
        <v>64</v>
      </c>
      <c r="C9" s="46">
        <f>'Assumptions and Summary'!C8</f>
        <v>0.6</v>
      </c>
    </row>
    <row r="10" spans="2:3" hidden="1" outlineLevel="1" x14ac:dyDescent="0.35">
      <c r="B10" t="s">
        <v>4</v>
      </c>
      <c r="C10" s="38">
        <f>'Assumptions and Summary'!C9</f>
        <v>48</v>
      </c>
    </row>
    <row r="11" spans="2:3" hidden="1" outlineLevel="1" x14ac:dyDescent="0.35">
      <c r="B11" s="20" t="s">
        <v>5</v>
      </c>
      <c r="C11" s="144">
        <f>'Assumptions and Summary'!C10</f>
        <v>2.0833333333333332E-2</v>
      </c>
    </row>
    <row r="12" spans="2:3" hidden="1" outlineLevel="1" x14ac:dyDescent="0.35">
      <c r="B12" s="20" t="s">
        <v>131</v>
      </c>
      <c r="C12" s="144">
        <f>'Assumptions and Summary'!C11</f>
        <v>0.08</v>
      </c>
    </row>
    <row r="13" spans="2:3" hidden="1" outlineLevel="1" x14ac:dyDescent="0.35">
      <c r="B13" s="2" t="s">
        <v>130</v>
      </c>
      <c r="C13" s="30">
        <f>'Assumptions and Summary'!C12</f>
        <v>0.26500000000000001</v>
      </c>
    </row>
    <row r="14" spans="2:3" collapsed="1" x14ac:dyDescent="0.35">
      <c r="C14" s="39"/>
    </row>
    <row r="15" spans="2:3" ht="15" thickBot="1" x14ac:dyDescent="0.4">
      <c r="B15" s="27" t="s">
        <v>61</v>
      </c>
      <c r="C15" s="40"/>
    </row>
    <row r="16" spans="2:3" hidden="1" outlineLevel="1" x14ac:dyDescent="0.35">
      <c r="B16" s="25" t="s">
        <v>59</v>
      </c>
      <c r="C16" s="22">
        <f>'Assumptions and Summary'!D17</f>
        <v>10000000</v>
      </c>
    </row>
    <row r="17" spans="2:53" hidden="1" outlineLevel="1" x14ac:dyDescent="0.35">
      <c r="B17" s="25" t="s">
        <v>18</v>
      </c>
      <c r="C17" s="22">
        <f>'Assumptions and Summary'!D18</f>
        <v>2500000</v>
      </c>
    </row>
    <row r="18" spans="2:53" hidden="1" outlineLevel="1" x14ac:dyDescent="0.35">
      <c r="B18" s="32" t="s">
        <v>19</v>
      </c>
      <c r="C18" s="33">
        <f>'Assumptions and Summary'!D19</f>
        <v>7500000</v>
      </c>
    </row>
    <row r="19" spans="2:53" collapsed="1" x14ac:dyDescent="0.35"/>
    <row r="20" spans="2:53" x14ac:dyDescent="0.35">
      <c r="C20" s="8" t="s">
        <v>68</v>
      </c>
      <c r="D20">
        <v>1</v>
      </c>
      <c r="E20">
        <f>D20+1</f>
        <v>2</v>
      </c>
      <c r="F20">
        <f t="shared" ref="F20:AZ20" si="0">E20+1</f>
        <v>3</v>
      </c>
      <c r="G20">
        <f t="shared" si="0"/>
        <v>4</v>
      </c>
      <c r="H20">
        <f t="shared" si="0"/>
        <v>5</v>
      </c>
      <c r="I20">
        <f t="shared" si="0"/>
        <v>6</v>
      </c>
      <c r="J20">
        <f t="shared" si="0"/>
        <v>7</v>
      </c>
      <c r="K20">
        <f t="shared" si="0"/>
        <v>8</v>
      </c>
      <c r="L20">
        <f t="shared" si="0"/>
        <v>9</v>
      </c>
      <c r="M20">
        <f t="shared" si="0"/>
        <v>10</v>
      </c>
      <c r="N20">
        <f t="shared" si="0"/>
        <v>11</v>
      </c>
      <c r="O20">
        <f t="shared" si="0"/>
        <v>12</v>
      </c>
      <c r="P20">
        <f t="shared" si="0"/>
        <v>13</v>
      </c>
      <c r="Q20">
        <f t="shared" si="0"/>
        <v>14</v>
      </c>
      <c r="R20">
        <f t="shared" si="0"/>
        <v>15</v>
      </c>
      <c r="S20">
        <f t="shared" si="0"/>
        <v>16</v>
      </c>
      <c r="T20">
        <f t="shared" si="0"/>
        <v>17</v>
      </c>
      <c r="U20">
        <f t="shared" si="0"/>
        <v>18</v>
      </c>
      <c r="V20">
        <f t="shared" si="0"/>
        <v>19</v>
      </c>
      <c r="W20">
        <f t="shared" si="0"/>
        <v>20</v>
      </c>
      <c r="X20">
        <f t="shared" si="0"/>
        <v>21</v>
      </c>
      <c r="Y20">
        <f t="shared" si="0"/>
        <v>22</v>
      </c>
      <c r="Z20">
        <f t="shared" si="0"/>
        <v>23</v>
      </c>
      <c r="AA20">
        <f t="shared" si="0"/>
        <v>24</v>
      </c>
      <c r="AB20">
        <f t="shared" si="0"/>
        <v>25</v>
      </c>
      <c r="AC20">
        <f t="shared" si="0"/>
        <v>26</v>
      </c>
      <c r="AD20">
        <f t="shared" si="0"/>
        <v>27</v>
      </c>
      <c r="AE20">
        <f t="shared" si="0"/>
        <v>28</v>
      </c>
      <c r="AF20">
        <f t="shared" si="0"/>
        <v>29</v>
      </c>
      <c r="AG20">
        <f t="shared" si="0"/>
        <v>30</v>
      </c>
      <c r="AH20">
        <f t="shared" si="0"/>
        <v>31</v>
      </c>
      <c r="AI20">
        <f t="shared" si="0"/>
        <v>32</v>
      </c>
      <c r="AJ20">
        <f t="shared" si="0"/>
        <v>33</v>
      </c>
      <c r="AK20">
        <f t="shared" si="0"/>
        <v>34</v>
      </c>
      <c r="AL20">
        <f t="shared" si="0"/>
        <v>35</v>
      </c>
      <c r="AM20">
        <f t="shared" si="0"/>
        <v>36</v>
      </c>
      <c r="AN20">
        <f t="shared" si="0"/>
        <v>37</v>
      </c>
      <c r="AO20">
        <f t="shared" si="0"/>
        <v>38</v>
      </c>
      <c r="AP20">
        <f t="shared" si="0"/>
        <v>39</v>
      </c>
      <c r="AQ20">
        <f t="shared" si="0"/>
        <v>40</v>
      </c>
      <c r="AR20">
        <f t="shared" si="0"/>
        <v>41</v>
      </c>
      <c r="AS20">
        <f t="shared" si="0"/>
        <v>42</v>
      </c>
      <c r="AT20">
        <f t="shared" si="0"/>
        <v>43</v>
      </c>
      <c r="AU20">
        <f t="shared" si="0"/>
        <v>44</v>
      </c>
      <c r="AV20">
        <f t="shared" si="0"/>
        <v>45</v>
      </c>
      <c r="AW20">
        <f t="shared" si="0"/>
        <v>46</v>
      </c>
      <c r="AX20">
        <f t="shared" si="0"/>
        <v>47</v>
      </c>
      <c r="AY20">
        <f t="shared" si="0"/>
        <v>48</v>
      </c>
      <c r="AZ20">
        <f t="shared" si="0"/>
        <v>49</v>
      </c>
    </row>
    <row r="21" spans="2:53" x14ac:dyDescent="0.35">
      <c r="B21" s="42"/>
      <c r="C21" s="42"/>
      <c r="D21" s="41">
        <v>2025</v>
      </c>
      <c r="E21" s="41">
        <v>2026</v>
      </c>
      <c r="F21" s="41">
        <v>2027</v>
      </c>
      <c r="G21" s="41">
        <v>2028</v>
      </c>
      <c r="H21" s="41">
        <v>2029</v>
      </c>
      <c r="I21" s="41">
        <v>2030</v>
      </c>
      <c r="J21" s="41">
        <v>2031</v>
      </c>
      <c r="K21" s="41">
        <v>2032</v>
      </c>
      <c r="L21" s="41">
        <v>2033</v>
      </c>
      <c r="M21" s="41">
        <v>2034</v>
      </c>
      <c r="N21" s="41">
        <v>2035</v>
      </c>
      <c r="O21" s="41">
        <v>2036</v>
      </c>
      <c r="P21" s="41">
        <v>2037</v>
      </c>
      <c r="Q21" s="41">
        <v>2038</v>
      </c>
      <c r="R21" s="41">
        <v>2039</v>
      </c>
      <c r="S21" s="41">
        <v>2040</v>
      </c>
      <c r="T21" s="41">
        <v>2041</v>
      </c>
      <c r="U21" s="41">
        <v>2042</v>
      </c>
      <c r="V21" s="41">
        <v>2043</v>
      </c>
      <c r="W21" s="41">
        <v>2044</v>
      </c>
      <c r="X21" s="41">
        <v>2045</v>
      </c>
      <c r="Y21" s="41">
        <v>2046</v>
      </c>
      <c r="Z21" s="41">
        <v>2047</v>
      </c>
      <c r="AA21" s="41">
        <v>2048</v>
      </c>
      <c r="AB21" s="41">
        <v>2049</v>
      </c>
      <c r="AC21" s="41">
        <v>2050</v>
      </c>
      <c r="AD21" s="41">
        <v>2051</v>
      </c>
      <c r="AE21" s="41">
        <v>2052</v>
      </c>
      <c r="AF21" s="41">
        <v>2053</v>
      </c>
      <c r="AG21" s="41">
        <v>2054</v>
      </c>
      <c r="AH21" s="41">
        <v>2055</v>
      </c>
      <c r="AI21" s="41">
        <v>2056</v>
      </c>
      <c r="AJ21" s="41">
        <v>2057</v>
      </c>
      <c r="AK21" s="41">
        <v>2058</v>
      </c>
      <c r="AL21" s="41">
        <v>2059</v>
      </c>
      <c r="AM21" s="41">
        <v>2060</v>
      </c>
      <c r="AN21" s="41">
        <v>2061</v>
      </c>
      <c r="AO21" s="41">
        <v>2062</v>
      </c>
      <c r="AP21" s="41">
        <v>2063</v>
      </c>
      <c r="AQ21" s="41">
        <v>2064</v>
      </c>
      <c r="AR21" s="41">
        <v>2065</v>
      </c>
      <c r="AS21" s="41">
        <v>2066</v>
      </c>
      <c r="AT21" s="41">
        <v>2067</v>
      </c>
      <c r="AU21" s="41">
        <v>2068</v>
      </c>
      <c r="AV21" s="41">
        <v>2069</v>
      </c>
      <c r="AW21" s="41">
        <v>2070</v>
      </c>
      <c r="AX21" s="41">
        <v>2071</v>
      </c>
      <c r="AY21" s="41">
        <v>2072</v>
      </c>
      <c r="AZ21" s="41">
        <v>2073</v>
      </c>
    </row>
    <row r="23" spans="2:53" x14ac:dyDescent="0.35">
      <c r="B23" s="8" t="s">
        <v>0</v>
      </c>
      <c r="D23" s="73">
        <f>C18</f>
        <v>7500000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</row>
    <row r="24" spans="2:53" x14ac:dyDescent="0.35">
      <c r="B24" s="8" t="s">
        <v>65</v>
      </c>
      <c r="D24" s="48">
        <f>$D$23-SUM($D27:D27)</f>
        <v>7421875</v>
      </c>
      <c r="E24" s="48">
        <f>$D$23-SUM($D27:E27)</f>
        <v>7265625</v>
      </c>
      <c r="F24" s="48">
        <f>$D$23-SUM($D27:F27)</f>
        <v>7109375</v>
      </c>
      <c r="G24" s="48">
        <f>$D$23-SUM($D27:G27)</f>
        <v>6953125</v>
      </c>
      <c r="H24" s="48">
        <f>$D$23-SUM($D27:H27)</f>
        <v>6796875</v>
      </c>
      <c r="I24" s="48">
        <f>$D$23-SUM($D27:I27)</f>
        <v>6640625</v>
      </c>
      <c r="J24" s="48">
        <f>$D$23-SUM($D27:J27)</f>
        <v>6484375</v>
      </c>
      <c r="K24" s="48">
        <f>$D$23-SUM($D27:K27)</f>
        <v>6328125</v>
      </c>
      <c r="L24" s="48">
        <f>$D$23-SUM($D27:L27)</f>
        <v>6171875</v>
      </c>
      <c r="M24" s="48">
        <f>$D$23-SUM($D27:M27)</f>
        <v>6015625</v>
      </c>
      <c r="N24" s="48">
        <f>$D$23-SUM($D27:N27)</f>
        <v>5859375</v>
      </c>
      <c r="O24" s="48">
        <f>$D$23-SUM($D27:O27)</f>
        <v>5703125</v>
      </c>
      <c r="P24" s="48">
        <f>$D$23-SUM($D27:P27)</f>
        <v>5546875</v>
      </c>
      <c r="Q24" s="48">
        <f>$D$23-SUM($D27:Q27)</f>
        <v>5390625</v>
      </c>
      <c r="R24" s="48">
        <f>$D$23-SUM($D27:R27)</f>
        <v>5234375</v>
      </c>
      <c r="S24" s="48">
        <f>$D$23-SUM($D27:S27)</f>
        <v>5078125</v>
      </c>
      <c r="T24" s="48">
        <f>$D$23-SUM($D27:T27)</f>
        <v>4921875</v>
      </c>
      <c r="U24" s="48">
        <f>$D$23-SUM($D27:U27)</f>
        <v>4765625</v>
      </c>
      <c r="V24" s="48">
        <f>$D$23-SUM($D27:V27)</f>
        <v>4609375</v>
      </c>
      <c r="W24" s="48">
        <f>$D$23-SUM($D27:W27)</f>
        <v>4453125</v>
      </c>
      <c r="X24" s="48">
        <f>$D$23-SUM($D27:X27)</f>
        <v>4296875</v>
      </c>
      <c r="Y24" s="48">
        <f>$D$23-SUM($D27:Y27)</f>
        <v>4140625</v>
      </c>
      <c r="Z24" s="48">
        <f>$D$23-SUM($D27:Z27)</f>
        <v>3984375</v>
      </c>
      <c r="AA24" s="48">
        <f>$D$23-SUM($D27:AA27)</f>
        <v>3828125</v>
      </c>
      <c r="AB24" s="48">
        <f>$D$23-SUM($D27:AB27)</f>
        <v>3671875</v>
      </c>
      <c r="AC24" s="48">
        <f>$D$23-SUM($D27:AC27)</f>
        <v>3515625</v>
      </c>
      <c r="AD24" s="48">
        <f>$D$23-SUM($D27:AD27)</f>
        <v>3359375</v>
      </c>
      <c r="AE24" s="48">
        <f>$D$23-SUM($D27:AE27)</f>
        <v>3203125</v>
      </c>
      <c r="AF24" s="48">
        <f>$D$23-SUM($D27:AF27)</f>
        <v>3046875</v>
      </c>
      <c r="AG24" s="48">
        <f>$D$23-SUM($D27:AG27)</f>
        <v>2890625</v>
      </c>
      <c r="AH24" s="48">
        <f>$D$23-SUM($D27:AH27)</f>
        <v>2734375</v>
      </c>
      <c r="AI24" s="48">
        <f>$D$23-SUM($D27:AI27)</f>
        <v>2578125</v>
      </c>
      <c r="AJ24" s="48">
        <f>$D$23-SUM($D27:AJ27)</f>
        <v>2421875</v>
      </c>
      <c r="AK24" s="48">
        <f>$D$23-SUM($D27:AK27)</f>
        <v>2265625</v>
      </c>
      <c r="AL24" s="48">
        <f>$D$23-SUM($D27:AL27)</f>
        <v>2109375</v>
      </c>
      <c r="AM24" s="48">
        <f>$D$23-SUM($D27:AM27)</f>
        <v>1953125</v>
      </c>
      <c r="AN24" s="48">
        <f>$D$23-SUM($D27:AN27)</f>
        <v>1796875</v>
      </c>
      <c r="AO24" s="48">
        <f>$D$23-SUM($D27:AO27)</f>
        <v>1640625</v>
      </c>
      <c r="AP24" s="48">
        <f>$D$23-SUM($D27:AP27)</f>
        <v>1484375</v>
      </c>
      <c r="AQ24" s="48">
        <f>$D$23-SUM($D27:AQ27)</f>
        <v>1328125</v>
      </c>
      <c r="AR24" s="48">
        <f>$D$23-SUM($D27:AR27)</f>
        <v>1171875</v>
      </c>
      <c r="AS24" s="48">
        <f>$D$23-SUM($D27:AS27)</f>
        <v>1015625</v>
      </c>
      <c r="AT24" s="48">
        <f>$D$23-SUM($D27:AT27)</f>
        <v>859375</v>
      </c>
      <c r="AU24" s="48">
        <f>$D$23-SUM($D27:AU27)</f>
        <v>703125</v>
      </c>
      <c r="AV24" s="48">
        <f>$D$23-SUM($D27:AV27)</f>
        <v>546875</v>
      </c>
      <c r="AW24" s="48">
        <f>$D$23-SUM($D27:AW27)</f>
        <v>390625</v>
      </c>
      <c r="AX24" s="48">
        <f>$D$23-SUM($D27:AX27)</f>
        <v>234375</v>
      </c>
      <c r="AY24" s="48">
        <f>$D$23-SUM($D27:AY27)</f>
        <v>78125</v>
      </c>
      <c r="AZ24" s="48">
        <f>$D$23-SUM($D27:AZ27)</f>
        <v>0</v>
      </c>
      <c r="BA24" s="49"/>
    </row>
    <row r="25" spans="2:53" x14ac:dyDescent="0.35">
      <c r="B25" s="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</row>
    <row r="26" spans="2:53" x14ac:dyDescent="0.35">
      <c r="B26" s="8" t="s">
        <v>7</v>
      </c>
      <c r="D26" s="50">
        <f>D23/2</f>
        <v>3750000</v>
      </c>
      <c r="E26" s="55">
        <f>D28+D23/2</f>
        <v>7421875</v>
      </c>
      <c r="F26" s="49">
        <f>E28</f>
        <v>7265625</v>
      </c>
      <c r="G26" s="49">
        <f t="shared" ref="G26:AH26" si="1">F28</f>
        <v>7109375</v>
      </c>
      <c r="H26" s="49">
        <f t="shared" si="1"/>
        <v>6953125</v>
      </c>
      <c r="I26" s="49">
        <f t="shared" si="1"/>
        <v>6796875</v>
      </c>
      <c r="J26" s="49">
        <f t="shared" si="1"/>
        <v>6640625</v>
      </c>
      <c r="K26" s="49">
        <f t="shared" si="1"/>
        <v>6484375</v>
      </c>
      <c r="L26" s="49">
        <f t="shared" si="1"/>
        <v>6328125</v>
      </c>
      <c r="M26" s="49">
        <f t="shared" si="1"/>
        <v>6171875</v>
      </c>
      <c r="N26" s="49">
        <f t="shared" si="1"/>
        <v>6015625</v>
      </c>
      <c r="O26" s="49">
        <f t="shared" si="1"/>
        <v>5859375</v>
      </c>
      <c r="P26" s="49">
        <f t="shared" si="1"/>
        <v>5703125</v>
      </c>
      <c r="Q26" s="49">
        <f t="shared" si="1"/>
        <v>5546875</v>
      </c>
      <c r="R26" s="49">
        <f t="shared" si="1"/>
        <v>5390625</v>
      </c>
      <c r="S26" s="49">
        <f t="shared" si="1"/>
        <v>5234375</v>
      </c>
      <c r="T26" s="49">
        <f t="shared" si="1"/>
        <v>5078125</v>
      </c>
      <c r="U26" s="49">
        <f t="shared" si="1"/>
        <v>4921875</v>
      </c>
      <c r="V26" s="49">
        <f t="shared" si="1"/>
        <v>4765625</v>
      </c>
      <c r="W26" s="49">
        <f t="shared" si="1"/>
        <v>4609375</v>
      </c>
      <c r="X26" s="49">
        <f t="shared" si="1"/>
        <v>4453125</v>
      </c>
      <c r="Y26" s="49">
        <f t="shared" si="1"/>
        <v>4296875</v>
      </c>
      <c r="Z26" s="49">
        <f t="shared" si="1"/>
        <v>4140625</v>
      </c>
      <c r="AA26" s="49">
        <f t="shared" si="1"/>
        <v>3984375</v>
      </c>
      <c r="AB26" s="49">
        <f t="shared" si="1"/>
        <v>3828125</v>
      </c>
      <c r="AC26" s="49">
        <f t="shared" si="1"/>
        <v>3671875</v>
      </c>
      <c r="AD26" s="49">
        <f t="shared" si="1"/>
        <v>3515625</v>
      </c>
      <c r="AE26" s="49">
        <f t="shared" si="1"/>
        <v>3359375</v>
      </c>
      <c r="AF26" s="49">
        <f t="shared" si="1"/>
        <v>3203125</v>
      </c>
      <c r="AG26" s="49">
        <f t="shared" si="1"/>
        <v>3046875</v>
      </c>
      <c r="AH26" s="49">
        <f t="shared" si="1"/>
        <v>2890625</v>
      </c>
      <c r="AI26" s="49">
        <f t="shared" ref="AI26" si="2">AH28</f>
        <v>2734375</v>
      </c>
      <c r="AJ26" s="49">
        <f t="shared" ref="AJ26" si="3">AI28</f>
        <v>2578125</v>
      </c>
      <c r="AK26" s="49">
        <f t="shared" ref="AK26" si="4">AJ28</f>
        <v>2421875</v>
      </c>
      <c r="AL26" s="49">
        <f t="shared" ref="AL26" si="5">AK28</f>
        <v>2265625</v>
      </c>
      <c r="AM26" s="49">
        <f t="shared" ref="AM26" si="6">AL28</f>
        <v>2109375</v>
      </c>
      <c r="AN26" s="49">
        <f t="shared" ref="AN26" si="7">AM28</f>
        <v>1953125</v>
      </c>
      <c r="AO26" s="49">
        <f t="shared" ref="AO26" si="8">AN28</f>
        <v>1796875</v>
      </c>
      <c r="AP26" s="49">
        <f t="shared" ref="AP26" si="9">AO28</f>
        <v>1640625</v>
      </c>
      <c r="AQ26" s="49">
        <f t="shared" ref="AQ26" si="10">AP28</f>
        <v>1484375</v>
      </c>
      <c r="AR26" s="49">
        <f t="shared" ref="AR26" si="11">AQ28</f>
        <v>1328125</v>
      </c>
      <c r="AS26" s="49">
        <f t="shared" ref="AS26" si="12">AR28</f>
        <v>1171875</v>
      </c>
      <c r="AT26" s="49">
        <f t="shared" ref="AT26" si="13">AS28</f>
        <v>1015625</v>
      </c>
      <c r="AU26" s="49">
        <f t="shared" ref="AU26" si="14">AT28</f>
        <v>859375</v>
      </c>
      <c r="AV26" s="49">
        <f t="shared" ref="AV26" si="15">AU28</f>
        <v>703125</v>
      </c>
      <c r="AW26" s="49">
        <f t="shared" ref="AW26" si="16">AV28</f>
        <v>546875</v>
      </c>
      <c r="AX26" s="49">
        <f t="shared" ref="AX26" si="17">AW28</f>
        <v>390625</v>
      </c>
      <c r="AY26" s="49">
        <f t="shared" ref="AY26" si="18">AX28</f>
        <v>234375</v>
      </c>
      <c r="AZ26" s="49">
        <f t="shared" ref="AZ26" si="19">AY28</f>
        <v>78125</v>
      </c>
      <c r="BA26" s="49"/>
    </row>
    <row r="27" spans="2:53" x14ac:dyDescent="0.35">
      <c r="B27" s="8" t="s">
        <v>1</v>
      </c>
      <c r="D27" s="55">
        <f>D26*$C$11</f>
        <v>78125</v>
      </c>
      <c r="E27" s="49">
        <f>MIN($D$23*$C$11,D24)</f>
        <v>156250</v>
      </c>
      <c r="F27" s="49">
        <f t="shared" ref="F27:AZ27" si="20">MIN($D$23*$C$11,E24)</f>
        <v>156250</v>
      </c>
      <c r="G27" s="49">
        <f t="shared" si="20"/>
        <v>156250</v>
      </c>
      <c r="H27" s="49">
        <f t="shared" si="20"/>
        <v>156250</v>
      </c>
      <c r="I27" s="49">
        <f t="shared" si="20"/>
        <v>156250</v>
      </c>
      <c r="J27" s="49">
        <f t="shared" si="20"/>
        <v>156250</v>
      </c>
      <c r="K27" s="49">
        <f t="shared" si="20"/>
        <v>156250</v>
      </c>
      <c r="L27" s="49">
        <f t="shared" si="20"/>
        <v>156250</v>
      </c>
      <c r="M27" s="49">
        <f t="shared" si="20"/>
        <v>156250</v>
      </c>
      <c r="N27" s="49">
        <f t="shared" si="20"/>
        <v>156250</v>
      </c>
      <c r="O27" s="49">
        <f t="shared" si="20"/>
        <v>156250</v>
      </c>
      <c r="P27" s="49">
        <f t="shared" si="20"/>
        <v>156250</v>
      </c>
      <c r="Q27" s="49">
        <f t="shared" si="20"/>
        <v>156250</v>
      </c>
      <c r="R27" s="49">
        <f t="shared" si="20"/>
        <v>156250</v>
      </c>
      <c r="S27" s="49">
        <f t="shared" si="20"/>
        <v>156250</v>
      </c>
      <c r="T27" s="49">
        <f t="shared" si="20"/>
        <v>156250</v>
      </c>
      <c r="U27" s="49">
        <f t="shared" si="20"/>
        <v>156250</v>
      </c>
      <c r="V27" s="49">
        <f t="shared" si="20"/>
        <v>156250</v>
      </c>
      <c r="W27" s="49">
        <f t="shared" si="20"/>
        <v>156250</v>
      </c>
      <c r="X27" s="49">
        <f t="shared" si="20"/>
        <v>156250</v>
      </c>
      <c r="Y27" s="49">
        <f t="shared" si="20"/>
        <v>156250</v>
      </c>
      <c r="Z27" s="49">
        <f t="shared" si="20"/>
        <v>156250</v>
      </c>
      <c r="AA27" s="49">
        <f t="shared" si="20"/>
        <v>156250</v>
      </c>
      <c r="AB27" s="49">
        <f t="shared" si="20"/>
        <v>156250</v>
      </c>
      <c r="AC27" s="49">
        <f t="shared" si="20"/>
        <v>156250</v>
      </c>
      <c r="AD27" s="49">
        <f t="shared" si="20"/>
        <v>156250</v>
      </c>
      <c r="AE27" s="49">
        <f t="shared" si="20"/>
        <v>156250</v>
      </c>
      <c r="AF27" s="49">
        <f t="shared" si="20"/>
        <v>156250</v>
      </c>
      <c r="AG27" s="49">
        <f t="shared" si="20"/>
        <v>156250</v>
      </c>
      <c r="AH27" s="49">
        <f t="shared" si="20"/>
        <v>156250</v>
      </c>
      <c r="AI27" s="49">
        <f t="shared" si="20"/>
        <v>156250</v>
      </c>
      <c r="AJ27" s="49">
        <f t="shared" si="20"/>
        <v>156250</v>
      </c>
      <c r="AK27" s="49">
        <f t="shared" si="20"/>
        <v>156250</v>
      </c>
      <c r="AL27" s="49">
        <f t="shared" si="20"/>
        <v>156250</v>
      </c>
      <c r="AM27" s="49">
        <f t="shared" si="20"/>
        <v>156250</v>
      </c>
      <c r="AN27" s="49">
        <f t="shared" si="20"/>
        <v>156250</v>
      </c>
      <c r="AO27" s="49">
        <f t="shared" si="20"/>
        <v>156250</v>
      </c>
      <c r="AP27" s="49">
        <f t="shared" si="20"/>
        <v>156250</v>
      </c>
      <c r="AQ27" s="49">
        <f t="shared" si="20"/>
        <v>156250</v>
      </c>
      <c r="AR27" s="49">
        <f t="shared" si="20"/>
        <v>156250</v>
      </c>
      <c r="AS27" s="49">
        <f t="shared" si="20"/>
        <v>156250</v>
      </c>
      <c r="AT27" s="49">
        <f t="shared" si="20"/>
        <v>156250</v>
      </c>
      <c r="AU27" s="49">
        <f t="shared" si="20"/>
        <v>156250</v>
      </c>
      <c r="AV27" s="49">
        <f t="shared" si="20"/>
        <v>156250</v>
      </c>
      <c r="AW27" s="49">
        <f t="shared" si="20"/>
        <v>156250</v>
      </c>
      <c r="AX27" s="49">
        <f t="shared" si="20"/>
        <v>156250</v>
      </c>
      <c r="AY27" s="49">
        <f t="shared" si="20"/>
        <v>156250</v>
      </c>
      <c r="AZ27" s="49">
        <f t="shared" si="20"/>
        <v>78125</v>
      </c>
      <c r="BA27" s="49"/>
    </row>
    <row r="28" spans="2:53" x14ac:dyDescent="0.35">
      <c r="B28" s="8" t="s">
        <v>8</v>
      </c>
      <c r="D28" s="49">
        <f>D26-D27</f>
        <v>3671875</v>
      </c>
      <c r="E28" s="49">
        <f>E26-E27</f>
        <v>7265625</v>
      </c>
      <c r="F28" s="49">
        <f>F26-F27</f>
        <v>7109375</v>
      </c>
      <c r="G28" s="49">
        <f t="shared" ref="G28:AG28" si="21">G26-G27</f>
        <v>6953125</v>
      </c>
      <c r="H28" s="49">
        <f t="shared" si="21"/>
        <v>6796875</v>
      </c>
      <c r="I28" s="49">
        <f t="shared" si="21"/>
        <v>6640625</v>
      </c>
      <c r="J28" s="49">
        <f t="shared" si="21"/>
        <v>6484375</v>
      </c>
      <c r="K28" s="49">
        <f t="shared" si="21"/>
        <v>6328125</v>
      </c>
      <c r="L28" s="49">
        <f t="shared" si="21"/>
        <v>6171875</v>
      </c>
      <c r="M28" s="49">
        <f t="shared" si="21"/>
        <v>6015625</v>
      </c>
      <c r="N28" s="49">
        <f t="shared" si="21"/>
        <v>5859375</v>
      </c>
      <c r="O28" s="49">
        <f t="shared" si="21"/>
        <v>5703125</v>
      </c>
      <c r="P28" s="49">
        <f t="shared" si="21"/>
        <v>5546875</v>
      </c>
      <c r="Q28" s="49">
        <f t="shared" si="21"/>
        <v>5390625</v>
      </c>
      <c r="R28" s="49">
        <f t="shared" si="21"/>
        <v>5234375</v>
      </c>
      <c r="S28" s="49">
        <f t="shared" si="21"/>
        <v>5078125</v>
      </c>
      <c r="T28" s="49">
        <f t="shared" si="21"/>
        <v>4921875</v>
      </c>
      <c r="U28" s="49">
        <f t="shared" si="21"/>
        <v>4765625</v>
      </c>
      <c r="V28" s="49">
        <f t="shared" si="21"/>
        <v>4609375</v>
      </c>
      <c r="W28" s="49">
        <f t="shared" si="21"/>
        <v>4453125</v>
      </c>
      <c r="X28" s="49">
        <f t="shared" si="21"/>
        <v>4296875</v>
      </c>
      <c r="Y28" s="49">
        <f t="shared" si="21"/>
        <v>4140625</v>
      </c>
      <c r="Z28" s="49">
        <f t="shared" si="21"/>
        <v>3984375</v>
      </c>
      <c r="AA28" s="49">
        <f t="shared" si="21"/>
        <v>3828125</v>
      </c>
      <c r="AB28" s="49">
        <f t="shared" si="21"/>
        <v>3671875</v>
      </c>
      <c r="AC28" s="49">
        <f t="shared" si="21"/>
        <v>3515625</v>
      </c>
      <c r="AD28" s="49">
        <f t="shared" si="21"/>
        <v>3359375</v>
      </c>
      <c r="AE28" s="49">
        <f t="shared" si="21"/>
        <v>3203125</v>
      </c>
      <c r="AF28" s="49">
        <f t="shared" si="21"/>
        <v>3046875</v>
      </c>
      <c r="AG28" s="49">
        <f t="shared" si="21"/>
        <v>2890625</v>
      </c>
      <c r="AH28" s="49">
        <f t="shared" ref="AH28:AZ28" si="22">AH26-AH27</f>
        <v>2734375</v>
      </c>
      <c r="AI28" s="49">
        <f t="shared" si="22"/>
        <v>2578125</v>
      </c>
      <c r="AJ28" s="49">
        <f t="shared" si="22"/>
        <v>2421875</v>
      </c>
      <c r="AK28" s="49">
        <f t="shared" si="22"/>
        <v>2265625</v>
      </c>
      <c r="AL28" s="49">
        <f t="shared" si="22"/>
        <v>2109375</v>
      </c>
      <c r="AM28" s="49">
        <f t="shared" si="22"/>
        <v>1953125</v>
      </c>
      <c r="AN28" s="49">
        <f t="shared" si="22"/>
        <v>1796875</v>
      </c>
      <c r="AO28" s="49">
        <f t="shared" si="22"/>
        <v>1640625</v>
      </c>
      <c r="AP28" s="49">
        <f t="shared" si="22"/>
        <v>1484375</v>
      </c>
      <c r="AQ28" s="49">
        <f t="shared" si="22"/>
        <v>1328125</v>
      </c>
      <c r="AR28" s="49">
        <f t="shared" si="22"/>
        <v>1171875</v>
      </c>
      <c r="AS28" s="49">
        <f t="shared" si="22"/>
        <v>1015625</v>
      </c>
      <c r="AT28" s="49">
        <f t="shared" si="22"/>
        <v>859375</v>
      </c>
      <c r="AU28" s="49">
        <f t="shared" si="22"/>
        <v>703125</v>
      </c>
      <c r="AV28" s="49">
        <f t="shared" si="22"/>
        <v>546875</v>
      </c>
      <c r="AW28" s="49">
        <f t="shared" si="22"/>
        <v>390625</v>
      </c>
      <c r="AX28" s="49">
        <f t="shared" si="22"/>
        <v>234375</v>
      </c>
      <c r="AY28" s="49">
        <f t="shared" si="22"/>
        <v>78125</v>
      </c>
      <c r="AZ28" s="49">
        <f t="shared" si="22"/>
        <v>0</v>
      </c>
      <c r="BA28" s="49"/>
    </row>
    <row r="29" spans="2:53" x14ac:dyDescent="0.35">
      <c r="B29" s="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</row>
    <row r="30" spans="2:53" x14ac:dyDescent="0.35">
      <c r="B30" s="8" t="s">
        <v>9</v>
      </c>
      <c r="D30" s="49">
        <f>(D26+D28)/2</f>
        <v>3710937.5</v>
      </c>
      <c r="E30" s="49">
        <f>(E26+E28)/2</f>
        <v>7343750</v>
      </c>
      <c r="F30" s="49">
        <f>(F26+F28)/2</f>
        <v>7187500</v>
      </c>
      <c r="G30" s="49">
        <f t="shared" ref="G30:AH30" si="23">(G26+G28)/2</f>
        <v>7031250</v>
      </c>
      <c r="H30" s="49">
        <f t="shared" si="23"/>
        <v>6875000</v>
      </c>
      <c r="I30" s="49">
        <f t="shared" si="23"/>
        <v>6718750</v>
      </c>
      <c r="J30" s="49">
        <f t="shared" si="23"/>
        <v>6562500</v>
      </c>
      <c r="K30" s="49">
        <f t="shared" si="23"/>
        <v>6406250</v>
      </c>
      <c r="L30" s="49">
        <f t="shared" si="23"/>
        <v>6250000</v>
      </c>
      <c r="M30" s="49">
        <f t="shared" si="23"/>
        <v>6093750</v>
      </c>
      <c r="N30" s="49">
        <f t="shared" si="23"/>
        <v>5937500</v>
      </c>
      <c r="O30" s="49">
        <f t="shared" si="23"/>
        <v>5781250</v>
      </c>
      <c r="P30" s="49">
        <f t="shared" si="23"/>
        <v>5625000</v>
      </c>
      <c r="Q30" s="49">
        <f t="shared" si="23"/>
        <v>5468750</v>
      </c>
      <c r="R30" s="49">
        <f t="shared" si="23"/>
        <v>5312500</v>
      </c>
      <c r="S30" s="49">
        <f t="shared" si="23"/>
        <v>5156250</v>
      </c>
      <c r="T30" s="49">
        <f t="shared" si="23"/>
        <v>5000000</v>
      </c>
      <c r="U30" s="49">
        <f t="shared" si="23"/>
        <v>4843750</v>
      </c>
      <c r="V30" s="49">
        <f t="shared" si="23"/>
        <v>4687500</v>
      </c>
      <c r="W30" s="49">
        <f t="shared" si="23"/>
        <v>4531250</v>
      </c>
      <c r="X30" s="49">
        <f t="shared" si="23"/>
        <v>4375000</v>
      </c>
      <c r="Y30" s="49">
        <f t="shared" si="23"/>
        <v>4218750</v>
      </c>
      <c r="Z30" s="49">
        <f t="shared" si="23"/>
        <v>4062500</v>
      </c>
      <c r="AA30" s="49">
        <f t="shared" si="23"/>
        <v>3906250</v>
      </c>
      <c r="AB30" s="49">
        <f t="shared" si="23"/>
        <v>3750000</v>
      </c>
      <c r="AC30" s="49">
        <f t="shared" si="23"/>
        <v>3593750</v>
      </c>
      <c r="AD30" s="49">
        <f t="shared" si="23"/>
        <v>3437500</v>
      </c>
      <c r="AE30" s="49">
        <f t="shared" si="23"/>
        <v>3281250</v>
      </c>
      <c r="AF30" s="49">
        <f t="shared" si="23"/>
        <v>3125000</v>
      </c>
      <c r="AG30" s="49">
        <f t="shared" si="23"/>
        <v>2968750</v>
      </c>
      <c r="AH30" s="49">
        <f t="shared" si="23"/>
        <v>2812500</v>
      </c>
      <c r="AI30" s="49">
        <f t="shared" ref="AI30:AZ30" si="24">(AI26+AI28)/2</f>
        <v>2656250</v>
      </c>
      <c r="AJ30" s="49">
        <f t="shared" si="24"/>
        <v>2500000</v>
      </c>
      <c r="AK30" s="49">
        <f t="shared" si="24"/>
        <v>2343750</v>
      </c>
      <c r="AL30" s="49">
        <f t="shared" si="24"/>
        <v>2187500</v>
      </c>
      <c r="AM30" s="49">
        <f t="shared" si="24"/>
        <v>2031250</v>
      </c>
      <c r="AN30" s="49">
        <f t="shared" si="24"/>
        <v>1875000</v>
      </c>
      <c r="AO30" s="49">
        <f t="shared" si="24"/>
        <v>1718750</v>
      </c>
      <c r="AP30" s="49">
        <f t="shared" si="24"/>
        <v>1562500</v>
      </c>
      <c r="AQ30" s="49">
        <f t="shared" si="24"/>
        <v>1406250</v>
      </c>
      <c r="AR30" s="49">
        <f t="shared" si="24"/>
        <v>1250000</v>
      </c>
      <c r="AS30" s="49">
        <f t="shared" si="24"/>
        <v>1093750</v>
      </c>
      <c r="AT30" s="49">
        <f t="shared" si="24"/>
        <v>937500</v>
      </c>
      <c r="AU30" s="49">
        <f t="shared" si="24"/>
        <v>781250</v>
      </c>
      <c r="AV30" s="49">
        <f t="shared" si="24"/>
        <v>625000</v>
      </c>
      <c r="AW30" s="49">
        <f t="shared" si="24"/>
        <v>468750</v>
      </c>
      <c r="AX30" s="49">
        <f t="shared" si="24"/>
        <v>312500</v>
      </c>
      <c r="AY30" s="49">
        <f t="shared" si="24"/>
        <v>156250</v>
      </c>
      <c r="AZ30" s="49">
        <f t="shared" si="24"/>
        <v>39062.5</v>
      </c>
      <c r="BA30" s="49"/>
    </row>
    <row r="31" spans="2:53" x14ac:dyDescent="0.35">
      <c r="B31" s="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</row>
    <row r="32" spans="2:53" x14ac:dyDescent="0.35">
      <c r="B32" s="8" t="s">
        <v>10</v>
      </c>
      <c r="D32" s="49">
        <f t="shared" ref="D32:AI32" si="25">D27</f>
        <v>78125</v>
      </c>
      <c r="E32" s="49">
        <f t="shared" si="25"/>
        <v>156250</v>
      </c>
      <c r="F32" s="49">
        <f t="shared" si="25"/>
        <v>156250</v>
      </c>
      <c r="G32" s="49">
        <f t="shared" si="25"/>
        <v>156250</v>
      </c>
      <c r="H32" s="49">
        <f t="shared" si="25"/>
        <v>156250</v>
      </c>
      <c r="I32" s="49">
        <f t="shared" si="25"/>
        <v>156250</v>
      </c>
      <c r="J32" s="49">
        <f t="shared" si="25"/>
        <v>156250</v>
      </c>
      <c r="K32" s="49">
        <f t="shared" si="25"/>
        <v>156250</v>
      </c>
      <c r="L32" s="49">
        <f t="shared" si="25"/>
        <v>156250</v>
      </c>
      <c r="M32" s="49">
        <f t="shared" si="25"/>
        <v>156250</v>
      </c>
      <c r="N32" s="49">
        <f t="shared" si="25"/>
        <v>156250</v>
      </c>
      <c r="O32" s="49">
        <f t="shared" si="25"/>
        <v>156250</v>
      </c>
      <c r="P32" s="49">
        <f t="shared" si="25"/>
        <v>156250</v>
      </c>
      <c r="Q32" s="49">
        <f t="shared" si="25"/>
        <v>156250</v>
      </c>
      <c r="R32" s="49">
        <f t="shared" si="25"/>
        <v>156250</v>
      </c>
      <c r="S32" s="49">
        <f t="shared" si="25"/>
        <v>156250</v>
      </c>
      <c r="T32" s="49">
        <f t="shared" si="25"/>
        <v>156250</v>
      </c>
      <c r="U32" s="49">
        <f t="shared" si="25"/>
        <v>156250</v>
      </c>
      <c r="V32" s="49">
        <f t="shared" si="25"/>
        <v>156250</v>
      </c>
      <c r="W32" s="49">
        <f t="shared" si="25"/>
        <v>156250</v>
      </c>
      <c r="X32" s="49">
        <f t="shared" si="25"/>
        <v>156250</v>
      </c>
      <c r="Y32" s="49">
        <f t="shared" si="25"/>
        <v>156250</v>
      </c>
      <c r="Z32" s="49">
        <f t="shared" si="25"/>
        <v>156250</v>
      </c>
      <c r="AA32" s="49">
        <f t="shared" si="25"/>
        <v>156250</v>
      </c>
      <c r="AB32" s="49">
        <f t="shared" si="25"/>
        <v>156250</v>
      </c>
      <c r="AC32" s="49">
        <f t="shared" si="25"/>
        <v>156250</v>
      </c>
      <c r="AD32" s="49">
        <f t="shared" si="25"/>
        <v>156250</v>
      </c>
      <c r="AE32" s="49">
        <f t="shared" si="25"/>
        <v>156250</v>
      </c>
      <c r="AF32" s="49">
        <f t="shared" si="25"/>
        <v>156250</v>
      </c>
      <c r="AG32" s="49">
        <f t="shared" si="25"/>
        <v>156250</v>
      </c>
      <c r="AH32" s="49">
        <f t="shared" si="25"/>
        <v>156250</v>
      </c>
      <c r="AI32" s="49">
        <f t="shared" si="25"/>
        <v>156250</v>
      </c>
      <c r="AJ32" s="49">
        <f t="shared" ref="AJ32:AZ32" si="26">AJ27</f>
        <v>156250</v>
      </c>
      <c r="AK32" s="49">
        <f t="shared" si="26"/>
        <v>156250</v>
      </c>
      <c r="AL32" s="49">
        <f t="shared" si="26"/>
        <v>156250</v>
      </c>
      <c r="AM32" s="49">
        <f t="shared" si="26"/>
        <v>156250</v>
      </c>
      <c r="AN32" s="49">
        <f t="shared" si="26"/>
        <v>156250</v>
      </c>
      <c r="AO32" s="49">
        <f t="shared" si="26"/>
        <v>156250</v>
      </c>
      <c r="AP32" s="49">
        <f t="shared" si="26"/>
        <v>156250</v>
      </c>
      <c r="AQ32" s="49">
        <f t="shared" si="26"/>
        <v>156250</v>
      </c>
      <c r="AR32" s="49">
        <f t="shared" si="26"/>
        <v>156250</v>
      </c>
      <c r="AS32" s="49">
        <f t="shared" si="26"/>
        <v>156250</v>
      </c>
      <c r="AT32" s="49">
        <f t="shared" si="26"/>
        <v>156250</v>
      </c>
      <c r="AU32" s="49">
        <f t="shared" si="26"/>
        <v>156250</v>
      </c>
      <c r="AV32" s="49">
        <f t="shared" si="26"/>
        <v>156250</v>
      </c>
      <c r="AW32" s="49">
        <f t="shared" si="26"/>
        <v>156250</v>
      </c>
      <c r="AX32" s="49">
        <f t="shared" si="26"/>
        <v>156250</v>
      </c>
      <c r="AY32" s="49">
        <f t="shared" si="26"/>
        <v>156250</v>
      </c>
      <c r="AZ32" s="49">
        <f t="shared" si="26"/>
        <v>78125</v>
      </c>
      <c r="BA32" s="49"/>
    </row>
    <row r="33" spans="2:53" x14ac:dyDescent="0.35">
      <c r="B33" s="8" t="s">
        <v>3</v>
      </c>
      <c r="D33" s="49">
        <f>(D30*$C9)*$C$8</f>
        <v>89953.125</v>
      </c>
      <c r="E33" s="49">
        <f t="shared" ref="E33:AZ33" si="27">(E30*$C9)*$C$8</f>
        <v>178012.5</v>
      </c>
      <c r="F33" s="49">
        <f t="shared" si="27"/>
        <v>174225</v>
      </c>
      <c r="G33" s="49">
        <f t="shared" si="27"/>
        <v>170437.5</v>
      </c>
      <c r="H33" s="49">
        <f t="shared" si="27"/>
        <v>166650</v>
      </c>
      <c r="I33" s="49">
        <f t="shared" si="27"/>
        <v>162862.5</v>
      </c>
      <c r="J33" s="49">
        <f t="shared" si="27"/>
        <v>159075</v>
      </c>
      <c r="K33" s="49">
        <f t="shared" si="27"/>
        <v>155287.5</v>
      </c>
      <c r="L33" s="49">
        <f t="shared" si="27"/>
        <v>151500</v>
      </c>
      <c r="M33" s="49">
        <f t="shared" si="27"/>
        <v>147712.5</v>
      </c>
      <c r="N33" s="49">
        <f t="shared" si="27"/>
        <v>143925</v>
      </c>
      <c r="O33" s="49">
        <f t="shared" si="27"/>
        <v>140137.5</v>
      </c>
      <c r="P33" s="49">
        <f t="shared" si="27"/>
        <v>136350</v>
      </c>
      <c r="Q33" s="49">
        <f t="shared" si="27"/>
        <v>132562.5</v>
      </c>
      <c r="R33" s="49">
        <f t="shared" si="27"/>
        <v>128775</v>
      </c>
      <c r="S33" s="49">
        <f t="shared" si="27"/>
        <v>124987.5</v>
      </c>
      <c r="T33" s="49">
        <f t="shared" si="27"/>
        <v>121200</v>
      </c>
      <c r="U33" s="49">
        <f t="shared" si="27"/>
        <v>117412.5</v>
      </c>
      <c r="V33" s="49">
        <f t="shared" si="27"/>
        <v>113625</v>
      </c>
      <c r="W33" s="49">
        <f t="shared" si="27"/>
        <v>109837.5</v>
      </c>
      <c r="X33" s="49">
        <f t="shared" si="27"/>
        <v>106050</v>
      </c>
      <c r="Y33" s="49">
        <f t="shared" si="27"/>
        <v>102262.5</v>
      </c>
      <c r="Z33" s="49">
        <f t="shared" si="27"/>
        <v>98475</v>
      </c>
      <c r="AA33" s="49">
        <f t="shared" si="27"/>
        <v>94687.5</v>
      </c>
      <c r="AB33" s="49">
        <f t="shared" si="27"/>
        <v>90900</v>
      </c>
      <c r="AC33" s="49">
        <f t="shared" si="27"/>
        <v>87112.5</v>
      </c>
      <c r="AD33" s="49">
        <f t="shared" si="27"/>
        <v>83325</v>
      </c>
      <c r="AE33" s="49">
        <f t="shared" si="27"/>
        <v>79537.5</v>
      </c>
      <c r="AF33" s="49">
        <f t="shared" si="27"/>
        <v>75750</v>
      </c>
      <c r="AG33" s="49">
        <f t="shared" si="27"/>
        <v>71962.5</v>
      </c>
      <c r="AH33" s="49">
        <f t="shared" si="27"/>
        <v>68175</v>
      </c>
      <c r="AI33" s="49">
        <f t="shared" si="27"/>
        <v>64387.5</v>
      </c>
      <c r="AJ33" s="49">
        <f t="shared" si="27"/>
        <v>60600</v>
      </c>
      <c r="AK33" s="49">
        <f t="shared" si="27"/>
        <v>56812.5</v>
      </c>
      <c r="AL33" s="49">
        <f t="shared" si="27"/>
        <v>53025</v>
      </c>
      <c r="AM33" s="49">
        <f t="shared" si="27"/>
        <v>49237.5</v>
      </c>
      <c r="AN33" s="49">
        <f t="shared" si="27"/>
        <v>45450</v>
      </c>
      <c r="AO33" s="49">
        <f t="shared" si="27"/>
        <v>41662.5</v>
      </c>
      <c r="AP33" s="49">
        <f t="shared" si="27"/>
        <v>37875</v>
      </c>
      <c r="AQ33" s="49">
        <f t="shared" si="27"/>
        <v>34087.5</v>
      </c>
      <c r="AR33" s="49">
        <f t="shared" si="27"/>
        <v>30300</v>
      </c>
      <c r="AS33" s="49">
        <f t="shared" si="27"/>
        <v>26512.5</v>
      </c>
      <c r="AT33" s="49">
        <f t="shared" si="27"/>
        <v>22725</v>
      </c>
      <c r="AU33" s="49">
        <f t="shared" si="27"/>
        <v>18937.5</v>
      </c>
      <c r="AV33" s="49">
        <f t="shared" si="27"/>
        <v>15150</v>
      </c>
      <c r="AW33" s="49">
        <f t="shared" si="27"/>
        <v>11362.5</v>
      </c>
      <c r="AX33" s="49">
        <f t="shared" si="27"/>
        <v>7575</v>
      </c>
      <c r="AY33" s="49">
        <f t="shared" si="27"/>
        <v>3787.5</v>
      </c>
      <c r="AZ33" s="49">
        <f t="shared" si="27"/>
        <v>946.875</v>
      </c>
      <c r="BA33" s="49"/>
    </row>
    <row r="34" spans="2:53" x14ac:dyDescent="0.35">
      <c r="B34" s="8" t="s">
        <v>6</v>
      </c>
      <c r="C34" s="19"/>
      <c r="D34" s="49">
        <f>(D30*$C7)*$C$6</f>
        <v>138937.5</v>
      </c>
      <c r="E34" s="49">
        <f t="shared" ref="E34:AZ34" si="28">(E30*$C7)*$C$6</f>
        <v>274950</v>
      </c>
      <c r="F34" s="49">
        <f t="shared" si="28"/>
        <v>269100</v>
      </c>
      <c r="G34" s="49">
        <f t="shared" si="28"/>
        <v>263250</v>
      </c>
      <c r="H34" s="49">
        <f t="shared" si="28"/>
        <v>257400</v>
      </c>
      <c r="I34" s="49">
        <f t="shared" si="28"/>
        <v>251550</v>
      </c>
      <c r="J34" s="49">
        <f t="shared" si="28"/>
        <v>245700</v>
      </c>
      <c r="K34" s="49">
        <f t="shared" si="28"/>
        <v>239850</v>
      </c>
      <c r="L34" s="49">
        <f t="shared" si="28"/>
        <v>234000</v>
      </c>
      <c r="M34" s="49">
        <f t="shared" si="28"/>
        <v>228150</v>
      </c>
      <c r="N34" s="49">
        <f t="shared" si="28"/>
        <v>222300</v>
      </c>
      <c r="O34" s="49">
        <f t="shared" si="28"/>
        <v>216450</v>
      </c>
      <c r="P34" s="49">
        <f t="shared" si="28"/>
        <v>210600</v>
      </c>
      <c r="Q34" s="49">
        <f t="shared" si="28"/>
        <v>204750</v>
      </c>
      <c r="R34" s="49">
        <f t="shared" si="28"/>
        <v>198900</v>
      </c>
      <c r="S34" s="49">
        <f t="shared" si="28"/>
        <v>193050</v>
      </c>
      <c r="T34" s="49">
        <f t="shared" si="28"/>
        <v>187200</v>
      </c>
      <c r="U34" s="49">
        <f t="shared" si="28"/>
        <v>181350</v>
      </c>
      <c r="V34" s="49">
        <f t="shared" si="28"/>
        <v>175500</v>
      </c>
      <c r="W34" s="49">
        <f t="shared" si="28"/>
        <v>169650</v>
      </c>
      <c r="X34" s="49">
        <f t="shared" si="28"/>
        <v>163800</v>
      </c>
      <c r="Y34" s="49">
        <f t="shared" si="28"/>
        <v>157950</v>
      </c>
      <c r="Z34" s="49">
        <f t="shared" si="28"/>
        <v>152100</v>
      </c>
      <c r="AA34" s="49">
        <f t="shared" si="28"/>
        <v>146250</v>
      </c>
      <c r="AB34" s="49">
        <f t="shared" si="28"/>
        <v>140400</v>
      </c>
      <c r="AC34" s="49">
        <f t="shared" si="28"/>
        <v>134550</v>
      </c>
      <c r="AD34" s="49">
        <f t="shared" si="28"/>
        <v>128700</v>
      </c>
      <c r="AE34" s="49">
        <f t="shared" si="28"/>
        <v>122850</v>
      </c>
      <c r="AF34" s="49">
        <f t="shared" si="28"/>
        <v>117000</v>
      </c>
      <c r="AG34" s="49">
        <f t="shared" si="28"/>
        <v>111150</v>
      </c>
      <c r="AH34" s="49">
        <f t="shared" si="28"/>
        <v>105300</v>
      </c>
      <c r="AI34" s="49">
        <f t="shared" si="28"/>
        <v>99450</v>
      </c>
      <c r="AJ34" s="49">
        <f t="shared" si="28"/>
        <v>93600</v>
      </c>
      <c r="AK34" s="49">
        <f t="shared" si="28"/>
        <v>87750</v>
      </c>
      <c r="AL34" s="49">
        <f t="shared" si="28"/>
        <v>81900</v>
      </c>
      <c r="AM34" s="49">
        <f t="shared" si="28"/>
        <v>76050</v>
      </c>
      <c r="AN34" s="49">
        <f t="shared" si="28"/>
        <v>70200</v>
      </c>
      <c r="AO34" s="49">
        <f t="shared" si="28"/>
        <v>64350</v>
      </c>
      <c r="AP34" s="49">
        <f t="shared" si="28"/>
        <v>58500</v>
      </c>
      <c r="AQ34" s="49">
        <f t="shared" si="28"/>
        <v>52650</v>
      </c>
      <c r="AR34" s="49">
        <f t="shared" si="28"/>
        <v>46800</v>
      </c>
      <c r="AS34" s="49">
        <f t="shared" si="28"/>
        <v>40950</v>
      </c>
      <c r="AT34" s="49">
        <f t="shared" si="28"/>
        <v>35100</v>
      </c>
      <c r="AU34" s="49">
        <f t="shared" si="28"/>
        <v>29250</v>
      </c>
      <c r="AV34" s="49">
        <f t="shared" si="28"/>
        <v>23400</v>
      </c>
      <c r="AW34" s="49">
        <f t="shared" si="28"/>
        <v>17550</v>
      </c>
      <c r="AX34" s="49">
        <f t="shared" si="28"/>
        <v>11700</v>
      </c>
      <c r="AY34" s="49">
        <f t="shared" si="28"/>
        <v>5850</v>
      </c>
      <c r="AZ34" s="49">
        <f t="shared" si="28"/>
        <v>1462.5</v>
      </c>
      <c r="BA34" s="49"/>
    </row>
    <row r="35" spans="2:53" x14ac:dyDescent="0.35">
      <c r="B35" s="8"/>
      <c r="C35" s="1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</row>
    <row r="36" spans="2:53" x14ac:dyDescent="0.35">
      <c r="B36" s="8" t="s">
        <v>11</v>
      </c>
      <c r="C36" s="19"/>
      <c r="D36" s="58">
        <f>D26</f>
        <v>3750000</v>
      </c>
      <c r="E36" s="55">
        <f>D38+D23/2</f>
        <v>6900000</v>
      </c>
      <c r="F36" s="49">
        <f>E38</f>
        <v>6300000</v>
      </c>
      <c r="G36" s="49">
        <f t="shared" ref="G36:O36" si="29">F38</f>
        <v>5700000</v>
      </c>
      <c r="H36" s="49">
        <f t="shared" si="29"/>
        <v>5100000</v>
      </c>
      <c r="I36" s="49">
        <f t="shared" si="29"/>
        <v>4500000</v>
      </c>
      <c r="J36" s="49">
        <f t="shared" si="29"/>
        <v>3900000</v>
      </c>
      <c r="K36" s="49">
        <f t="shared" si="29"/>
        <v>3300000</v>
      </c>
      <c r="L36" s="49">
        <f t="shared" si="29"/>
        <v>2700000</v>
      </c>
      <c r="M36" s="49">
        <f t="shared" si="29"/>
        <v>2100000</v>
      </c>
      <c r="N36" s="49">
        <f t="shared" si="29"/>
        <v>1500000</v>
      </c>
      <c r="O36" s="49">
        <f t="shared" si="29"/>
        <v>900000</v>
      </c>
      <c r="P36" s="49">
        <f>O38</f>
        <v>300000</v>
      </c>
      <c r="Q36" s="49">
        <f t="shared" ref="Q36:AH36" si="30">P38</f>
        <v>0</v>
      </c>
      <c r="R36" s="49">
        <f t="shared" si="30"/>
        <v>0</v>
      </c>
      <c r="S36" s="49">
        <f t="shared" si="30"/>
        <v>0</v>
      </c>
      <c r="T36" s="49">
        <f t="shared" si="30"/>
        <v>0</v>
      </c>
      <c r="U36" s="49">
        <f t="shared" si="30"/>
        <v>0</v>
      </c>
      <c r="V36" s="49">
        <f t="shared" si="30"/>
        <v>0</v>
      </c>
      <c r="W36" s="49">
        <f t="shared" si="30"/>
        <v>0</v>
      </c>
      <c r="X36" s="49">
        <f t="shared" si="30"/>
        <v>0</v>
      </c>
      <c r="Y36" s="49">
        <f t="shared" si="30"/>
        <v>0</v>
      </c>
      <c r="Z36" s="49">
        <f t="shared" si="30"/>
        <v>0</v>
      </c>
      <c r="AA36" s="49">
        <f t="shared" si="30"/>
        <v>0</v>
      </c>
      <c r="AB36" s="49">
        <f t="shared" si="30"/>
        <v>0</v>
      </c>
      <c r="AC36" s="49">
        <f t="shared" si="30"/>
        <v>0</v>
      </c>
      <c r="AD36" s="49">
        <f t="shared" si="30"/>
        <v>0</v>
      </c>
      <c r="AE36" s="49">
        <f t="shared" si="30"/>
        <v>0</v>
      </c>
      <c r="AF36" s="49">
        <f t="shared" si="30"/>
        <v>0</v>
      </c>
      <c r="AG36" s="49">
        <f t="shared" si="30"/>
        <v>0</v>
      </c>
      <c r="AH36" s="49">
        <f t="shared" si="30"/>
        <v>0</v>
      </c>
      <c r="AI36" s="49">
        <f t="shared" ref="AI36" si="31">AH38</f>
        <v>0</v>
      </c>
      <c r="AJ36" s="49">
        <f t="shared" ref="AJ36" si="32">AI38</f>
        <v>0</v>
      </c>
      <c r="AK36" s="49">
        <f t="shared" ref="AK36" si="33">AJ38</f>
        <v>0</v>
      </c>
      <c r="AL36" s="49">
        <f t="shared" ref="AL36" si="34">AK38</f>
        <v>0</v>
      </c>
      <c r="AM36" s="49">
        <f t="shared" ref="AM36" si="35">AL38</f>
        <v>0</v>
      </c>
      <c r="AN36" s="49">
        <f t="shared" ref="AN36" si="36">AM38</f>
        <v>0</v>
      </c>
      <c r="AO36" s="49">
        <f t="shared" ref="AO36" si="37">AN38</f>
        <v>0</v>
      </c>
      <c r="AP36" s="49">
        <f t="shared" ref="AP36" si="38">AO38</f>
        <v>0</v>
      </c>
      <c r="AQ36" s="49">
        <f t="shared" ref="AQ36" si="39">AP38</f>
        <v>0</v>
      </c>
      <c r="AR36" s="49">
        <f t="shared" ref="AR36" si="40">AQ38</f>
        <v>0</v>
      </c>
      <c r="AS36" s="49">
        <f t="shared" ref="AS36" si="41">AR38</f>
        <v>0</v>
      </c>
      <c r="AT36" s="49">
        <f t="shared" ref="AT36" si="42">AS38</f>
        <v>0</v>
      </c>
      <c r="AU36" s="49">
        <f t="shared" ref="AU36" si="43">AT38</f>
        <v>0</v>
      </c>
      <c r="AV36" s="49">
        <f t="shared" ref="AV36" si="44">AU38</f>
        <v>0</v>
      </c>
      <c r="AW36" s="49">
        <f t="shared" ref="AW36" si="45">AV38</f>
        <v>0</v>
      </c>
      <c r="AX36" s="49">
        <f t="shared" ref="AX36" si="46">AW38</f>
        <v>0</v>
      </c>
      <c r="AY36" s="49">
        <f t="shared" ref="AY36" si="47">AX38</f>
        <v>0</v>
      </c>
      <c r="AZ36" s="49">
        <f t="shared" ref="AZ36" si="48">AY38</f>
        <v>0</v>
      </c>
      <c r="BA36" s="49"/>
    </row>
    <row r="37" spans="2:53" x14ac:dyDescent="0.35">
      <c r="B37" s="8" t="s">
        <v>17</v>
      </c>
      <c r="C37" s="114"/>
      <c r="D37" s="55">
        <f>(D26*C12)*2</f>
        <v>600000</v>
      </c>
      <c r="E37" s="49">
        <f t="shared" ref="E37:O37" si="49">IF(E36&gt;0,$D$23*$C12,0)</f>
        <v>600000</v>
      </c>
      <c r="F37" s="49">
        <f t="shared" si="49"/>
        <v>600000</v>
      </c>
      <c r="G37" s="49">
        <f t="shared" si="49"/>
        <v>600000</v>
      </c>
      <c r="H37" s="49">
        <f t="shared" si="49"/>
        <v>600000</v>
      </c>
      <c r="I37" s="49">
        <f t="shared" si="49"/>
        <v>600000</v>
      </c>
      <c r="J37" s="49">
        <f t="shared" si="49"/>
        <v>600000</v>
      </c>
      <c r="K37" s="49">
        <f t="shared" si="49"/>
        <v>600000</v>
      </c>
      <c r="L37" s="49">
        <f t="shared" si="49"/>
        <v>600000</v>
      </c>
      <c r="M37" s="49">
        <f t="shared" si="49"/>
        <v>600000</v>
      </c>
      <c r="N37" s="49">
        <f t="shared" si="49"/>
        <v>600000</v>
      </c>
      <c r="O37" s="49">
        <f t="shared" si="49"/>
        <v>600000</v>
      </c>
      <c r="P37" s="50">
        <f>IF(P36&gt;0,$D$23*$C12,0)/2</f>
        <v>300000</v>
      </c>
      <c r="Q37" s="49">
        <f t="shared" ref="Q37:AZ37" si="50">IF(Q36&gt;0,$D$23*$C12,0)</f>
        <v>0</v>
      </c>
      <c r="R37" s="49">
        <f t="shared" si="50"/>
        <v>0</v>
      </c>
      <c r="S37" s="49">
        <f t="shared" si="50"/>
        <v>0</v>
      </c>
      <c r="T37" s="49">
        <f t="shared" si="50"/>
        <v>0</v>
      </c>
      <c r="U37" s="49">
        <f t="shared" si="50"/>
        <v>0</v>
      </c>
      <c r="V37" s="49">
        <f t="shared" si="50"/>
        <v>0</v>
      </c>
      <c r="W37" s="49">
        <f t="shared" si="50"/>
        <v>0</v>
      </c>
      <c r="X37" s="49">
        <f t="shared" si="50"/>
        <v>0</v>
      </c>
      <c r="Y37" s="49">
        <f t="shared" si="50"/>
        <v>0</v>
      </c>
      <c r="Z37" s="49">
        <f t="shared" si="50"/>
        <v>0</v>
      </c>
      <c r="AA37" s="49">
        <f t="shared" si="50"/>
        <v>0</v>
      </c>
      <c r="AB37" s="49">
        <f t="shared" si="50"/>
        <v>0</v>
      </c>
      <c r="AC37" s="49">
        <f t="shared" si="50"/>
        <v>0</v>
      </c>
      <c r="AD37" s="49">
        <f t="shared" si="50"/>
        <v>0</v>
      </c>
      <c r="AE37" s="49">
        <f t="shared" si="50"/>
        <v>0</v>
      </c>
      <c r="AF37" s="49">
        <f t="shared" si="50"/>
        <v>0</v>
      </c>
      <c r="AG37" s="49">
        <f t="shared" si="50"/>
        <v>0</v>
      </c>
      <c r="AH37" s="49">
        <f t="shared" si="50"/>
        <v>0</v>
      </c>
      <c r="AI37" s="49">
        <f t="shared" si="50"/>
        <v>0</v>
      </c>
      <c r="AJ37" s="49">
        <f t="shared" si="50"/>
        <v>0</v>
      </c>
      <c r="AK37" s="49">
        <f t="shared" si="50"/>
        <v>0</v>
      </c>
      <c r="AL37" s="49">
        <f t="shared" si="50"/>
        <v>0</v>
      </c>
      <c r="AM37" s="49">
        <f t="shared" si="50"/>
        <v>0</v>
      </c>
      <c r="AN37" s="49">
        <f t="shared" si="50"/>
        <v>0</v>
      </c>
      <c r="AO37" s="49">
        <f t="shared" si="50"/>
        <v>0</v>
      </c>
      <c r="AP37" s="49">
        <f t="shared" si="50"/>
        <v>0</v>
      </c>
      <c r="AQ37" s="49">
        <f t="shared" si="50"/>
        <v>0</v>
      </c>
      <c r="AR37" s="49">
        <f t="shared" si="50"/>
        <v>0</v>
      </c>
      <c r="AS37" s="49">
        <f t="shared" si="50"/>
        <v>0</v>
      </c>
      <c r="AT37" s="49">
        <f t="shared" si="50"/>
        <v>0</v>
      </c>
      <c r="AU37" s="49">
        <f t="shared" si="50"/>
        <v>0</v>
      </c>
      <c r="AV37" s="49">
        <f t="shared" si="50"/>
        <v>0</v>
      </c>
      <c r="AW37" s="49">
        <f t="shared" si="50"/>
        <v>0</v>
      </c>
      <c r="AX37" s="49">
        <f t="shared" si="50"/>
        <v>0</v>
      </c>
      <c r="AY37" s="49">
        <f t="shared" si="50"/>
        <v>0</v>
      </c>
      <c r="AZ37" s="49">
        <f t="shared" si="50"/>
        <v>0</v>
      </c>
      <c r="BA37" s="49"/>
    </row>
    <row r="38" spans="2:53" x14ac:dyDescent="0.35">
      <c r="B38" s="8" t="s">
        <v>12</v>
      </c>
      <c r="C38" s="19"/>
      <c r="D38" s="49">
        <f>IF((D36-D37)&gt;0,D36-D37,0)</f>
        <v>3150000</v>
      </c>
      <c r="E38" s="49">
        <f t="shared" ref="E38:AH38" si="51">IF((E36-E37)&gt;0,E36-E37,0)</f>
        <v>6300000</v>
      </c>
      <c r="F38" s="49">
        <f t="shared" si="51"/>
        <v>5700000</v>
      </c>
      <c r="G38" s="49">
        <f t="shared" si="51"/>
        <v>5100000</v>
      </c>
      <c r="H38" s="49">
        <f t="shared" si="51"/>
        <v>4500000</v>
      </c>
      <c r="I38" s="49">
        <f t="shared" si="51"/>
        <v>3900000</v>
      </c>
      <c r="J38" s="49">
        <f t="shared" si="51"/>
        <v>3300000</v>
      </c>
      <c r="K38" s="49">
        <f t="shared" si="51"/>
        <v>2700000</v>
      </c>
      <c r="L38" s="49">
        <f t="shared" si="51"/>
        <v>2100000</v>
      </c>
      <c r="M38" s="49">
        <f t="shared" si="51"/>
        <v>1500000</v>
      </c>
      <c r="N38" s="49">
        <f t="shared" si="51"/>
        <v>900000</v>
      </c>
      <c r="O38" s="49">
        <f t="shared" si="51"/>
        <v>300000</v>
      </c>
      <c r="P38" s="49">
        <f t="shared" si="51"/>
        <v>0</v>
      </c>
      <c r="Q38" s="49">
        <f t="shared" si="51"/>
        <v>0</v>
      </c>
      <c r="R38" s="49">
        <f t="shared" si="51"/>
        <v>0</v>
      </c>
      <c r="S38" s="49">
        <f t="shared" si="51"/>
        <v>0</v>
      </c>
      <c r="T38" s="49">
        <f t="shared" si="51"/>
        <v>0</v>
      </c>
      <c r="U38" s="49">
        <f t="shared" si="51"/>
        <v>0</v>
      </c>
      <c r="V38" s="49">
        <f t="shared" si="51"/>
        <v>0</v>
      </c>
      <c r="W38" s="49">
        <f t="shared" si="51"/>
        <v>0</v>
      </c>
      <c r="X38" s="49">
        <f t="shared" si="51"/>
        <v>0</v>
      </c>
      <c r="Y38" s="49">
        <f t="shared" si="51"/>
        <v>0</v>
      </c>
      <c r="Z38" s="49">
        <f t="shared" si="51"/>
        <v>0</v>
      </c>
      <c r="AA38" s="49">
        <f t="shared" si="51"/>
        <v>0</v>
      </c>
      <c r="AB38" s="49">
        <f t="shared" si="51"/>
        <v>0</v>
      </c>
      <c r="AC38" s="49">
        <f>IF((AC36-AC12)&gt;0,AC36-AC12,0)</f>
        <v>0</v>
      </c>
      <c r="AD38" s="49">
        <f t="shared" si="51"/>
        <v>0</v>
      </c>
      <c r="AE38" s="49">
        <f t="shared" si="51"/>
        <v>0</v>
      </c>
      <c r="AF38" s="49">
        <f t="shared" si="51"/>
        <v>0</v>
      </c>
      <c r="AG38" s="49">
        <f t="shared" si="51"/>
        <v>0</v>
      </c>
      <c r="AH38" s="49">
        <f t="shared" si="51"/>
        <v>0</v>
      </c>
      <c r="AI38" s="49">
        <f t="shared" ref="AI38:AZ38" si="52">IF((AI36-AI37)&gt;0,AI36-AI37,0)</f>
        <v>0</v>
      </c>
      <c r="AJ38" s="49">
        <f t="shared" si="52"/>
        <v>0</v>
      </c>
      <c r="AK38" s="49">
        <f t="shared" si="52"/>
        <v>0</v>
      </c>
      <c r="AL38" s="49">
        <f t="shared" si="52"/>
        <v>0</v>
      </c>
      <c r="AM38" s="49">
        <f t="shared" si="52"/>
        <v>0</v>
      </c>
      <c r="AN38" s="49">
        <f t="shared" si="52"/>
        <v>0</v>
      </c>
      <c r="AO38" s="49">
        <f t="shared" si="52"/>
        <v>0</v>
      </c>
      <c r="AP38" s="49">
        <f t="shared" si="52"/>
        <v>0</v>
      </c>
      <c r="AQ38" s="49">
        <f t="shared" si="52"/>
        <v>0</v>
      </c>
      <c r="AR38" s="49">
        <f t="shared" si="52"/>
        <v>0</v>
      </c>
      <c r="AS38" s="49">
        <f t="shared" si="52"/>
        <v>0</v>
      </c>
      <c r="AT38" s="49">
        <f t="shared" si="52"/>
        <v>0</v>
      </c>
      <c r="AU38" s="49">
        <f t="shared" si="52"/>
        <v>0</v>
      </c>
      <c r="AV38" s="49">
        <f t="shared" si="52"/>
        <v>0</v>
      </c>
      <c r="AW38" s="49">
        <f t="shared" si="52"/>
        <v>0</v>
      </c>
      <c r="AX38" s="49">
        <f t="shared" si="52"/>
        <v>0</v>
      </c>
      <c r="AY38" s="49">
        <f t="shared" si="52"/>
        <v>0</v>
      </c>
      <c r="AZ38" s="49">
        <f t="shared" si="52"/>
        <v>0</v>
      </c>
      <c r="BA38" s="49"/>
    </row>
    <row r="39" spans="2:53" x14ac:dyDescent="0.35">
      <c r="B39" s="8"/>
      <c r="C39" s="1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</row>
    <row r="40" spans="2:53" x14ac:dyDescent="0.35">
      <c r="B40" s="8" t="s">
        <v>13</v>
      </c>
      <c r="C40" s="19"/>
      <c r="D40" s="49">
        <f>D34+D32-D37</f>
        <v>-382937.5</v>
      </c>
      <c r="E40" s="49">
        <f t="shared" ref="E40:AZ40" si="53">E34+E32-E37</f>
        <v>-168800</v>
      </c>
      <c r="F40" s="49">
        <f t="shared" si="53"/>
        <v>-174650</v>
      </c>
      <c r="G40" s="49">
        <f t="shared" si="53"/>
        <v>-180500</v>
      </c>
      <c r="H40" s="49">
        <f t="shared" si="53"/>
        <v>-186350</v>
      </c>
      <c r="I40" s="49">
        <f t="shared" si="53"/>
        <v>-192200</v>
      </c>
      <c r="J40" s="49">
        <f t="shared" si="53"/>
        <v>-198050</v>
      </c>
      <c r="K40" s="49">
        <f t="shared" si="53"/>
        <v>-203900</v>
      </c>
      <c r="L40" s="49">
        <f t="shared" si="53"/>
        <v>-209750</v>
      </c>
      <c r="M40" s="49">
        <f t="shared" si="53"/>
        <v>-215600</v>
      </c>
      <c r="N40" s="49">
        <f t="shared" si="53"/>
        <v>-221450</v>
      </c>
      <c r="O40" s="49">
        <f t="shared" si="53"/>
        <v>-227300</v>
      </c>
      <c r="P40" s="49">
        <f t="shared" si="53"/>
        <v>66850</v>
      </c>
      <c r="Q40" s="49">
        <f t="shared" si="53"/>
        <v>361000</v>
      </c>
      <c r="R40" s="49">
        <f t="shared" si="53"/>
        <v>355150</v>
      </c>
      <c r="S40" s="49">
        <f t="shared" si="53"/>
        <v>349300</v>
      </c>
      <c r="T40" s="49">
        <f t="shared" si="53"/>
        <v>343450</v>
      </c>
      <c r="U40" s="49">
        <f t="shared" si="53"/>
        <v>337600</v>
      </c>
      <c r="V40" s="49">
        <f t="shared" si="53"/>
        <v>331750</v>
      </c>
      <c r="W40" s="49">
        <f t="shared" si="53"/>
        <v>325900</v>
      </c>
      <c r="X40" s="49">
        <f t="shared" si="53"/>
        <v>320050</v>
      </c>
      <c r="Y40" s="49">
        <f t="shared" si="53"/>
        <v>314200</v>
      </c>
      <c r="Z40" s="49">
        <f t="shared" si="53"/>
        <v>308350</v>
      </c>
      <c r="AA40" s="49">
        <f t="shared" si="53"/>
        <v>302500</v>
      </c>
      <c r="AB40" s="49">
        <f t="shared" si="53"/>
        <v>296650</v>
      </c>
      <c r="AC40" s="49">
        <f>AC34+AC32-AC12</f>
        <v>290800</v>
      </c>
      <c r="AD40" s="49">
        <f t="shared" si="53"/>
        <v>284950</v>
      </c>
      <c r="AE40" s="49">
        <f t="shared" si="53"/>
        <v>279100</v>
      </c>
      <c r="AF40" s="49">
        <f t="shared" si="53"/>
        <v>273250</v>
      </c>
      <c r="AG40" s="49">
        <f t="shared" si="53"/>
        <v>267400</v>
      </c>
      <c r="AH40" s="49">
        <f t="shared" si="53"/>
        <v>261550</v>
      </c>
      <c r="AI40" s="49">
        <f t="shared" si="53"/>
        <v>255700</v>
      </c>
      <c r="AJ40" s="49">
        <f t="shared" si="53"/>
        <v>249850</v>
      </c>
      <c r="AK40" s="49">
        <f t="shared" si="53"/>
        <v>244000</v>
      </c>
      <c r="AL40" s="49">
        <f t="shared" si="53"/>
        <v>238150</v>
      </c>
      <c r="AM40" s="49">
        <f t="shared" si="53"/>
        <v>232300</v>
      </c>
      <c r="AN40" s="49">
        <f t="shared" si="53"/>
        <v>226450</v>
      </c>
      <c r="AO40" s="49">
        <f t="shared" si="53"/>
        <v>220600</v>
      </c>
      <c r="AP40" s="49">
        <f t="shared" si="53"/>
        <v>214750</v>
      </c>
      <c r="AQ40" s="49">
        <f t="shared" si="53"/>
        <v>208900</v>
      </c>
      <c r="AR40" s="49">
        <f t="shared" si="53"/>
        <v>203050</v>
      </c>
      <c r="AS40" s="49">
        <f t="shared" si="53"/>
        <v>197200</v>
      </c>
      <c r="AT40" s="49">
        <f t="shared" si="53"/>
        <v>191350</v>
      </c>
      <c r="AU40" s="49">
        <f t="shared" si="53"/>
        <v>185500</v>
      </c>
      <c r="AV40" s="49">
        <f t="shared" si="53"/>
        <v>179650</v>
      </c>
      <c r="AW40" s="49">
        <f t="shared" si="53"/>
        <v>173800</v>
      </c>
      <c r="AX40" s="49">
        <f t="shared" si="53"/>
        <v>167950</v>
      </c>
      <c r="AY40" s="49">
        <f t="shared" si="53"/>
        <v>162100</v>
      </c>
      <c r="AZ40" s="49">
        <f t="shared" si="53"/>
        <v>79587.5</v>
      </c>
      <c r="BA40" s="49"/>
    </row>
    <row r="41" spans="2:53" x14ac:dyDescent="0.35">
      <c r="B41" s="8" t="s">
        <v>2</v>
      </c>
      <c r="C41" s="113"/>
      <c r="D41" s="49">
        <f>(D40*$C$13)/(1-$C$13)</f>
        <v>-138065.90136054423</v>
      </c>
      <c r="E41" s="49">
        <f>(E40*$C$13)/(1-$C$13)</f>
        <v>-60859.863945578232</v>
      </c>
      <c r="F41" s="49">
        <f t="shared" ref="F41:H41" si="54">(F40*$C$13)/(1-$C$13)</f>
        <v>-62969.047619047618</v>
      </c>
      <c r="G41" s="49">
        <f t="shared" si="54"/>
        <v>-65078.231292517004</v>
      </c>
      <c r="H41" s="49">
        <f t="shared" si="54"/>
        <v>-67187.414965986391</v>
      </c>
      <c r="I41" s="49">
        <f t="shared" ref="I41" si="55">(I40*$C$13)/(1-$C$13)</f>
        <v>-69296.598639455784</v>
      </c>
      <c r="J41" s="49">
        <f t="shared" ref="J41" si="56">(J40*$C$13)/(1-$C$13)</f>
        <v>-71405.782312925177</v>
      </c>
      <c r="K41" s="49">
        <f t="shared" ref="K41" si="57">(K40*$C$13)/(1-$C$13)</f>
        <v>-73514.965986394556</v>
      </c>
      <c r="L41" s="49">
        <f t="shared" ref="L41" si="58">(L40*$C$13)/(1-$C$13)</f>
        <v>-75624.14965986395</v>
      </c>
      <c r="M41" s="49">
        <f t="shared" ref="M41" si="59">(M40*$C$13)/(1-$C$13)</f>
        <v>-77733.333333333328</v>
      </c>
      <c r="N41" s="49">
        <f t="shared" ref="N41" si="60">(N40*$C$13)/(1-$C$13)</f>
        <v>-79842.517006802722</v>
      </c>
      <c r="O41" s="49">
        <f t="shared" ref="O41" si="61">(O40*$C$13)/(1-$C$13)</f>
        <v>-81951.700680272115</v>
      </c>
      <c r="P41" s="49">
        <f t="shared" ref="P41" si="62">(P40*$C$13)/(1-$C$13)</f>
        <v>24102.380952380954</v>
      </c>
      <c r="Q41" s="49">
        <f t="shared" ref="Q41" si="63">(Q40*$C$13)/(1-$C$13)</f>
        <v>130156.46258503401</v>
      </c>
      <c r="R41" s="49">
        <f t="shared" ref="R41" si="64">(R40*$C$13)/(1-$C$13)</f>
        <v>128047.27891156463</v>
      </c>
      <c r="S41" s="49">
        <f t="shared" ref="S41" si="65">(S40*$C$13)/(1-$C$13)</f>
        <v>125938.09523809524</v>
      </c>
      <c r="T41" s="49">
        <f t="shared" ref="T41" si="66">(T40*$C$13)/(1-$C$13)</f>
        <v>123828.91156462586</v>
      </c>
      <c r="U41" s="49">
        <f t="shared" ref="U41" si="67">(U40*$C$13)/(1-$C$13)</f>
        <v>121719.72789115646</v>
      </c>
      <c r="V41" s="49">
        <f t="shared" ref="V41" si="68">(V40*$C$13)/(1-$C$13)</f>
        <v>119610.54421768707</v>
      </c>
      <c r="W41" s="49">
        <f t="shared" ref="W41" si="69">(W40*$C$13)/(1-$C$13)</f>
        <v>117501.36054421769</v>
      </c>
      <c r="X41" s="49">
        <f t="shared" ref="X41" si="70">(X40*$C$13)/(1-$C$13)</f>
        <v>115392.1768707483</v>
      </c>
      <c r="Y41" s="49">
        <f t="shared" ref="Y41" si="71">(Y40*$C$13)/(1-$C$13)</f>
        <v>113282.99319727892</v>
      </c>
      <c r="Z41" s="49">
        <f t="shared" ref="Z41" si="72">(Z40*$C$13)/(1-$C$13)</f>
        <v>111173.80952380953</v>
      </c>
      <c r="AA41" s="49">
        <f t="shared" ref="AA41" si="73">(AA40*$C$13)/(1-$C$13)</f>
        <v>109064.62585034013</v>
      </c>
      <c r="AB41" s="49">
        <f t="shared" ref="AB41" si="74">(AB40*$C$13)/(1-$C$13)</f>
        <v>106955.44217687075</v>
      </c>
      <c r="AC41" s="49">
        <f t="shared" ref="AC41" si="75">(AC40*$C$13)/(1-$C$13)</f>
        <v>104846.25850340136</v>
      </c>
      <c r="AD41" s="49">
        <f t="shared" ref="AD41" si="76">(AD40*$C$13)/(1-$C$13)</f>
        <v>102737.07482993197</v>
      </c>
      <c r="AE41" s="49">
        <f t="shared" ref="AE41" si="77">(AE40*$C$13)/(1-$C$13)</f>
        <v>100627.89115646259</v>
      </c>
      <c r="AF41" s="49">
        <f t="shared" ref="AF41" si="78">(AF40*$C$13)/(1-$C$13)</f>
        <v>98518.707482993195</v>
      </c>
      <c r="AG41" s="49">
        <f t="shared" ref="AG41" si="79">(AG40*$C$13)/(1-$C$13)</f>
        <v>96409.523809523816</v>
      </c>
      <c r="AH41" s="49">
        <f t="shared" ref="AH41" si="80">(AH40*$C$13)/(1-$C$13)</f>
        <v>94300.340136054423</v>
      </c>
      <c r="AI41" s="49">
        <f t="shared" ref="AI41" si="81">(AI40*$C$13)/(1-$C$13)</f>
        <v>92191.15646258503</v>
      </c>
      <c r="AJ41" s="49">
        <f t="shared" ref="AJ41" si="82">(AJ40*$C$13)/(1-$C$13)</f>
        <v>90081.972789115651</v>
      </c>
      <c r="AK41" s="49">
        <f t="shared" ref="AK41" si="83">(AK40*$C$13)/(1-$C$13)</f>
        <v>87972.789115646257</v>
      </c>
      <c r="AL41" s="49">
        <f t="shared" ref="AL41" si="84">(AL40*$C$13)/(1-$C$13)</f>
        <v>85863.605442176879</v>
      </c>
      <c r="AM41" s="49">
        <f t="shared" ref="AM41" si="85">(AM40*$C$13)/(1-$C$13)</f>
        <v>83754.421768707485</v>
      </c>
      <c r="AN41" s="49">
        <f t="shared" ref="AN41" si="86">(AN40*$C$13)/(1-$C$13)</f>
        <v>81645.238095238092</v>
      </c>
      <c r="AO41" s="49">
        <f t="shared" ref="AO41" si="87">(AO40*$C$13)/(1-$C$13)</f>
        <v>79536.054421768713</v>
      </c>
      <c r="AP41" s="49">
        <f t="shared" ref="AP41" si="88">(AP40*$C$13)/(1-$C$13)</f>
        <v>77426.87074829932</v>
      </c>
      <c r="AQ41" s="49">
        <f t="shared" ref="AQ41" si="89">(AQ40*$C$13)/(1-$C$13)</f>
        <v>75317.687074829926</v>
      </c>
      <c r="AR41" s="49">
        <f t="shared" ref="AR41" si="90">(AR40*$C$13)/(1-$C$13)</f>
        <v>73208.503401360547</v>
      </c>
      <c r="AS41" s="49">
        <f t="shared" ref="AS41" si="91">(AS40*$C$13)/(1-$C$13)</f>
        <v>71099.319727891154</v>
      </c>
      <c r="AT41" s="49">
        <f t="shared" ref="AT41" si="92">(AT40*$C$13)/(1-$C$13)</f>
        <v>68990.136054421775</v>
      </c>
      <c r="AU41" s="49">
        <f t="shared" ref="AU41" si="93">(AU40*$C$13)/(1-$C$13)</f>
        <v>66880.952380952382</v>
      </c>
      <c r="AV41" s="49">
        <f t="shared" ref="AV41" si="94">(AV40*$C$13)/(1-$C$13)</f>
        <v>64771.768707482996</v>
      </c>
      <c r="AW41" s="49">
        <f t="shared" ref="AW41" si="95">(AW40*$C$13)/(1-$C$13)</f>
        <v>62662.585034013609</v>
      </c>
      <c r="AX41" s="49">
        <f t="shared" ref="AX41" si="96">(AX40*$C$13)/(1-$C$13)</f>
        <v>60553.401360544216</v>
      </c>
      <c r="AY41" s="49">
        <f t="shared" ref="AY41" si="97">(AY40*$C$13)/(1-$C$13)</f>
        <v>58444.21768707483</v>
      </c>
      <c r="AZ41" s="49">
        <f t="shared" ref="AZ41" si="98">(AZ40*$C$13)/(1-$C$13)</f>
        <v>28694.81292517007</v>
      </c>
      <c r="BA41" s="49"/>
    </row>
    <row r="42" spans="2:53" x14ac:dyDescent="0.35">
      <c r="B42" s="8"/>
      <c r="C42" s="1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2:53" x14ac:dyDescent="0.35">
      <c r="B43" s="4" t="s">
        <v>14</v>
      </c>
      <c r="D43" s="56">
        <f>D32+D33+D34+D41</f>
        <v>168949.72363945577</v>
      </c>
      <c r="E43" s="56">
        <f>E32+E33+E34+E41</f>
        <v>548352.63605442178</v>
      </c>
      <c r="F43" s="56">
        <f t="shared" ref="F43:AG43" si="99">F32+F33+F34+F41</f>
        <v>536605.95238095243</v>
      </c>
      <c r="G43" s="56">
        <f t="shared" si="99"/>
        <v>524859.26870748296</v>
      </c>
      <c r="H43" s="56">
        <f t="shared" si="99"/>
        <v>513112.58503401361</v>
      </c>
      <c r="I43" s="56">
        <f t="shared" si="99"/>
        <v>501365.9013605442</v>
      </c>
      <c r="J43" s="56">
        <f t="shared" si="99"/>
        <v>489619.21768707479</v>
      </c>
      <c r="K43" s="56">
        <f t="shared" si="99"/>
        <v>477872.53401360544</v>
      </c>
      <c r="L43" s="56">
        <f t="shared" si="99"/>
        <v>466125.85034013604</v>
      </c>
      <c r="M43" s="56">
        <f t="shared" si="99"/>
        <v>454379.16666666669</v>
      </c>
      <c r="N43" s="56">
        <f t="shared" si="99"/>
        <v>442632.48299319728</v>
      </c>
      <c r="O43" s="56">
        <f t="shared" si="99"/>
        <v>430885.79931972787</v>
      </c>
      <c r="P43" s="56">
        <f t="shared" si="99"/>
        <v>527302.38095238095</v>
      </c>
      <c r="Q43" s="56">
        <f t="shared" si="99"/>
        <v>623718.96258503397</v>
      </c>
      <c r="R43" s="56">
        <f t="shared" si="99"/>
        <v>611972.27891156462</v>
      </c>
      <c r="S43" s="56">
        <f t="shared" si="99"/>
        <v>600225.59523809527</v>
      </c>
      <c r="T43" s="56">
        <f t="shared" si="99"/>
        <v>588478.9115646258</v>
      </c>
      <c r="U43" s="56">
        <f t="shared" si="99"/>
        <v>576732.22789115645</v>
      </c>
      <c r="V43" s="56">
        <f t="shared" si="99"/>
        <v>564985.5442176871</v>
      </c>
      <c r="W43" s="56">
        <f t="shared" si="99"/>
        <v>553238.86054421775</v>
      </c>
      <c r="X43" s="56">
        <f t="shared" si="99"/>
        <v>541492.17687074828</v>
      </c>
      <c r="Y43" s="56">
        <f t="shared" si="99"/>
        <v>529745.49319727893</v>
      </c>
      <c r="Z43" s="56">
        <f t="shared" si="99"/>
        <v>517998.80952380953</v>
      </c>
      <c r="AA43" s="56">
        <f t="shared" si="99"/>
        <v>506252.12585034012</v>
      </c>
      <c r="AB43" s="56">
        <f t="shared" si="99"/>
        <v>494505.44217687077</v>
      </c>
      <c r="AC43" s="56">
        <f t="shared" si="99"/>
        <v>482758.75850340136</v>
      </c>
      <c r="AD43" s="56">
        <f>AD32+AD33+AD34+AD41</f>
        <v>471012.07482993195</v>
      </c>
      <c r="AE43" s="56">
        <f t="shared" si="99"/>
        <v>459265.3911564626</v>
      </c>
      <c r="AF43" s="56">
        <f t="shared" si="99"/>
        <v>447518.7074829932</v>
      </c>
      <c r="AG43" s="56">
        <f t="shared" si="99"/>
        <v>435772.02380952379</v>
      </c>
      <c r="AH43" s="56">
        <f t="shared" ref="AH43:AZ43" si="100">AH32+AH33+AH34+AH41</f>
        <v>424025.34013605444</v>
      </c>
      <c r="AI43" s="56">
        <f t="shared" si="100"/>
        <v>412278.65646258503</v>
      </c>
      <c r="AJ43" s="56">
        <f t="shared" si="100"/>
        <v>400531.97278911562</v>
      </c>
      <c r="AK43" s="56">
        <f t="shared" si="100"/>
        <v>388785.28911564627</v>
      </c>
      <c r="AL43" s="56">
        <f t="shared" si="100"/>
        <v>377038.60544217686</v>
      </c>
      <c r="AM43" s="56">
        <f t="shared" si="100"/>
        <v>365291.92176870746</v>
      </c>
      <c r="AN43" s="56">
        <f t="shared" si="100"/>
        <v>353545.23809523811</v>
      </c>
      <c r="AO43" s="56">
        <f t="shared" si="100"/>
        <v>341798.5544217687</v>
      </c>
      <c r="AP43" s="56">
        <f t="shared" si="100"/>
        <v>330051.87074829929</v>
      </c>
      <c r="AQ43" s="56">
        <f t="shared" si="100"/>
        <v>318305.18707482994</v>
      </c>
      <c r="AR43" s="56">
        <f t="shared" si="100"/>
        <v>306558.50340136053</v>
      </c>
      <c r="AS43" s="56">
        <f t="shared" si="100"/>
        <v>294811.81972789112</v>
      </c>
      <c r="AT43" s="56">
        <f t="shared" si="100"/>
        <v>283065.13605442178</v>
      </c>
      <c r="AU43" s="56">
        <f t="shared" si="100"/>
        <v>271318.45238095237</v>
      </c>
      <c r="AV43" s="56">
        <f t="shared" si="100"/>
        <v>259571.76870748299</v>
      </c>
      <c r="AW43" s="56">
        <f t="shared" si="100"/>
        <v>247825.08503401361</v>
      </c>
      <c r="AX43" s="56">
        <f t="shared" si="100"/>
        <v>236078.4013605442</v>
      </c>
      <c r="AY43" s="56">
        <f t="shared" si="100"/>
        <v>224331.71768707482</v>
      </c>
      <c r="AZ43" s="56">
        <f t="shared" si="100"/>
        <v>109229.18792517007</v>
      </c>
      <c r="BA43" s="56"/>
    </row>
    <row r="44" spans="2:53" x14ac:dyDescent="0.35">
      <c r="B44" s="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</row>
    <row r="45" spans="2:53" x14ac:dyDescent="0.35">
      <c r="B45" s="4" t="s">
        <v>15</v>
      </c>
      <c r="D45" s="56">
        <f>'Assumptions and Summary'!C25</f>
        <v>175000</v>
      </c>
      <c r="E45" s="56">
        <f>'Assumptions and Summary'!D25</f>
        <v>787500</v>
      </c>
      <c r="F45" s="56">
        <f>'Assumptions and Summary'!E25</f>
        <v>962500</v>
      </c>
      <c r="G45" s="56">
        <f>'Assumptions and Summary'!F25</f>
        <v>1400000</v>
      </c>
      <c r="H45" s="56">
        <f>'Assumptions and Summary'!G25</f>
        <v>1662500</v>
      </c>
      <c r="I45" s="56">
        <v>0</v>
      </c>
      <c r="J45" s="56">
        <f t="shared" ref="J45:M45" si="101">I45</f>
        <v>0</v>
      </c>
      <c r="K45" s="56">
        <f t="shared" si="101"/>
        <v>0</v>
      </c>
      <c r="L45" s="56">
        <f t="shared" si="101"/>
        <v>0</v>
      </c>
      <c r="M45" s="56">
        <f t="shared" si="101"/>
        <v>0</v>
      </c>
      <c r="N45" s="56">
        <f>M45/2</f>
        <v>0</v>
      </c>
      <c r="O45" s="56">
        <f t="shared" ref="O45:AG45" si="102">N45/2</f>
        <v>0</v>
      </c>
      <c r="P45" s="56">
        <f t="shared" si="102"/>
        <v>0</v>
      </c>
      <c r="Q45" s="56">
        <f t="shared" si="102"/>
        <v>0</v>
      </c>
      <c r="R45" s="56">
        <f t="shared" si="102"/>
        <v>0</v>
      </c>
      <c r="S45" s="56">
        <f t="shared" si="102"/>
        <v>0</v>
      </c>
      <c r="T45" s="56">
        <f t="shared" si="102"/>
        <v>0</v>
      </c>
      <c r="U45" s="56">
        <f t="shared" si="102"/>
        <v>0</v>
      </c>
      <c r="V45" s="56">
        <f t="shared" si="102"/>
        <v>0</v>
      </c>
      <c r="W45" s="56">
        <f t="shared" si="102"/>
        <v>0</v>
      </c>
      <c r="X45" s="56">
        <f t="shared" si="102"/>
        <v>0</v>
      </c>
      <c r="Y45" s="56">
        <f t="shared" si="102"/>
        <v>0</v>
      </c>
      <c r="Z45" s="56">
        <f t="shared" si="102"/>
        <v>0</v>
      </c>
      <c r="AA45" s="56">
        <f t="shared" si="102"/>
        <v>0</v>
      </c>
      <c r="AB45" s="56">
        <f t="shared" si="102"/>
        <v>0</v>
      </c>
      <c r="AC45" s="56">
        <f t="shared" si="102"/>
        <v>0</v>
      </c>
      <c r="AD45" s="56">
        <f t="shared" si="102"/>
        <v>0</v>
      </c>
      <c r="AE45" s="56">
        <f t="shared" si="102"/>
        <v>0</v>
      </c>
      <c r="AF45" s="56">
        <f t="shared" si="102"/>
        <v>0</v>
      </c>
      <c r="AG45" s="56">
        <f t="shared" si="102"/>
        <v>0</v>
      </c>
      <c r="AH45" s="56">
        <f t="shared" ref="AH45" si="103">AG45/2</f>
        <v>0</v>
      </c>
      <c r="AI45" s="56">
        <f t="shared" ref="AI45" si="104">AH45/2</f>
        <v>0</v>
      </c>
      <c r="AJ45" s="56">
        <f t="shared" ref="AJ45" si="105">AI45/2</f>
        <v>0</v>
      </c>
      <c r="AK45" s="56">
        <f t="shared" ref="AK45" si="106">AJ45/2</f>
        <v>0</v>
      </c>
      <c r="AL45" s="56">
        <f t="shared" ref="AL45" si="107">AK45/2</f>
        <v>0</v>
      </c>
      <c r="AM45" s="56">
        <f t="shared" ref="AM45" si="108">AL45/2</f>
        <v>0</v>
      </c>
      <c r="AN45" s="56">
        <f t="shared" ref="AN45" si="109">AM45/2</f>
        <v>0</v>
      </c>
      <c r="AO45" s="56">
        <f t="shared" ref="AO45" si="110">AN45/2</f>
        <v>0</v>
      </c>
      <c r="AP45" s="56">
        <f t="shared" ref="AP45" si="111">AO45/2</f>
        <v>0</v>
      </c>
      <c r="AQ45" s="56">
        <f t="shared" ref="AQ45" si="112">AP45/2</f>
        <v>0</v>
      </c>
      <c r="AR45" s="56">
        <f t="shared" ref="AR45" si="113">AQ45/2</f>
        <v>0</v>
      </c>
      <c r="AS45" s="56">
        <f t="shared" ref="AS45" si="114">AR45/2</f>
        <v>0</v>
      </c>
      <c r="AT45" s="56">
        <f t="shared" ref="AT45" si="115">AS45/2</f>
        <v>0</v>
      </c>
      <c r="AU45" s="56">
        <f t="shared" ref="AU45" si="116">AT45/2</f>
        <v>0</v>
      </c>
      <c r="AV45" s="56">
        <f t="shared" ref="AV45" si="117">AU45/2</f>
        <v>0</v>
      </c>
      <c r="AW45" s="56">
        <f t="shared" ref="AW45" si="118">AV45/2</f>
        <v>0</v>
      </c>
      <c r="AX45" s="56">
        <f t="shared" ref="AX45" si="119">AW45/2</f>
        <v>0</v>
      </c>
      <c r="AY45" s="56">
        <f t="shared" ref="AY45" si="120">AX45/2</f>
        <v>0</v>
      </c>
      <c r="AZ45" s="56">
        <f t="shared" ref="AZ45" si="121">AY45/2</f>
        <v>0</v>
      </c>
      <c r="BA45" s="56"/>
    </row>
    <row r="46" spans="2:53" x14ac:dyDescent="0.35">
      <c r="B46" s="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</row>
    <row r="47" spans="2:53" x14ac:dyDescent="0.35">
      <c r="B47" s="4" t="s">
        <v>16</v>
      </c>
      <c r="D47" s="56">
        <f>D43-D45</f>
        <v>-6050.2763605442306</v>
      </c>
      <c r="E47" s="56">
        <f t="shared" ref="E47:AG47" si="122">E43-E45</f>
        <v>-239147.36394557822</v>
      </c>
      <c r="F47" s="56">
        <f t="shared" si="122"/>
        <v>-425894.04761904757</v>
      </c>
      <c r="G47" s="56">
        <f t="shared" si="122"/>
        <v>-875140.73129251704</v>
      </c>
      <c r="H47" s="56">
        <f t="shared" si="122"/>
        <v>-1149387.4149659863</v>
      </c>
      <c r="I47" s="56">
        <f t="shared" si="122"/>
        <v>501365.9013605442</v>
      </c>
      <c r="J47" s="56">
        <f t="shared" si="122"/>
        <v>489619.21768707479</v>
      </c>
      <c r="K47" s="56">
        <f t="shared" si="122"/>
        <v>477872.53401360544</v>
      </c>
      <c r="L47" s="56">
        <f t="shared" si="122"/>
        <v>466125.85034013604</v>
      </c>
      <c r="M47" s="56">
        <f t="shared" si="122"/>
        <v>454379.16666666669</v>
      </c>
      <c r="N47" s="56">
        <f t="shared" si="122"/>
        <v>442632.48299319728</v>
      </c>
      <c r="O47" s="56">
        <f t="shared" si="122"/>
        <v>430885.79931972787</v>
      </c>
      <c r="P47" s="56">
        <f t="shared" si="122"/>
        <v>527302.38095238095</v>
      </c>
      <c r="Q47" s="56">
        <f t="shared" si="122"/>
        <v>623718.96258503397</v>
      </c>
      <c r="R47" s="56">
        <f t="shared" si="122"/>
        <v>611972.27891156462</v>
      </c>
      <c r="S47" s="56">
        <f t="shared" si="122"/>
        <v>600225.59523809527</v>
      </c>
      <c r="T47" s="56">
        <f t="shared" si="122"/>
        <v>588478.9115646258</v>
      </c>
      <c r="U47" s="56">
        <f t="shared" si="122"/>
        <v>576732.22789115645</v>
      </c>
      <c r="V47" s="56">
        <f t="shared" si="122"/>
        <v>564985.5442176871</v>
      </c>
      <c r="W47" s="56">
        <f t="shared" si="122"/>
        <v>553238.86054421775</v>
      </c>
      <c r="X47" s="56">
        <f t="shared" si="122"/>
        <v>541492.17687074828</v>
      </c>
      <c r="Y47" s="56">
        <f t="shared" si="122"/>
        <v>529745.49319727893</v>
      </c>
      <c r="Z47" s="56">
        <f t="shared" si="122"/>
        <v>517998.80952380953</v>
      </c>
      <c r="AA47" s="56">
        <f t="shared" si="122"/>
        <v>506252.12585034012</v>
      </c>
      <c r="AB47" s="56">
        <f t="shared" si="122"/>
        <v>494505.44217687077</v>
      </c>
      <c r="AC47" s="56">
        <f t="shared" si="122"/>
        <v>482758.75850340136</v>
      </c>
      <c r="AD47" s="56">
        <f t="shared" si="122"/>
        <v>471012.07482993195</v>
      </c>
      <c r="AE47" s="56">
        <f t="shared" si="122"/>
        <v>459265.3911564626</v>
      </c>
      <c r="AF47" s="56">
        <f t="shared" si="122"/>
        <v>447518.7074829932</v>
      </c>
      <c r="AG47" s="56">
        <f t="shared" si="122"/>
        <v>435772.02380952379</v>
      </c>
      <c r="AH47" s="56">
        <f t="shared" ref="AH47:AZ47" si="123">AH43-AH45</f>
        <v>424025.34013605444</v>
      </c>
      <c r="AI47" s="56">
        <f t="shared" si="123"/>
        <v>412278.65646258503</v>
      </c>
      <c r="AJ47" s="56">
        <f t="shared" si="123"/>
        <v>400531.97278911562</v>
      </c>
      <c r="AK47" s="56">
        <f t="shared" si="123"/>
        <v>388785.28911564627</v>
      </c>
      <c r="AL47" s="56">
        <f t="shared" si="123"/>
        <v>377038.60544217686</v>
      </c>
      <c r="AM47" s="56">
        <f t="shared" si="123"/>
        <v>365291.92176870746</v>
      </c>
      <c r="AN47" s="56">
        <f t="shared" si="123"/>
        <v>353545.23809523811</v>
      </c>
      <c r="AO47" s="56">
        <f t="shared" si="123"/>
        <v>341798.5544217687</v>
      </c>
      <c r="AP47" s="56">
        <f t="shared" si="123"/>
        <v>330051.87074829929</v>
      </c>
      <c r="AQ47" s="56">
        <f t="shared" si="123"/>
        <v>318305.18707482994</v>
      </c>
      <c r="AR47" s="56">
        <f t="shared" si="123"/>
        <v>306558.50340136053</v>
      </c>
      <c r="AS47" s="56">
        <f t="shared" si="123"/>
        <v>294811.81972789112</v>
      </c>
      <c r="AT47" s="56">
        <f t="shared" si="123"/>
        <v>283065.13605442178</v>
      </c>
      <c r="AU47" s="56">
        <f t="shared" si="123"/>
        <v>271318.45238095237</v>
      </c>
      <c r="AV47" s="56">
        <f t="shared" si="123"/>
        <v>259571.76870748299</v>
      </c>
      <c r="AW47" s="56">
        <f t="shared" si="123"/>
        <v>247825.08503401361</v>
      </c>
      <c r="AX47" s="56">
        <f t="shared" si="123"/>
        <v>236078.4013605442</v>
      </c>
      <c r="AY47" s="56">
        <f t="shared" si="123"/>
        <v>224331.71768707482</v>
      </c>
      <c r="AZ47" s="56">
        <f t="shared" si="123"/>
        <v>109229.18792517007</v>
      </c>
      <c r="BA47" s="56"/>
    </row>
    <row r="48" spans="2:53" x14ac:dyDescent="0.35">
      <c r="B48" s="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</row>
    <row r="49" spans="2:4" x14ac:dyDescent="0.35">
      <c r="B49" s="8" t="s">
        <v>38</v>
      </c>
      <c r="C49" s="3">
        <f>NPV(WACC,D43:AZ43)</f>
        <v>7270690.1957540456</v>
      </c>
      <c r="D49" s="14"/>
    </row>
    <row r="50" spans="2:4" x14ac:dyDescent="0.35">
      <c r="B50" s="8" t="s">
        <v>40</v>
      </c>
      <c r="C50" s="3">
        <f>NPV(WACC,D45:AZ45)</f>
        <v>4002239.4564930042</v>
      </c>
      <c r="D50" s="14"/>
    </row>
    <row r="51" spans="2:4" x14ac:dyDescent="0.35">
      <c r="B51" s="8" t="s">
        <v>42</v>
      </c>
      <c r="C51" s="3">
        <f>C49-C50</f>
        <v>3268450.7392610414</v>
      </c>
      <c r="D51" s="14"/>
    </row>
    <row r="52" spans="2:4" x14ac:dyDescent="0.35">
      <c r="B52" s="8"/>
      <c r="C52" s="3"/>
    </row>
    <row r="53" spans="2:4" x14ac:dyDescent="0.35">
      <c r="B53" s="8" t="s">
        <v>47</v>
      </c>
      <c r="C53" s="3">
        <f>NPV(WACC,D34:AZ34)</f>
        <v>2968232.7297321851</v>
      </c>
      <c r="D53" s="14"/>
    </row>
    <row r="54" spans="2:4" x14ac:dyDescent="0.35">
      <c r="B54" s="8" t="s">
        <v>132</v>
      </c>
      <c r="C54" s="3">
        <v>0</v>
      </c>
      <c r="D54" s="14"/>
    </row>
    <row r="55" spans="2:4" x14ac:dyDescent="0.35">
      <c r="B55" s="8" t="s">
        <v>49</v>
      </c>
      <c r="C55" s="3">
        <f>C53-C54</f>
        <v>2968232.7297321851</v>
      </c>
      <c r="D55" s="14"/>
    </row>
    <row r="57" spans="2:4" x14ac:dyDescent="0.35">
      <c r="B57" s="8" t="s">
        <v>22</v>
      </c>
    </row>
    <row r="58" spans="2:4" x14ac:dyDescent="0.35">
      <c r="B58" s="8" t="s">
        <v>136</v>
      </c>
      <c r="C58" s="3">
        <f>SUM(D43:H43)</f>
        <v>2291880.1658163266</v>
      </c>
    </row>
    <row r="59" spans="2:4" x14ac:dyDescent="0.35">
      <c r="B59" s="8" t="s">
        <v>137</v>
      </c>
      <c r="C59" s="3">
        <f>SUM(I43:M43)</f>
        <v>2389362.670068027</v>
      </c>
    </row>
    <row r="60" spans="2:4" x14ac:dyDescent="0.35">
      <c r="B60" s="8" t="s">
        <v>4</v>
      </c>
      <c r="C60" s="3">
        <f>SUM(D43:AZ43)</f>
        <v>21032179.591836739</v>
      </c>
    </row>
    <row r="62" spans="2:4" x14ac:dyDescent="0.35">
      <c r="B62" s="8"/>
      <c r="C62" s="15"/>
    </row>
    <row r="63" spans="2:4" x14ac:dyDescent="0.35">
      <c r="B63" s="8"/>
      <c r="C63" s="15"/>
    </row>
    <row r="64" spans="2:4" x14ac:dyDescent="0.35">
      <c r="B64" s="8"/>
      <c r="C64" s="15"/>
    </row>
    <row r="66" spans="2:3" x14ac:dyDescent="0.35">
      <c r="B66" s="8"/>
      <c r="C66" s="15"/>
    </row>
    <row r="67" spans="2:3" x14ac:dyDescent="0.35">
      <c r="B67" s="8"/>
      <c r="C67" s="15"/>
    </row>
    <row r="68" spans="2:3" x14ac:dyDescent="0.35">
      <c r="B68" s="8"/>
      <c r="C68" s="15"/>
    </row>
    <row r="70" spans="2:3" x14ac:dyDescent="0.35">
      <c r="B70" s="8"/>
      <c r="C70" s="3"/>
    </row>
    <row r="72" spans="2:3" x14ac:dyDescent="0.35">
      <c r="B72" s="8"/>
      <c r="C72" s="3"/>
    </row>
    <row r="73" spans="2:3" x14ac:dyDescent="0.35">
      <c r="B73" s="8"/>
      <c r="C73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4DAD-F7F1-4FAC-877E-7D31C9279B75}">
  <dimension ref="B2:C11"/>
  <sheetViews>
    <sheetView showGridLines="0" zoomScale="80" zoomScaleNormal="80" workbookViewId="0">
      <selection activeCell="C12" sqref="C12"/>
    </sheetView>
  </sheetViews>
  <sheetFormatPr defaultRowHeight="14.5" x14ac:dyDescent="0.35"/>
  <cols>
    <col min="1" max="1" width="5.54296875" customWidth="1"/>
    <col min="2" max="2" width="3.81640625" customWidth="1"/>
    <col min="3" max="3" width="159" customWidth="1"/>
  </cols>
  <sheetData>
    <row r="2" spans="2:3" x14ac:dyDescent="0.35">
      <c r="B2" s="115" t="s">
        <v>32</v>
      </c>
      <c r="C2" s="116"/>
    </row>
    <row r="3" spans="2:3" x14ac:dyDescent="0.35">
      <c r="B3" s="61"/>
      <c r="C3" s="10"/>
    </row>
    <row r="4" spans="2:3" ht="15" thickBot="1" x14ac:dyDescent="0.4">
      <c r="B4" s="65" t="s">
        <v>69</v>
      </c>
      <c r="C4" s="27" t="s">
        <v>70</v>
      </c>
    </row>
    <row r="5" spans="2:3" x14ac:dyDescent="0.35">
      <c r="B5" s="84">
        <v>1</v>
      </c>
      <c r="C5" s="86" t="s">
        <v>73</v>
      </c>
    </row>
    <row r="6" spans="2:3" x14ac:dyDescent="0.35">
      <c r="B6" s="84">
        <v>2</v>
      </c>
      <c r="C6" s="63" t="s">
        <v>74</v>
      </c>
    </row>
    <row r="7" spans="2:3" x14ac:dyDescent="0.35">
      <c r="B7" s="84">
        <v>3</v>
      </c>
      <c r="C7" s="63" t="s">
        <v>75</v>
      </c>
    </row>
    <row r="8" spans="2:3" x14ac:dyDescent="0.35">
      <c r="B8" s="84">
        <v>4</v>
      </c>
      <c r="C8" s="63" t="s">
        <v>72</v>
      </c>
    </row>
    <row r="9" spans="2:3" x14ac:dyDescent="0.35">
      <c r="B9" s="84">
        <v>5</v>
      </c>
      <c r="C9" s="63" t="s">
        <v>76</v>
      </c>
    </row>
    <row r="10" spans="2:3" x14ac:dyDescent="0.35">
      <c r="B10" s="84">
        <v>6</v>
      </c>
      <c r="C10" s="63" t="s">
        <v>77</v>
      </c>
    </row>
    <row r="11" spans="2:3" x14ac:dyDescent="0.35">
      <c r="B11" s="85">
        <v>7</v>
      </c>
      <c r="C11" s="64" t="s">
        <v>138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904BD5-097A-419B-857D-4328AA86964A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15B346-A770-4908-BE55-5F13F7E89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C8C3F-CDA9-4E13-B34A-E3A560D3B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dffd51a4-5314-4c60-bce6-0affc34d9cd7}" enabled="1" method="Standard" siteId="{4a156c19-bc94-41ac-aacf-95468649086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Tables</vt:lpstr>
      <vt:lpstr>Assumptions and Summary</vt:lpstr>
      <vt:lpstr>5yr Deferral BCA</vt:lpstr>
      <vt:lpstr>Avoidance BCA</vt:lpstr>
      <vt:lpstr>Assumptions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Ott</dc:creator>
  <cp:lastModifiedBy>Michael Gardiner</cp:lastModifiedBy>
  <dcterms:created xsi:type="dcterms:W3CDTF">2023-06-16T16:08:33Z</dcterms:created>
  <dcterms:modified xsi:type="dcterms:W3CDTF">2024-03-11T00:05:53Z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</Properties>
</file>