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202300"/>
  <mc:AlternateContent xmlns:mc="http://schemas.openxmlformats.org/markup-compatibility/2006">
    <mc:Choice Requires="x15">
      <x15ac:absPath xmlns:x15ac="http://schemas.microsoft.com/office/spreadsheetml/2010/11/ac" url="L:\FINANCE\Rate Submission\2024 Cost of Service\5. Settlement\Models 20240313\"/>
    </mc:Choice>
  </mc:AlternateContent>
  <xr:revisionPtr revIDLastSave="0" documentId="13_ncr:1_{3EDD6865-874C-4E88-BF7B-FA4D2606CF56}" xr6:coauthVersionLast="47" xr6:coauthVersionMax="47" xr10:uidLastSave="{00000000-0000-0000-0000-000000000000}"/>
  <bookViews>
    <workbookView xWindow="28680" yWindow="-120" windowWidth="29040" windowHeight="15840" activeTab="2" xr2:uid="{6D2F5B7D-51B0-4621-8F7A-09F402CE85E1}"/>
  </bookViews>
  <sheets>
    <sheet name="Summary" sheetId="8" r:id="rId1"/>
    <sheet name="SL status quo" sheetId="3" r:id="rId2"/>
    <sheet name="SL rate mitigation" sheetId="2" r:id="rId3"/>
    <sheet name="SL Status Quo Tariff" sheetId="4" r:id="rId4"/>
    <sheet name="SL Proposed Y1 Tariff" sheetId="5" r:id="rId5"/>
    <sheet name="SL Proposed Y2 Tariff" sheetId="6" r:id="rId6"/>
    <sheet name="SL Proposed Y3 Tariff" sheetId="7" r:id="rId7"/>
  </sheets>
  <externalReferences>
    <externalReference r:id="rId8"/>
    <externalReference r:id="rId9"/>
    <externalReference r:id="rId10"/>
    <externalReference r:id="rId11"/>
    <externalReference r:id="rId12"/>
    <externalReference r:id="rId13"/>
  </externalReferences>
  <definedNames>
    <definedName name="BI_LDCLIST">#REF!</definedName>
    <definedName name="BridgeYear">'[1]LDC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'[1]LDC Info'!$E$16</definedName>
    <definedName name="Entegrus_SA">'[2]2016 List'!$C$25:$C$26</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[3]Financials!$E$76</definedName>
    <definedName name="Incr2000">#REF!</definedName>
    <definedName name="Lakeland_SA">'[2]2016 List'!$C$14:$C$15</definedName>
    <definedName name="LDCList">OFFSET('[2]2016 List'!$A$1,0,0,COUNTA('[2]2016 List'!$A:$A),1)</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MidPeakPer">'[2]3. Regulatory Charges'!$E$24</definedName>
    <definedName name="OffPeak">'[2]3. Regulatory Charges'!$D$23</definedName>
    <definedName name="OffPeakPer">'[2]3. Regulatory Charges'!$E$23</definedName>
    <definedName name="OnPeak">'[2]3. Regulatory Charges'!$D$25</definedName>
    <definedName name="OnPeakPer">'[2]3. Regulatory Charges'!$E$25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4">'SL Proposed Y1 Tariff'!$A$1:$D$37</definedName>
    <definedName name="_xlnm.Print_Area" localSheetId="5">'SL Proposed Y2 Tariff'!$A$1:$D$37</definedName>
    <definedName name="_xlnm.Print_Area" localSheetId="6">'SL Proposed Y3 Tariff'!$A$1:$D$37</definedName>
    <definedName name="_xlnm.Print_Area" localSheetId="3">'SL Status Quo Tariff'!$A$1:$D$37</definedName>
    <definedName name="print_end">#REF!</definedName>
    <definedName name="_xlnm.Print_Titles" localSheetId="4">'SL Proposed Y1 Tariff'!$1:$6</definedName>
    <definedName name="_xlnm.Print_Titles" localSheetId="5">'SL Proposed Y2 Tariff'!$1:$6</definedName>
    <definedName name="_xlnm.Print_Titles" localSheetId="6">'SL Proposed Y3 Tariff'!$1:$6</definedName>
    <definedName name="_xlnm.Print_Titles" localSheetId="3">'SL Status Quo Tariff'!$1:$6</definedName>
    <definedName name="RATE_CLASSES">[4]lists!$A$1:$A$104</definedName>
    <definedName name="ratebase">#REF!</definedName>
    <definedName name="ratedescription">[5]hidden1!$D$1:$D$122</definedName>
    <definedName name="RateRiderName">OFFSET('[2]Rate Rider Database'!$C$1,1,0,COUNTA('[2]Rate Rider Database'!$C:$C)-1,1)</definedName>
    <definedName name="RebaseYear">'[1]LDC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F28" i="3"/>
  <c r="F27" i="3"/>
  <c r="F22" i="3"/>
  <c r="F20" i="3"/>
  <c r="F19" i="3"/>
  <c r="F16" i="3"/>
  <c r="D28" i="4"/>
  <c r="Q22" i="2"/>
  <c r="F20" i="2"/>
  <c r="F19" i="2"/>
  <c r="F16" i="2"/>
  <c r="F12" i="2" l="1"/>
  <c r="F12" i="3"/>
  <c r="F11" i="3"/>
  <c r="AB12" i="2" l="1"/>
  <c r="AB11" i="2"/>
  <c r="Q16" i="2"/>
  <c r="Y16" i="2" s="1"/>
  <c r="AB16" i="2" s="1"/>
  <c r="Q12" i="2"/>
  <c r="Y12" i="2" s="1"/>
  <c r="Q11" i="2"/>
  <c r="Y11" i="2" s="1"/>
  <c r="N16" i="2"/>
  <c r="N25" i="2"/>
  <c r="N24" i="2"/>
  <c r="N22" i="2"/>
  <c r="N21" i="2"/>
  <c r="N20" i="2"/>
  <c r="N19" i="2"/>
  <c r="N18" i="2"/>
  <c r="N12" i="2"/>
  <c r="F11" i="2"/>
  <c r="N11" i="2" s="1"/>
  <c r="D22" i="7"/>
  <c r="C35" i="8"/>
  <c r="C36" i="8" s="1"/>
  <c r="C38" i="8" s="1"/>
  <c r="D38" i="8" s="1"/>
  <c r="D39" i="8" s="1"/>
  <c r="D40" i="8" s="1"/>
  <c r="F21" i="8" l="1"/>
  <c r="E21" i="8"/>
  <c r="D21" i="8"/>
  <c r="F20" i="8"/>
  <c r="D20" i="8"/>
  <c r="F19" i="8"/>
  <c r="E19" i="8"/>
  <c r="D19" i="8"/>
  <c r="F18" i="8"/>
  <c r="E18" i="8"/>
  <c r="D18" i="8"/>
  <c r="F16" i="8"/>
  <c r="E16" i="8"/>
  <c r="D16" i="8"/>
  <c r="F15" i="8"/>
  <c r="E15" i="8"/>
  <c r="D15" i="8"/>
  <c r="F14" i="8"/>
  <c r="E14" i="8"/>
  <c r="D14" i="8"/>
  <c r="F12" i="8"/>
  <c r="E12" i="8"/>
  <c r="D12" i="8"/>
  <c r="F11" i="8"/>
  <c r="E11" i="8"/>
  <c r="D11" i="8"/>
  <c r="F10" i="8"/>
  <c r="E10" i="8"/>
  <c r="D10" i="8"/>
  <c r="F9" i="8"/>
  <c r="E9" i="8"/>
  <c r="D9" i="8"/>
  <c r="F8" i="8"/>
  <c r="F7" i="8"/>
  <c r="C9" i="8"/>
  <c r="C10" i="8"/>
  <c r="C11" i="8"/>
  <c r="C12" i="8"/>
  <c r="C14" i="8"/>
  <c r="C15" i="8"/>
  <c r="C16" i="8"/>
  <c r="C18" i="8"/>
  <c r="C19" i="8"/>
  <c r="C20" i="8"/>
  <c r="C21" i="8"/>
  <c r="H38" i="3" l="1"/>
  <c r="I38" i="3" s="1"/>
  <c r="J38" i="3" s="1"/>
  <c r="E38" i="3"/>
  <c r="H37" i="3"/>
  <c r="I37" i="3" s="1"/>
  <c r="J37" i="3" s="1"/>
  <c r="E37" i="3"/>
  <c r="H36" i="3"/>
  <c r="C36" i="3"/>
  <c r="E36" i="3" s="1"/>
  <c r="H35" i="3"/>
  <c r="C35" i="3"/>
  <c r="E35" i="3" s="1"/>
  <c r="H34" i="3"/>
  <c r="C34" i="3"/>
  <c r="E34" i="3" s="1"/>
  <c r="H32" i="3"/>
  <c r="I32" i="3" s="1"/>
  <c r="J32" i="3" s="1"/>
  <c r="E32" i="3"/>
  <c r="H31" i="3"/>
  <c r="I31" i="3" s="1"/>
  <c r="J31" i="3" s="1"/>
  <c r="E31" i="3"/>
  <c r="H30" i="3"/>
  <c r="E30" i="3"/>
  <c r="H28" i="3"/>
  <c r="I28" i="3" s="1"/>
  <c r="J28" i="3" s="1"/>
  <c r="E28" i="3"/>
  <c r="H27" i="3"/>
  <c r="I27" i="3" s="1"/>
  <c r="J27" i="3" s="1"/>
  <c r="E27" i="3"/>
  <c r="H25" i="3"/>
  <c r="I25" i="3" s="1"/>
  <c r="J25" i="3" s="1"/>
  <c r="E25" i="3"/>
  <c r="H24" i="3"/>
  <c r="I24" i="3" s="1"/>
  <c r="J24" i="3" s="1"/>
  <c r="E24" i="3"/>
  <c r="H23" i="3"/>
  <c r="C23" i="3"/>
  <c r="E23" i="3" s="1"/>
  <c r="H22" i="3"/>
  <c r="I22" i="3" s="1"/>
  <c r="J22" i="3" s="1"/>
  <c r="E22" i="3"/>
  <c r="H21" i="3"/>
  <c r="E21" i="3"/>
  <c r="H20" i="3"/>
  <c r="I20" i="3" s="1"/>
  <c r="J20" i="3" s="1"/>
  <c r="E20" i="3"/>
  <c r="H19" i="3"/>
  <c r="E19" i="3"/>
  <c r="H18" i="3"/>
  <c r="I18" i="3" s="1"/>
  <c r="J18" i="3" s="1"/>
  <c r="E18" i="3"/>
  <c r="H16" i="3"/>
  <c r="I16" i="3" s="1"/>
  <c r="J16" i="3" s="1"/>
  <c r="E16" i="3"/>
  <c r="H15" i="3"/>
  <c r="E15" i="3"/>
  <c r="E17" i="3" s="1"/>
  <c r="J14" i="3"/>
  <c r="I14" i="3"/>
  <c r="H12" i="3"/>
  <c r="I12" i="3" s="1"/>
  <c r="J12" i="3" s="1"/>
  <c r="E12" i="3"/>
  <c r="H11" i="3"/>
  <c r="I11" i="3" s="1"/>
  <c r="J11" i="3" s="1"/>
  <c r="E11" i="3"/>
  <c r="AC38" i="2"/>
  <c r="AC37" i="2"/>
  <c r="AC36" i="2"/>
  <c r="AC35" i="2"/>
  <c r="AC34" i="2"/>
  <c r="AC33" i="2"/>
  <c r="AC32" i="2"/>
  <c r="AC31" i="2"/>
  <c r="AC30" i="2"/>
  <c r="AC28" i="2"/>
  <c r="AC27" i="2"/>
  <c r="AC25" i="2"/>
  <c r="AC24" i="2"/>
  <c r="AC23" i="2"/>
  <c r="AC22" i="2"/>
  <c r="AC21" i="2"/>
  <c r="AC20" i="2"/>
  <c r="AC19" i="2"/>
  <c r="AC18" i="2"/>
  <c r="AC16" i="2"/>
  <c r="AC15" i="2"/>
  <c r="AC14" i="2"/>
  <c r="AC13" i="2"/>
  <c r="AC12" i="2"/>
  <c r="AC11" i="2"/>
  <c r="Z38" i="2"/>
  <c r="Z37" i="2"/>
  <c r="Z36" i="2"/>
  <c r="Z35" i="2"/>
  <c r="Z34" i="2"/>
  <c r="Z33" i="2"/>
  <c r="Z32" i="2"/>
  <c r="Z31" i="2"/>
  <c r="Z30" i="2"/>
  <c r="Z28" i="2"/>
  <c r="Z27" i="2"/>
  <c r="Z25" i="2"/>
  <c r="Z24" i="2"/>
  <c r="Z23" i="2"/>
  <c r="Z22" i="2"/>
  <c r="Z21" i="2"/>
  <c r="Z20" i="2"/>
  <c r="Z19" i="2"/>
  <c r="Z18" i="2"/>
  <c r="Z16" i="2"/>
  <c r="Z15" i="2"/>
  <c r="Z14" i="2"/>
  <c r="Z13" i="2"/>
  <c r="Z12" i="2"/>
  <c r="Z11" i="2"/>
  <c r="R38" i="2"/>
  <c r="R37" i="2"/>
  <c r="R36" i="2"/>
  <c r="R35" i="2"/>
  <c r="R34" i="2"/>
  <c r="R33" i="2"/>
  <c r="R32" i="2"/>
  <c r="R31" i="2"/>
  <c r="R30" i="2"/>
  <c r="R28" i="2"/>
  <c r="R27" i="2"/>
  <c r="R25" i="2"/>
  <c r="R24" i="2"/>
  <c r="R23" i="2"/>
  <c r="R22" i="2"/>
  <c r="R21" i="2"/>
  <c r="R20" i="2"/>
  <c r="R19" i="2"/>
  <c r="R18" i="2"/>
  <c r="R16" i="2"/>
  <c r="R15" i="2"/>
  <c r="R14" i="2"/>
  <c r="R13" i="2"/>
  <c r="R12" i="2"/>
  <c r="R11" i="2"/>
  <c r="O38" i="2"/>
  <c r="O37" i="2"/>
  <c r="O36" i="2"/>
  <c r="O35" i="2"/>
  <c r="O34" i="2"/>
  <c r="O33" i="2"/>
  <c r="O32" i="2"/>
  <c r="O31" i="2"/>
  <c r="O30" i="2"/>
  <c r="O28" i="2"/>
  <c r="O27" i="2"/>
  <c r="O25" i="2"/>
  <c r="O24" i="2"/>
  <c r="O23" i="2"/>
  <c r="O22" i="2"/>
  <c r="O21" i="2"/>
  <c r="O20" i="2"/>
  <c r="O19" i="2"/>
  <c r="O18" i="2"/>
  <c r="O12" i="2"/>
  <c r="O13" i="2"/>
  <c r="O14" i="2"/>
  <c r="O15" i="2"/>
  <c r="O16" i="2"/>
  <c r="O11" i="2"/>
  <c r="E20" i="8" l="1"/>
  <c r="I35" i="3"/>
  <c r="J35" i="3" s="1"/>
  <c r="I36" i="3"/>
  <c r="J36" i="3" s="1"/>
  <c r="I23" i="3"/>
  <c r="J23" i="3" s="1"/>
  <c r="I19" i="3"/>
  <c r="J19" i="3" s="1"/>
  <c r="H17" i="3"/>
  <c r="H26" i="3" s="1"/>
  <c r="I21" i="3"/>
  <c r="J21" i="3" s="1"/>
  <c r="E26" i="3"/>
  <c r="I34" i="3"/>
  <c r="J34" i="3" s="1"/>
  <c r="I30" i="3"/>
  <c r="J30" i="3" s="1"/>
  <c r="I15" i="3"/>
  <c r="J15" i="3" s="1"/>
  <c r="P18" i="2"/>
  <c r="I17" i="3" l="1"/>
  <c r="J17" i="3" s="1"/>
  <c r="H29" i="3"/>
  <c r="I26" i="3"/>
  <c r="J26" i="3" s="1"/>
  <c r="E29" i="3"/>
  <c r="AA38" i="2"/>
  <c r="AB37" i="2"/>
  <c r="AD36" i="2"/>
  <c r="AA36" i="2"/>
  <c r="AA35" i="2"/>
  <c r="AA34" i="2"/>
  <c r="AD32" i="2"/>
  <c r="AA32" i="2"/>
  <c r="AD31" i="2"/>
  <c r="AA31" i="2"/>
  <c r="AD30" i="2"/>
  <c r="AA30" i="2"/>
  <c r="AD28" i="2"/>
  <c r="AA28" i="2"/>
  <c r="AD27" i="2"/>
  <c r="AE27" i="2" s="1"/>
  <c r="AF27" i="2" s="1"/>
  <c r="AA27" i="2"/>
  <c r="AD25" i="2"/>
  <c r="AA25" i="2"/>
  <c r="AD24" i="2"/>
  <c r="AA24" i="2"/>
  <c r="AD23" i="2"/>
  <c r="AA23" i="2"/>
  <c r="AD22" i="2"/>
  <c r="AA22" i="2"/>
  <c r="AD21" i="2"/>
  <c r="AA21" i="2"/>
  <c r="AD20" i="2"/>
  <c r="AA20" i="2"/>
  <c r="AE20" i="2" s="1"/>
  <c r="AF20" i="2" s="1"/>
  <c r="AD19" i="2"/>
  <c r="AA19" i="2"/>
  <c r="AD18" i="2"/>
  <c r="AA18" i="2"/>
  <c r="AE18" i="2" s="1"/>
  <c r="AF18" i="2" s="1"/>
  <c r="AD16" i="2"/>
  <c r="AA16" i="2"/>
  <c r="AE16" i="2" s="1"/>
  <c r="AF16" i="2" s="1"/>
  <c r="AD15" i="2"/>
  <c r="AA15" i="2"/>
  <c r="AE14" i="2"/>
  <c r="AF14" i="2" s="1"/>
  <c r="AD12" i="2"/>
  <c r="AA12" i="2"/>
  <c r="AD11" i="2"/>
  <c r="AA11" i="2"/>
  <c r="Y8" i="2"/>
  <c r="N8" i="2"/>
  <c r="N38" i="2"/>
  <c r="N37" i="2"/>
  <c r="Q37" i="2" s="1"/>
  <c r="N36" i="2"/>
  <c r="P36" i="2" s="1"/>
  <c r="N35" i="2"/>
  <c r="P35" i="2" s="1"/>
  <c r="N34" i="2"/>
  <c r="P34" i="2" s="1"/>
  <c r="N32" i="2"/>
  <c r="P32" i="2" s="1"/>
  <c r="N31" i="2"/>
  <c r="P31" i="2" s="1"/>
  <c r="N30" i="2"/>
  <c r="P30" i="2" s="1"/>
  <c r="S38" i="2"/>
  <c r="T38" i="2" s="1"/>
  <c r="U38" i="2" s="1"/>
  <c r="Q38" i="2"/>
  <c r="P38" i="2"/>
  <c r="S36" i="2"/>
  <c r="S32" i="2"/>
  <c r="S31" i="2"/>
  <c r="S30" i="2"/>
  <c r="S28" i="2"/>
  <c r="T28" i="2" s="1"/>
  <c r="U28" i="2" s="1"/>
  <c r="P28" i="2"/>
  <c r="S27" i="2"/>
  <c r="P27" i="2"/>
  <c r="S25" i="2"/>
  <c r="P25" i="2"/>
  <c r="S24" i="2"/>
  <c r="P24" i="2"/>
  <c r="S23" i="2"/>
  <c r="S22" i="2"/>
  <c r="P22" i="2"/>
  <c r="S21" i="2"/>
  <c r="P21" i="2"/>
  <c r="S20" i="2"/>
  <c r="P20" i="2"/>
  <c r="S19" i="2"/>
  <c r="P19" i="2"/>
  <c r="S18" i="2"/>
  <c r="S16" i="2"/>
  <c r="P16" i="2"/>
  <c r="S15" i="2"/>
  <c r="P15" i="2"/>
  <c r="U14" i="2"/>
  <c r="T14" i="2"/>
  <c r="S12" i="2"/>
  <c r="P12" i="2"/>
  <c r="S11" i="2"/>
  <c r="P11" i="2"/>
  <c r="F38" i="2"/>
  <c r="E38" i="2"/>
  <c r="F37" i="2"/>
  <c r="F36" i="2"/>
  <c r="H36" i="2" s="1"/>
  <c r="C36" i="2"/>
  <c r="F35" i="2"/>
  <c r="C35" i="2"/>
  <c r="F34" i="2"/>
  <c r="C34" i="2"/>
  <c r="F32" i="2"/>
  <c r="H32" i="2" s="1"/>
  <c r="E32" i="2"/>
  <c r="F31" i="2"/>
  <c r="F30" i="2"/>
  <c r="H30" i="2" s="1"/>
  <c r="H28" i="2"/>
  <c r="E28" i="2"/>
  <c r="H27" i="2"/>
  <c r="E27" i="2"/>
  <c r="H25" i="2"/>
  <c r="E25" i="2"/>
  <c r="H24" i="2"/>
  <c r="E24" i="2"/>
  <c r="F23" i="2"/>
  <c r="H22" i="2"/>
  <c r="I22" i="2" s="1"/>
  <c r="J22" i="2" s="1"/>
  <c r="E22" i="2"/>
  <c r="H21" i="2"/>
  <c r="E21" i="2"/>
  <c r="H20" i="2"/>
  <c r="E20" i="2"/>
  <c r="H19" i="2"/>
  <c r="E19" i="2"/>
  <c r="E18" i="2"/>
  <c r="H16" i="2"/>
  <c r="E16" i="2"/>
  <c r="H15" i="2"/>
  <c r="E15" i="2"/>
  <c r="J14" i="2"/>
  <c r="I14" i="2"/>
  <c r="H12" i="2"/>
  <c r="E12" i="2"/>
  <c r="H11" i="2"/>
  <c r="E11" i="2"/>
  <c r="H23" i="2" l="1"/>
  <c r="N23" i="2"/>
  <c r="P23" i="2" s="1"/>
  <c r="T23" i="2" s="1"/>
  <c r="U23" i="2" s="1"/>
  <c r="T25" i="2"/>
  <c r="U25" i="2" s="1"/>
  <c r="S17" i="2"/>
  <c r="S26" i="2" s="1"/>
  <c r="E40" i="3"/>
  <c r="I29" i="3"/>
  <c r="J29" i="3" s="1"/>
  <c r="H40" i="3"/>
  <c r="AE22" i="2"/>
  <c r="AF22" i="2" s="1"/>
  <c r="AE12" i="2"/>
  <c r="AF12" i="2" s="1"/>
  <c r="AE28" i="2"/>
  <c r="AF28" i="2" s="1"/>
  <c r="AA17" i="2"/>
  <c r="AA26" i="2" s="1"/>
  <c r="T21" i="2"/>
  <c r="U21" i="2" s="1"/>
  <c r="T19" i="2"/>
  <c r="U19" i="2" s="1"/>
  <c r="I27" i="2"/>
  <c r="J27" i="2" s="1"/>
  <c r="P17" i="2"/>
  <c r="I28" i="2"/>
  <c r="J28" i="2" s="1"/>
  <c r="I24" i="2"/>
  <c r="J24" i="2" s="1"/>
  <c r="I20" i="2"/>
  <c r="J20" i="2" s="1"/>
  <c r="I19" i="2"/>
  <c r="J19" i="2" s="1"/>
  <c r="I25" i="2"/>
  <c r="J25" i="2" s="1"/>
  <c r="I21" i="2"/>
  <c r="J21" i="2" s="1"/>
  <c r="E17" i="2"/>
  <c r="I11" i="2"/>
  <c r="J11" i="2" s="1"/>
  <c r="I12" i="2"/>
  <c r="J12" i="2" s="1"/>
  <c r="I15" i="2"/>
  <c r="J15" i="2" s="1"/>
  <c r="I16" i="2"/>
  <c r="J16" i="2" s="1"/>
  <c r="AE11" i="2"/>
  <c r="AF11" i="2" s="1"/>
  <c r="AE24" i="2"/>
  <c r="AF24" i="2" s="1"/>
  <c r="AE21" i="2"/>
  <c r="AF21" i="2" s="1"/>
  <c r="AE23" i="2"/>
  <c r="AF23" i="2" s="1"/>
  <c r="AE15" i="2"/>
  <c r="AF15" i="2" s="1"/>
  <c r="AE19" i="2"/>
  <c r="AF19" i="2" s="1"/>
  <c r="H31" i="2"/>
  <c r="S35" i="2"/>
  <c r="T35" i="2" s="1"/>
  <c r="U35" i="2" s="1"/>
  <c r="AD34" i="2"/>
  <c r="AE34" i="2" s="1"/>
  <c r="AF34" i="2" s="1"/>
  <c r="I32" i="2"/>
  <c r="J32" i="2" s="1"/>
  <c r="S34" i="2"/>
  <c r="T34" i="2" s="1"/>
  <c r="U34" i="2" s="1"/>
  <c r="AD35" i="2"/>
  <c r="AE35" i="2" s="1"/>
  <c r="AF35" i="2" s="1"/>
  <c r="AE31" i="2"/>
  <c r="AF31" i="2" s="1"/>
  <c r="AE32" i="2"/>
  <c r="AF32" i="2" s="1"/>
  <c r="AE25" i="2"/>
  <c r="AF25" i="2" s="1"/>
  <c r="AE30" i="2"/>
  <c r="AF30" i="2" s="1"/>
  <c r="AE36" i="2"/>
  <c r="AF36" i="2" s="1"/>
  <c r="AD37" i="2"/>
  <c r="AA37" i="2"/>
  <c r="AB38" i="2"/>
  <c r="AD38" i="2" s="1"/>
  <c r="AE38" i="2" s="1"/>
  <c r="AF38" i="2" s="1"/>
  <c r="AD17" i="2"/>
  <c r="T32" i="2"/>
  <c r="U32" i="2" s="1"/>
  <c r="T20" i="2"/>
  <c r="U20" i="2" s="1"/>
  <c r="T24" i="2"/>
  <c r="U24" i="2" s="1"/>
  <c r="P37" i="2"/>
  <c r="T16" i="2"/>
  <c r="U16" i="2" s="1"/>
  <c r="T18" i="2"/>
  <c r="U18" i="2" s="1"/>
  <c r="T22" i="2"/>
  <c r="U22" i="2" s="1"/>
  <c r="T27" i="2"/>
  <c r="U27" i="2" s="1"/>
  <c r="T31" i="2"/>
  <c r="U31" i="2" s="1"/>
  <c r="S37" i="2"/>
  <c r="T12" i="2"/>
  <c r="U12" i="2" s="1"/>
  <c r="T15" i="2"/>
  <c r="U15" i="2" s="1"/>
  <c r="T36" i="2"/>
  <c r="U36" i="2" s="1"/>
  <c r="T30" i="2"/>
  <c r="U30" i="2" s="1"/>
  <c r="T11" i="2"/>
  <c r="U11" i="2" s="1"/>
  <c r="H17" i="2"/>
  <c r="C23" i="2"/>
  <c r="E23" i="2" s="1"/>
  <c r="I23" i="2" s="1"/>
  <c r="J23" i="2" s="1"/>
  <c r="E30" i="2"/>
  <c r="H18" i="2"/>
  <c r="I18" i="2" s="1"/>
  <c r="J18" i="2" s="1"/>
  <c r="E34" i="2"/>
  <c r="E35" i="2"/>
  <c r="E36" i="2"/>
  <c r="I36" i="2" s="1"/>
  <c r="J36" i="2" s="1"/>
  <c r="E37" i="2"/>
  <c r="H38" i="2"/>
  <c r="I38" i="2" s="1"/>
  <c r="J38" i="2" s="1"/>
  <c r="H37" i="2"/>
  <c r="E31" i="2"/>
  <c r="H34" i="2"/>
  <c r="H35" i="2"/>
  <c r="P26" i="2" l="1"/>
  <c r="P29" i="2" s="1"/>
  <c r="E41" i="3"/>
  <c r="E42" i="3"/>
  <c r="H41" i="3"/>
  <c r="I40" i="3"/>
  <c r="J40" i="3" s="1"/>
  <c r="H42" i="3"/>
  <c r="I31" i="2"/>
  <c r="J31" i="2" s="1"/>
  <c r="T17" i="2"/>
  <c r="U17" i="2" s="1"/>
  <c r="I37" i="2"/>
  <c r="J37" i="2" s="1"/>
  <c r="AE17" i="2"/>
  <c r="AF17" i="2" s="1"/>
  <c r="AD26" i="2"/>
  <c r="AA29" i="2"/>
  <c r="AE37" i="2"/>
  <c r="AF37" i="2" s="1"/>
  <c r="T37" i="2"/>
  <c r="U37" i="2" s="1"/>
  <c r="S29" i="2"/>
  <c r="E26" i="2"/>
  <c r="I35" i="2"/>
  <c r="J35" i="2" s="1"/>
  <c r="I34" i="2"/>
  <c r="J34" i="2" s="1"/>
  <c r="H26" i="2"/>
  <c r="I17" i="2"/>
  <c r="J17" i="2" s="1"/>
  <c r="I30" i="2"/>
  <c r="J30" i="2" s="1"/>
  <c r="T26" i="2" l="1"/>
  <c r="U26" i="2" s="1"/>
  <c r="I42" i="3"/>
  <c r="I41" i="3"/>
  <c r="J41" i="3" s="1"/>
  <c r="E43" i="3"/>
  <c r="H43" i="3"/>
  <c r="C24" i="8" s="1"/>
  <c r="AA40" i="2"/>
  <c r="AD29" i="2"/>
  <c r="AE26" i="2"/>
  <c r="AF26" i="2" s="1"/>
  <c r="T29" i="2"/>
  <c r="U29" i="2" s="1"/>
  <c r="S40" i="2"/>
  <c r="P40" i="2"/>
  <c r="H29" i="2"/>
  <c r="H40" i="2" s="1"/>
  <c r="I26" i="2"/>
  <c r="J26" i="2" s="1"/>
  <c r="E29" i="2"/>
  <c r="E40" i="2" s="1"/>
  <c r="I43" i="3" l="1"/>
  <c r="J43" i="3" s="1"/>
  <c r="C25" i="8" s="1"/>
  <c r="H42" i="2"/>
  <c r="H41" i="2"/>
  <c r="I40" i="2"/>
  <c r="J40" i="2" s="1"/>
  <c r="E42" i="2"/>
  <c r="E41" i="2"/>
  <c r="AA42" i="2"/>
  <c r="AA41" i="2"/>
  <c r="AE29" i="2"/>
  <c r="AF29" i="2" s="1"/>
  <c r="AD40" i="2"/>
  <c r="P41" i="2"/>
  <c r="P42" i="2"/>
  <c r="S41" i="2"/>
  <c r="S42" i="2"/>
  <c r="T40" i="2"/>
  <c r="U40" i="2" s="1"/>
  <c r="I29" i="2"/>
  <c r="J29" i="2" s="1"/>
  <c r="T41" i="2" l="1"/>
  <c r="U41" i="2" s="1"/>
  <c r="AA43" i="2"/>
  <c r="T42" i="2"/>
  <c r="I42" i="2"/>
  <c r="E43" i="2"/>
  <c r="H43" i="2"/>
  <c r="I41" i="2"/>
  <c r="J41" i="2" s="1"/>
  <c r="AE40" i="2"/>
  <c r="AF40" i="2" s="1"/>
  <c r="AD42" i="2"/>
  <c r="AE42" i="2" s="1"/>
  <c r="AD41" i="2"/>
  <c r="AE41" i="2" s="1"/>
  <c r="AF41" i="2" s="1"/>
  <c r="P43" i="2"/>
  <c r="S43" i="2"/>
  <c r="E24" i="8" s="1"/>
  <c r="I43" i="2" l="1"/>
  <c r="J43" i="2" s="1"/>
  <c r="D25" i="8" s="1"/>
  <c r="D24" i="8"/>
  <c r="T43" i="2"/>
  <c r="U43" i="2" s="1"/>
  <c r="E25" i="8" s="1"/>
  <c r="AD43" i="2"/>
  <c r="AE43" i="2" l="1"/>
  <c r="AF43" i="2" s="1"/>
  <c r="F25" i="8" s="1"/>
  <c r="F24" i="8"/>
  <c r="D7" i="8"/>
  <c r="C7" i="8"/>
  <c r="E7" i="8"/>
  <c r="D8" i="8" l="1"/>
  <c r="C8" i="8"/>
  <c r="E8" i="8"/>
  <c r="C13" i="8" l="1"/>
  <c r="C44" i="8" s="1"/>
  <c r="D13" i="8" l="1"/>
  <c r="F13" i="8"/>
  <c r="E13" i="8"/>
</calcChain>
</file>

<file path=xl/sharedStrings.xml><?xml version="1.0" encoding="utf-8"?>
<sst xmlns="http://schemas.openxmlformats.org/spreadsheetml/2006/main" count="443" uniqueCount="106">
  <si>
    <t>Customer Class:</t>
  </si>
  <si>
    <t>RPP / Non-RPP:</t>
  </si>
  <si>
    <t>Consumption</t>
  </si>
  <si>
    <t>kWh</t>
  </si>
  <si>
    <t>Demand</t>
  </si>
  <si>
    <t>kW</t>
  </si>
  <si>
    <t>Current Loss Factor</t>
  </si>
  <si>
    <t>Proposed/Approved Loss Factor</t>
  </si>
  <si>
    <t>Current OEB-Approved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</si>
  <si>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</si>
  <si>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</si>
  <si>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</si>
  <si>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</si>
  <si>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</si>
  <si>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</si>
  <si>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</si>
  <si>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</si>
  <si>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</si>
  <si>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</si>
  <si>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</si>
  <si>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</si>
  <si>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</si>
  <si>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</si>
  <si>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</si>
  <si>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</si>
  <si>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</si>
  <si>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</si>
  <si>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</si>
  <si>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</si>
  <si>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</si>
  <si>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</si>
  <si>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</si>
  <si>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</si>
  <si>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</si>
  <si>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</si>
  <si>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</si>
  <si>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</si>
  <si>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</si>
  <si>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</si>
  <si>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</si>
  <si>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</si>
  <si>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</si>
  <si>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</si>
  <si>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</si>
  <si>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</si>
  <si>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</si>
  <si>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</si>
  <si>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</si>
  <si>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SENTINEL - YEAR 1</t>
  </si>
  <si>
    <t>rpp</t>
  </si>
  <si>
    <t>SENTINEL - YEAR 2</t>
  </si>
  <si>
    <t>Proposed Year 1</t>
  </si>
  <si>
    <t>Proposed Year 2</t>
  </si>
  <si>
    <t>Proposed Year 3</t>
  </si>
  <si>
    <t>SENTINEL - YEAR 3</t>
  </si>
  <si>
    <t>SENTINEL - NO RATE MITIGATION</t>
  </si>
  <si>
    <t>$</t>
  </si>
  <si>
    <t>It should be noted that this schedule does not list any charges, assessments, or credits that are required by law to be invoiced by a distributor and that are not subject to Ontario Energy Board approval, such as the Global Adjustment and the HST.</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</si>
  <si>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</si>
  <si>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</si>
  <si>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$/kW</t>
  </si>
  <si>
    <t>MONTHLY RATES AND CHARGES - Delivery Component</t>
  </si>
  <si>
    <t>APPLICATION</t>
  </si>
  <si>
    <t>Standard Supply Service - Administrative Charge (if applicable)</t>
  </si>
  <si>
    <t>$/kWh</t>
  </si>
  <si>
    <t>Rural or Remote Electricity Rate Protection Charge (RRRP)</t>
  </si>
  <si>
    <t xml:space="preserve">Capacity Based Recovery (CBR) - Applicable for Class B Customers </t>
  </si>
  <si>
    <t>Wholesale Market Service Rate (WMS) - not including CBR</t>
  </si>
  <si>
    <t>MONTHLY RATES AND CHARGES - Regulatory Component</t>
  </si>
  <si>
    <t>Retail Transmission Rate - Line and Transformation Connection Service Rate</t>
  </si>
  <si>
    <t>Retail Transmission Rate - Network Service Rate</t>
  </si>
  <si>
    <t>Rate Rider for Group 2 Accounts - effective until April 30, 2025</t>
  </si>
  <si>
    <t>Rate Rider for Disposition of Account 1576 - effective until April 30, 2025</t>
  </si>
  <si>
    <t>Rate Rider for Disposition of Capacity Based Recovery Account Applicable only for Class B Customers - effective until April 30, 2025</t>
  </si>
  <si>
    <t>Rate Rider for Disposition of Deferral/Variance Accounts - effective until April 30, 2025</t>
  </si>
  <si>
    <t>Low Voltage Service Rate</t>
  </si>
  <si>
    <t>Service Charge (per connection)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</si>
  <si>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</si>
  <si>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refers to accounts that are an unmetered lighting load supplied to a sentinel light. Class B consumers are defined in accordance with O. Reg. 429/04. Further servicing details are available in the distributor’s Conditions of Service.</t>
  </si>
  <si>
    <t>SENTINEL LIGHTING SERVICE CLASSIFICATION</t>
  </si>
  <si>
    <t>EB-2023-0045</t>
  </si>
  <si>
    <t>approved schedules of Rates, Charges and Loss Factors</t>
  </si>
  <si>
    <t>This schedule supersedes and replaces all previously</t>
  </si>
  <si>
    <t>Effective and Implementation Date May 1, 2024</t>
  </si>
  <si>
    <t>TARIFF OF RATES AND CHARGES</t>
  </si>
  <si>
    <t>Orangeville Hydro Limited</t>
  </si>
  <si>
    <t>Total Bill</t>
  </si>
  <si>
    <t>Bill Impact</t>
  </si>
  <si>
    <t>Revenue to Cost Ratio</t>
  </si>
  <si>
    <t>Status Quo Proposed Year 1</t>
  </si>
  <si>
    <t>Cost to Orangeville Hydro Limited</t>
  </si>
  <si>
    <t>Sentinel Light Proposed Rates and Bill Impacts</t>
  </si>
  <si>
    <t>Status Quo means Proposed rates without rate mitigation</t>
  </si>
  <si>
    <t>Sentinel Bill Impact was 25.73%, which is higher than 10%.</t>
  </si>
  <si>
    <t xml:space="preserve">The revenue to cost ration (R/C) from the Cost allocation model came out at </t>
  </si>
  <si>
    <t xml:space="preserve">Board Target Low is set at </t>
  </si>
  <si>
    <t>The difference between the two</t>
  </si>
  <si>
    <t>Was divided by 3</t>
  </si>
  <si>
    <t>In order to phase in the Service charge and distribution volumetric rate over 3 years,</t>
  </si>
  <si>
    <t xml:space="preserve">For Year 1, OHL increased the base CAM R/C ratio of  66.18% by 4.61% to determine SC and Volumetric </t>
  </si>
  <si>
    <t xml:space="preserve">For Year 2, OHL increased the Year 1 R/C ratio of 70.79% by 4.61% to determine SC and Volumetric </t>
  </si>
  <si>
    <t>For Year 3, OHL increased the Year 2 R/C ratio of 75.39% by 4.61% to determine SC and Volumetric to get to target 80%</t>
  </si>
  <si>
    <t>1) OHL Rate Mitigation for CAM R/C of 66.18% to Board Target Low of 80%</t>
  </si>
  <si>
    <t>1) OHL Rate Proposal for Further Rate Mitigation</t>
  </si>
  <si>
    <t>Rate Rider for Group 2 Accounts to be collected over 3 years</t>
  </si>
  <si>
    <t>Status Quo Rate Rider for Group 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</si>
</sst>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000"/>
    <numFmt numFmtId="165" formatCode="_-* #,##0_-;\-* #,##0_-;_-* &quot;-&quot;??_-;_-@_-"/>
    <numFmt numFmtId="166" formatCode="0.0%"/>
    <numFmt numFmtId="167" formatCode="_(&quot;$&quot;* #,##0.0000_);_(&quot;$&quot;* \(#,##0.0000\);_(&quot;$&quot;* &quot;-&quot;????_);_(@_)"/>
    <numFmt numFmtId="168" formatCode="_-&quot;$&quot;* #,##0.0000_-;\-&quot;$&quot;* #,##0.0000_-;_-&quot;$&quot;* &quot;-&quot;??_-;_-@_-"/>
    <numFmt numFmtId="169" formatCode="_(&quot;$&quot;* #,##0.0000_);_(&quot;$&quot;* \(#,##0.0000\);_(&quot;$&quot;* &quot;-&quot;??_);_(@_)"/>
    <numFmt numFmtId="170" formatCode="_-&quot;$&quot;* #,##0.00_-;\-&quot;$&quot;* #,##0.00_-;_-&quot;$&quot;* &quot;-&quot;??_-;_-@_-"/>
    <numFmt numFmtId="171" formatCode="#,##0.00;[Red]\(#,##0.00\)"/>
    <numFmt numFmtId="172" formatCode="#,##0.0000;[Red]\(#,##0.0000\)"/>
    <numFmt numFmtId="173" formatCode="_(* #,##0.0000_);_(* \(#,##0.0000\);_(* &quot;-&quot;??_);_(@_)"/>
  </numFmts>
  <fonts count="2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2"/>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sz val="8"/>
      <color theme="1"/>
      <name val="Arial"/>
      <family val="2"/>
    </font>
    <font>
      <sz val="14"/>
      <color theme="1"/>
      <name val="Aptos Narrow"/>
      <family val="2"/>
      <scheme val="minor"/>
    </font>
    <font>
      <b/>
      <sz val="14"/>
      <color theme="1"/>
      <name val="Arial"/>
      <family val="2"/>
    </font>
    <font>
      <sz val="9"/>
      <color theme="1"/>
      <name val="Arial"/>
      <family val="2"/>
    </font>
    <font>
      <sz val="14"/>
      <color theme="1"/>
      <name val="Arial"/>
      <family val="2"/>
    </font>
    <font>
      <b/>
      <sz val="8"/>
      <color theme="1"/>
      <name val="Arial"/>
      <family val="2"/>
    </font>
    <font>
      <b/>
      <sz val="12"/>
      <color theme="1"/>
      <name val="Arial"/>
      <family val="2"/>
    </font>
    <font>
      <b/>
      <sz val="18"/>
      <color theme="1"/>
      <name val="Arial"/>
      <family val="2"/>
    </font>
    <font>
      <sz val="8"/>
      <name val="Aptos Narrow"/>
      <family val="2"/>
      <scheme val="minor"/>
    </font>
    <font>
      <sz val="11"/>
      <color theme="1"/>
      <name val="Arial"/>
      <family val="2"/>
    </font>
    <font>
      <sz val="12"/>
      <color theme="1"/>
      <name val="Arial"/>
      <family val="2"/>
    </font>
    <font>
      <b/>
      <sz val="10"/>
      <color theme="0"/>
      <name val="Arial"/>
      <family val="2"/>
    </font>
    <font>
      <b/>
      <sz val="11"/>
      <color theme="1"/>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639A"/>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3" fillId="0" borderId="0" xfId="2" applyFont="1"/>
    <xf numFmtId="0" fontId="2" fillId="0" borderId="0" xfId="2"/>
    <xf numFmtId="0" fontId="3" fillId="0" borderId="0" xfId="2" applyFont="1" applyAlignment="1" applyProtection="1">
      <alignment horizontal="right" vertical="center"/>
      <protection locked="0"/>
    </xf>
    <xf numFmtId="0" fontId="2" fillId="0" borderId="0" xfId="2" applyProtection="1">
      <protection locked="0"/>
    </xf>
    <xf numFmtId="0" fontId="6" fillId="2" borderId="0" xfId="2" applyFont="1" applyFill="1" applyAlignment="1" applyProtection="1">
      <alignment vertical="top"/>
      <protection locked="0"/>
    </xf>
    <xf numFmtId="165" fontId="3" fillId="2" borderId="4" xfId="3" applyNumberFormat="1" applyFont="1" applyFill="1" applyBorder="1" applyAlignment="1" applyProtection="1">
      <alignment horizontal="center" vertical="center"/>
      <protection locked="0"/>
    </xf>
    <xf numFmtId="0" fontId="3" fillId="0" borderId="0" xfId="2" applyFont="1" applyProtection="1">
      <protection locked="0"/>
    </xf>
    <xf numFmtId="0" fontId="4" fillId="2" borderId="0" xfId="2" applyFont="1" applyFill="1" applyAlignment="1" applyProtection="1">
      <alignment vertical="center"/>
      <protection locked="0"/>
    </xf>
    <xf numFmtId="0" fontId="3" fillId="0" borderId="0" xfId="2" applyFont="1" applyAlignment="1" applyProtection="1">
      <alignment horizontal="left"/>
      <protection locked="0"/>
    </xf>
    <xf numFmtId="0" fontId="3" fillId="0" borderId="0" xfId="2" applyFont="1" applyAlignment="1" applyProtection="1">
      <alignment horizontal="center"/>
      <protection locked="0"/>
    </xf>
    <xf numFmtId="0" fontId="4" fillId="0" borderId="0" xfId="2" applyFont="1" applyAlignment="1" applyProtection="1">
      <alignment horizontal="center"/>
      <protection locked="0"/>
    </xf>
    <xf numFmtId="164" fontId="3" fillId="2" borderId="4" xfId="5" applyNumberFormat="1" applyFont="1" applyFill="1" applyBorder="1" applyProtection="1">
      <protection locked="0"/>
    </xf>
    <xf numFmtId="0" fontId="3" fillId="0" borderId="12" xfId="2" applyFont="1" applyBorder="1" applyAlignment="1">
      <alignment horizontal="center"/>
    </xf>
    <xf numFmtId="0" fontId="3" fillId="0" borderId="7" xfId="2" applyFont="1" applyBorder="1" applyAlignment="1">
      <alignment horizontal="center"/>
    </xf>
    <xf numFmtId="0" fontId="3" fillId="0" borderId="5" xfId="2" applyFont="1" applyBorder="1" applyAlignment="1">
      <alignment horizontal="center"/>
    </xf>
    <xf numFmtId="0" fontId="3" fillId="0" borderId="11" xfId="2" quotePrefix="1" applyFont="1" applyBorder="1" applyAlignment="1">
      <alignment horizontal="center"/>
    </xf>
    <xf numFmtId="0" fontId="3" fillId="0" borderId="10" xfId="2" quotePrefix="1" applyFont="1" applyBorder="1" applyAlignment="1">
      <alignment horizontal="center"/>
    </xf>
    <xf numFmtId="0" fontId="2" fillId="0" borderId="0" xfId="2" applyAlignment="1">
      <alignment vertical="top"/>
    </xf>
    <xf numFmtId="0" fontId="2" fillId="2" borderId="0" xfId="2" applyFill="1" applyAlignment="1">
      <alignment vertical="top"/>
    </xf>
    <xf numFmtId="44" fontId="3" fillId="2" borderId="13" xfId="1" applyFont="1" applyFill="1" applyBorder="1" applyAlignment="1" applyProtection="1">
      <alignment horizontal="left" vertical="center"/>
    </xf>
    <xf numFmtId="0" fontId="2" fillId="0" borderId="13" xfId="2" applyBorder="1" applyAlignment="1">
      <alignment vertical="center"/>
    </xf>
    <xf numFmtId="44" fontId="7" fillId="0" borderId="7" xfId="4" applyFont="1" applyBorder="1" applyAlignment="1" applyProtection="1">
      <alignment vertical="center"/>
    </xf>
    <xf numFmtId="44" fontId="8" fillId="2" borderId="13" xfId="4" applyFont="1" applyFill="1" applyBorder="1" applyAlignment="1" applyProtection="1">
      <alignment horizontal="left" vertical="center"/>
    </xf>
    <xf numFmtId="44" fontId="8" fillId="0" borderId="7" xfId="4" applyFont="1" applyBorder="1" applyAlignment="1" applyProtection="1">
      <alignment vertical="center"/>
    </xf>
    <xf numFmtId="44" fontId="2" fillId="0" borderId="13" xfId="2" applyNumberFormat="1" applyBorder="1" applyAlignment="1">
      <alignment vertical="center"/>
    </xf>
    <xf numFmtId="10" fontId="7" fillId="0" borderId="7" xfId="5" applyNumberFormat="1" applyFont="1" applyBorder="1" applyAlignment="1" applyProtection="1">
      <alignment vertical="center"/>
    </xf>
    <xf numFmtId="167" fontId="3" fillId="2" borderId="13" xfId="1" applyNumberFormat="1" applyFont="1" applyFill="1" applyBorder="1" applyAlignment="1" applyProtection="1">
      <alignment horizontal="left" vertical="center"/>
    </xf>
    <xf numFmtId="167" fontId="8" fillId="2" borderId="13" xfId="4" applyNumberFormat="1" applyFont="1" applyFill="1" applyBorder="1" applyAlignment="1" applyProtection="1">
      <alignment horizontal="left" vertical="center"/>
    </xf>
    <xf numFmtId="0" fontId="3" fillId="5" borderId="1" xfId="2" applyFont="1" applyFill="1" applyBorder="1" applyAlignment="1">
      <alignment vertical="top"/>
    </xf>
    <xf numFmtId="0" fontId="2" fillId="5" borderId="2" xfId="2" applyFill="1" applyBorder="1" applyAlignment="1">
      <alignment vertical="top"/>
    </xf>
    <xf numFmtId="168" fontId="3" fillId="5" borderId="4" xfId="4" applyNumberFormat="1" applyFont="1" applyFill="1" applyBorder="1" applyAlignment="1" applyProtection="1">
      <alignment horizontal="left" vertical="center"/>
    </xf>
    <xf numFmtId="0" fontId="3" fillId="5" borderId="4" xfId="2" applyFont="1" applyFill="1" applyBorder="1" applyAlignment="1">
      <alignment vertical="center"/>
    </xf>
    <xf numFmtId="44" fontId="9" fillId="5" borderId="3" xfId="4" applyFont="1" applyFill="1" applyBorder="1" applyAlignment="1" applyProtection="1">
      <alignment vertical="center"/>
    </xf>
    <xf numFmtId="168" fontId="8" fillId="5" borderId="4" xfId="4" applyNumberFormat="1" applyFont="1" applyFill="1" applyBorder="1" applyAlignment="1" applyProtection="1">
      <alignment horizontal="left" vertical="center"/>
    </xf>
    <xf numFmtId="44" fontId="8" fillId="5" borderId="3" xfId="4" applyFont="1" applyFill="1" applyBorder="1" applyAlignment="1" applyProtection="1">
      <alignment vertical="center"/>
    </xf>
    <xf numFmtId="44" fontId="3" fillId="5" borderId="4" xfId="2" applyNumberFormat="1" applyFont="1" applyFill="1" applyBorder="1" applyAlignment="1">
      <alignment vertical="center"/>
    </xf>
    <xf numFmtId="10" fontId="3" fillId="5" borderId="3" xfId="5" applyNumberFormat="1" applyFont="1" applyFill="1" applyBorder="1" applyAlignment="1" applyProtection="1">
      <alignment vertical="center"/>
    </xf>
    <xf numFmtId="0" fontId="2" fillId="0" borderId="0" xfId="2" applyAlignment="1">
      <alignment vertical="top" wrapText="1"/>
    </xf>
    <xf numFmtId="169" fontId="3" fillId="2" borderId="13" xfId="1" applyNumberFormat="1" applyFont="1" applyFill="1" applyBorder="1" applyAlignment="1" applyProtection="1">
      <alignment horizontal="left" vertical="center"/>
    </xf>
    <xf numFmtId="165" fontId="2" fillId="6" borderId="13" xfId="3" applyNumberFormat="1" applyFont="1" applyFill="1" applyBorder="1" applyAlignment="1" applyProtection="1">
      <alignment vertical="center"/>
    </xf>
    <xf numFmtId="165" fontId="2" fillId="0" borderId="13" xfId="3" applyNumberFormat="1" applyFont="1" applyFill="1" applyBorder="1" applyAlignment="1" applyProtection="1">
      <alignment vertical="center"/>
    </xf>
    <xf numFmtId="168" fontId="8" fillId="2" borderId="13" xfId="4" applyNumberFormat="1" applyFont="1" applyFill="1" applyBorder="1" applyAlignment="1" applyProtection="1">
      <alignment horizontal="left" vertical="center"/>
    </xf>
    <xf numFmtId="0" fontId="3" fillId="5" borderId="1" xfId="2" applyFont="1" applyFill="1" applyBorder="1" applyAlignment="1">
      <alignment vertical="top" wrapText="1"/>
    </xf>
    <xf numFmtId="0" fontId="2" fillId="5" borderId="2" xfId="2" applyFill="1" applyBorder="1"/>
    <xf numFmtId="0" fontId="3" fillId="5" borderId="4" xfId="2" applyFont="1" applyFill="1" applyBorder="1" applyAlignment="1">
      <alignment horizontal="left" vertical="center"/>
    </xf>
    <xf numFmtId="0" fontId="2" fillId="5" borderId="4" xfId="2" applyFill="1" applyBorder="1" applyAlignment="1">
      <alignment vertical="center"/>
    </xf>
    <xf numFmtId="44" fontId="3" fillId="5" borderId="3" xfId="2" applyNumberFormat="1" applyFont="1" applyFill="1" applyBorder="1" applyAlignment="1">
      <alignment vertical="center"/>
    </xf>
    <xf numFmtId="0" fontId="8" fillId="5" borderId="4" xfId="2" applyFont="1" applyFill="1" applyBorder="1" applyAlignment="1">
      <alignment horizontal="left" vertical="center"/>
    </xf>
    <xf numFmtId="44" fontId="8" fillId="5" borderId="3" xfId="2" applyNumberFormat="1" applyFont="1" applyFill="1" applyBorder="1" applyAlignment="1">
      <alignment vertical="center"/>
    </xf>
    <xf numFmtId="0" fontId="2" fillId="0" borderId="0" xfId="2" applyAlignment="1">
      <alignment vertical="center"/>
    </xf>
    <xf numFmtId="168" fontId="3" fillId="2" borderId="13" xfId="4" applyNumberFormat="1" applyFont="1" applyFill="1" applyBorder="1" applyAlignment="1" applyProtection="1">
      <alignment horizontal="left" vertical="center"/>
    </xf>
    <xf numFmtId="0" fontId="2" fillId="0" borderId="9" xfId="2" applyBorder="1" applyAlignment="1">
      <alignment vertical="center" wrapText="1"/>
    </xf>
    <xf numFmtId="169" fontId="3" fillId="2" borderId="13" xfId="4" applyNumberFormat="1" applyFont="1" applyFill="1" applyBorder="1" applyAlignment="1" applyProtection="1">
      <alignment horizontal="left" vertical="center"/>
    </xf>
    <xf numFmtId="44" fontId="2" fillId="0" borderId="7" xfId="4" applyFont="1" applyBorder="1" applyAlignment="1" applyProtection="1">
      <alignment vertical="center"/>
    </xf>
    <xf numFmtId="170" fontId="3" fillId="2" borderId="13" xfId="4" applyNumberFormat="1" applyFont="1" applyFill="1" applyBorder="1" applyAlignment="1" applyProtection="1">
      <alignment horizontal="left" vertical="center"/>
    </xf>
    <xf numFmtId="165" fontId="2" fillId="2" borderId="13" xfId="3" applyNumberFormat="1" applyFont="1" applyFill="1" applyBorder="1" applyAlignment="1" applyProtection="1">
      <alignment vertical="center"/>
    </xf>
    <xf numFmtId="167" fontId="8" fillId="0" borderId="13" xfId="4" applyNumberFormat="1" applyFont="1" applyFill="1" applyBorder="1" applyAlignment="1" applyProtection="1">
      <alignment horizontal="left" vertical="center"/>
    </xf>
    <xf numFmtId="169" fontId="3" fillId="4" borderId="13" xfId="4" applyNumberFormat="1" applyFont="1" applyFill="1" applyBorder="1" applyAlignment="1" applyProtection="1">
      <alignment horizontal="left" vertical="center"/>
      <protection locked="0"/>
    </xf>
    <xf numFmtId="167" fontId="8" fillId="4" borderId="13" xfId="4" applyNumberFormat="1" applyFont="1" applyFill="1" applyBorder="1" applyAlignment="1" applyProtection="1">
      <alignment horizontal="left" vertical="center"/>
      <protection locked="0"/>
    </xf>
    <xf numFmtId="0" fontId="2" fillId="7" borderId="14" xfId="2" applyFill="1" applyBorder="1"/>
    <xf numFmtId="0" fontId="2" fillId="7" borderId="15" xfId="2" applyFill="1" applyBorder="1" applyAlignment="1">
      <alignment vertical="top"/>
    </xf>
    <xf numFmtId="168" fontId="2" fillId="7" borderId="16" xfId="4" applyNumberFormat="1" applyFont="1" applyFill="1" applyBorder="1" applyAlignment="1" applyProtection="1">
      <alignment vertical="top"/>
    </xf>
    <xf numFmtId="0" fontId="2" fillId="7" borderId="17" xfId="2" applyFill="1" applyBorder="1" applyAlignment="1">
      <alignment vertical="center"/>
    </xf>
    <xf numFmtId="44" fontId="2" fillId="7" borderId="15" xfId="4" applyFont="1" applyFill="1" applyBorder="1" applyAlignment="1" applyProtection="1">
      <alignment vertical="center"/>
    </xf>
    <xf numFmtId="0" fontId="2" fillId="7" borderId="16" xfId="2" applyFill="1" applyBorder="1" applyAlignment="1">
      <alignment vertical="center"/>
    </xf>
    <xf numFmtId="44" fontId="2" fillId="7" borderId="16" xfId="2" applyNumberFormat="1" applyFill="1" applyBorder="1" applyAlignment="1">
      <alignment vertical="center"/>
    </xf>
    <xf numFmtId="10" fontId="2" fillId="7" borderId="18" xfId="5" applyNumberFormat="1" applyFont="1" applyFill="1" applyBorder="1" applyAlignment="1" applyProtection="1">
      <alignment vertical="center"/>
    </xf>
    <xf numFmtId="0" fontId="3" fillId="0" borderId="0" xfId="2" applyFont="1" applyAlignment="1">
      <alignment vertical="top"/>
    </xf>
    <xf numFmtId="9" fontId="2" fillId="0" borderId="13" xfId="2" applyNumberFormat="1" applyBorder="1" applyAlignment="1">
      <alignment vertical="top"/>
    </xf>
    <xf numFmtId="9" fontId="2" fillId="0" borderId="0" xfId="2" applyNumberFormat="1" applyAlignment="1">
      <alignment vertical="center"/>
    </xf>
    <xf numFmtId="44" fontId="3" fillId="0" borderId="6" xfId="2" applyNumberFormat="1" applyFont="1" applyBorder="1" applyAlignment="1">
      <alignment vertical="center"/>
    </xf>
    <xf numFmtId="9" fontId="3" fillId="0" borderId="13" xfId="2" applyNumberFormat="1" applyFont="1" applyBorder="1" applyAlignment="1">
      <alignment vertical="center"/>
    </xf>
    <xf numFmtId="44" fontId="3" fillId="0" borderId="13" xfId="2" applyNumberFormat="1" applyFont="1" applyBorder="1" applyAlignment="1">
      <alignment vertical="center"/>
    </xf>
    <xf numFmtId="10" fontId="3" fillId="0" borderId="7" xfId="5" applyNumberFormat="1" applyFont="1" applyFill="1" applyBorder="1" applyAlignment="1" applyProtection="1">
      <alignment vertical="center"/>
    </xf>
    <xf numFmtId="0" fontId="2" fillId="0" borderId="0" xfId="2" applyAlignment="1">
      <alignment horizontal="left" vertical="top" indent="1"/>
    </xf>
    <xf numFmtId="44" fontId="2" fillId="0" borderId="6" xfId="2" applyNumberFormat="1" applyBorder="1" applyAlignment="1">
      <alignment vertical="center"/>
    </xf>
    <xf numFmtId="9" fontId="2" fillId="0" borderId="13" xfId="2" applyNumberFormat="1" applyBorder="1" applyAlignment="1">
      <alignment vertical="center"/>
    </xf>
    <xf numFmtId="10" fontId="2" fillId="0" borderId="7" xfId="5" applyNumberFormat="1" applyFont="1" applyFill="1" applyBorder="1" applyAlignment="1" applyProtection="1">
      <alignment vertical="center"/>
    </xf>
    <xf numFmtId="166" fontId="2" fillId="0" borderId="13" xfId="2" applyNumberFormat="1" applyBorder="1" applyAlignment="1">
      <alignment vertical="top"/>
    </xf>
    <xf numFmtId="0" fontId="2" fillId="9" borderId="11" xfId="2" applyFill="1" applyBorder="1" applyAlignment="1">
      <alignment vertical="top"/>
    </xf>
    <xf numFmtId="0" fontId="2" fillId="9" borderId="9" xfId="2" applyFill="1" applyBorder="1" applyAlignment="1">
      <alignment vertical="center"/>
    </xf>
    <xf numFmtId="44" fontId="3" fillId="9" borderId="6" xfId="2" applyNumberFormat="1" applyFont="1" applyFill="1" applyBorder="1" applyAlignment="1">
      <alignment vertical="center"/>
    </xf>
    <xf numFmtId="0" fontId="3" fillId="9" borderId="11" xfId="2" applyFont="1" applyFill="1" applyBorder="1" applyAlignment="1">
      <alignment vertical="center"/>
    </xf>
    <xf numFmtId="44" fontId="3" fillId="9" borderId="8" xfId="2" applyNumberFormat="1" applyFont="1" applyFill="1" applyBorder="1" applyAlignment="1">
      <alignment vertical="center"/>
    </xf>
    <xf numFmtId="44" fontId="3" fillId="9" borderId="11" xfId="2" applyNumberFormat="1" applyFont="1" applyFill="1" applyBorder="1" applyAlignment="1">
      <alignment vertical="center"/>
    </xf>
    <xf numFmtId="10" fontId="3" fillId="9" borderId="10" xfId="5" applyNumberFormat="1" applyFont="1" applyFill="1" applyBorder="1" applyAlignment="1" applyProtection="1">
      <alignment vertical="center"/>
    </xf>
    <xf numFmtId="44" fontId="8" fillId="10" borderId="13" xfId="4" applyFont="1" applyFill="1" applyBorder="1" applyAlignment="1" applyProtection="1">
      <alignment horizontal="left" vertical="center"/>
    </xf>
    <xf numFmtId="167" fontId="8" fillId="10" borderId="13" xfId="4" applyNumberFormat="1" applyFont="1" applyFill="1" applyBorder="1" applyAlignment="1" applyProtection="1">
      <alignment horizontal="left" vertical="center"/>
    </xf>
    <xf numFmtId="168" fontId="8" fillId="10" borderId="4" xfId="4" applyNumberFormat="1" applyFont="1" applyFill="1" applyBorder="1" applyAlignment="1" applyProtection="1">
      <alignment horizontal="left" vertical="center"/>
    </xf>
    <xf numFmtId="168" fontId="8" fillId="10" borderId="13" xfId="4" applyNumberFormat="1" applyFont="1" applyFill="1" applyBorder="1" applyAlignment="1" applyProtection="1">
      <alignment horizontal="left" vertical="center"/>
    </xf>
    <xf numFmtId="0" fontId="8" fillId="10" borderId="4" xfId="2" applyFont="1" applyFill="1" applyBorder="1" applyAlignment="1">
      <alignment horizontal="left" vertical="center"/>
    </xf>
    <xf numFmtId="167" fontId="8" fillId="10" borderId="13" xfId="4" applyNumberFormat="1" applyFont="1" applyFill="1" applyBorder="1" applyAlignment="1" applyProtection="1">
      <alignment horizontal="left" vertical="center"/>
      <protection locked="0"/>
    </xf>
    <xf numFmtId="168" fontId="2" fillId="10" borderId="16" xfId="4" applyNumberFormat="1" applyFont="1" applyFill="1" applyBorder="1" applyAlignment="1" applyProtection="1">
      <alignment vertical="top"/>
    </xf>
    <xf numFmtId="9" fontId="3" fillId="10" borderId="13" xfId="2" applyNumberFormat="1" applyFont="1" applyFill="1" applyBorder="1" applyAlignment="1">
      <alignment vertical="center"/>
    </xf>
    <xf numFmtId="9" fontId="2" fillId="10" borderId="13" xfId="2" applyNumberFormat="1" applyFill="1" applyBorder="1" applyAlignment="1">
      <alignment vertical="center"/>
    </xf>
    <xf numFmtId="166" fontId="2" fillId="10" borderId="13" xfId="2" applyNumberFormat="1" applyFill="1" applyBorder="1" applyAlignment="1">
      <alignment vertical="top"/>
    </xf>
    <xf numFmtId="44" fontId="8" fillId="3" borderId="13" xfId="4" applyFont="1" applyFill="1" applyBorder="1" applyAlignment="1" applyProtection="1">
      <alignment horizontal="left" vertical="center"/>
    </xf>
    <xf numFmtId="167" fontId="8" fillId="3" borderId="13" xfId="4" applyNumberFormat="1" applyFont="1" applyFill="1" applyBorder="1" applyAlignment="1" applyProtection="1">
      <alignment horizontal="left" vertical="center"/>
    </xf>
    <xf numFmtId="168" fontId="8" fillId="3" borderId="4" xfId="4" applyNumberFormat="1" applyFont="1" applyFill="1" applyBorder="1" applyAlignment="1" applyProtection="1">
      <alignment horizontal="left" vertical="center"/>
    </xf>
    <xf numFmtId="168" fontId="8" fillId="3" borderId="13" xfId="4" applyNumberFormat="1" applyFont="1" applyFill="1" applyBorder="1" applyAlignment="1" applyProtection="1">
      <alignment horizontal="left" vertical="center"/>
    </xf>
    <xf numFmtId="0" fontId="8" fillId="3" borderId="4" xfId="2" applyFont="1" applyFill="1" applyBorder="1" applyAlignment="1">
      <alignment horizontal="left" vertical="center"/>
    </xf>
    <xf numFmtId="167" fontId="8" fillId="3" borderId="13" xfId="4" applyNumberFormat="1" applyFont="1" applyFill="1" applyBorder="1" applyAlignment="1" applyProtection="1">
      <alignment horizontal="left" vertical="center"/>
      <protection locked="0"/>
    </xf>
    <xf numFmtId="168" fontId="2" fillId="3" borderId="16" xfId="4" applyNumberFormat="1" applyFont="1" applyFill="1" applyBorder="1" applyAlignment="1" applyProtection="1">
      <alignment vertical="top"/>
    </xf>
    <xf numFmtId="9" fontId="3" fillId="3" borderId="13" xfId="2" applyNumberFormat="1" applyFont="1" applyFill="1" applyBorder="1" applyAlignment="1">
      <alignment vertical="center"/>
    </xf>
    <xf numFmtId="9" fontId="2" fillId="3" borderId="13" xfId="2" applyNumberFormat="1" applyFill="1" applyBorder="1" applyAlignment="1">
      <alignment vertical="center"/>
    </xf>
    <xf numFmtId="166" fontId="2" fillId="3" borderId="13" xfId="2" applyNumberFormat="1" applyFill="1" applyBorder="1" applyAlignment="1">
      <alignment vertical="top"/>
    </xf>
    <xf numFmtId="0" fontId="8" fillId="11" borderId="7" xfId="2" applyFont="1" applyFill="1" applyBorder="1" applyAlignment="1">
      <alignment vertical="center"/>
    </xf>
    <xf numFmtId="0" fontId="8" fillId="11" borderId="13" xfId="2" applyFont="1" applyFill="1" applyBorder="1" applyAlignment="1">
      <alignment vertical="center"/>
    </xf>
    <xf numFmtId="0" fontId="8" fillId="11" borderId="3" xfId="2" applyFont="1" applyFill="1" applyBorder="1" applyAlignment="1">
      <alignment vertical="center"/>
    </xf>
    <xf numFmtId="165" fontId="8" fillId="11" borderId="13" xfId="3" applyNumberFormat="1" applyFont="1" applyFill="1" applyBorder="1" applyAlignment="1" applyProtection="1">
      <alignment vertical="center"/>
    </xf>
    <xf numFmtId="0" fontId="2" fillId="11" borderId="16" xfId="2" applyFill="1" applyBorder="1" applyAlignment="1">
      <alignment vertical="center"/>
    </xf>
    <xf numFmtId="9" fontId="3" fillId="11" borderId="13" xfId="2" applyNumberFormat="1" applyFont="1" applyFill="1" applyBorder="1" applyAlignment="1">
      <alignment vertical="center"/>
    </xf>
    <xf numFmtId="0" fontId="2" fillId="11" borderId="13" xfId="2" applyFill="1" applyBorder="1" applyAlignment="1">
      <alignment vertical="center"/>
    </xf>
    <xf numFmtId="0" fontId="3" fillId="11" borderId="4" xfId="2" applyFont="1" applyFill="1" applyBorder="1" applyAlignment="1">
      <alignment vertical="center"/>
    </xf>
    <xf numFmtId="165" fontId="2" fillId="11" borderId="13" xfId="3" applyNumberFormat="1" applyFont="1" applyFill="1" applyBorder="1" applyAlignment="1" applyProtection="1">
      <alignment vertical="center"/>
    </xf>
    <xf numFmtId="0" fontId="2" fillId="11" borderId="4" xfId="2" applyFill="1" applyBorder="1" applyAlignment="1">
      <alignment vertical="center"/>
    </xf>
    <xf numFmtId="0" fontId="2" fillId="11" borderId="17" xfId="2" applyFill="1" applyBorder="1" applyAlignment="1">
      <alignment vertical="center"/>
    </xf>
    <xf numFmtId="9" fontId="2" fillId="11" borderId="0" xfId="2" applyNumberFormat="1" applyFill="1" applyAlignment="1">
      <alignment vertical="center"/>
    </xf>
    <xf numFmtId="0" fontId="2" fillId="11" borderId="0" xfId="2" applyFill="1" applyAlignment="1">
      <alignment vertical="center"/>
    </xf>
    <xf numFmtId="0" fontId="10" fillId="2" borderId="0" xfId="0" applyFont="1" applyFill="1" applyAlignment="1" applyProtection="1">
      <alignment horizontal="left"/>
      <protection locked="0"/>
    </xf>
    <xf numFmtId="0" fontId="10" fillId="2" borderId="0" xfId="0" applyFont="1" applyFill="1" applyAlignment="1" applyProtection="1">
      <alignment horizontal="left" wrapText="1"/>
      <protection locked="0"/>
    </xf>
    <xf numFmtId="171" fontId="10" fillId="2" borderId="0" xfId="0" applyNumberFormat="1" applyFont="1" applyFill="1" applyAlignment="1" applyProtection="1">
      <alignment horizontal="right"/>
      <protection locked="0"/>
    </xf>
    <xf numFmtId="0" fontId="13" fillId="2" borderId="0" xfId="0" applyFont="1" applyFill="1" applyAlignment="1" applyProtection="1">
      <alignment horizontal="left" vertical="top" wrapText="1"/>
      <protection locked="0"/>
    </xf>
    <xf numFmtId="0" fontId="9" fillId="2" borderId="0" xfId="0" applyFont="1" applyFill="1" applyAlignment="1" applyProtection="1">
      <alignment horizontal="left" wrapText="1"/>
      <protection locked="0"/>
    </xf>
    <xf numFmtId="171" fontId="10" fillId="2" borderId="0" xfId="0" applyNumberFormat="1" applyFont="1" applyFill="1" applyAlignment="1">
      <alignment horizontal="right"/>
    </xf>
    <xf numFmtId="0" fontId="13" fillId="2" borderId="0" xfId="0" applyFont="1" applyFill="1" applyAlignment="1" applyProtection="1">
      <alignment horizontal="left" wrapText="1"/>
      <protection locked="0"/>
    </xf>
    <xf numFmtId="0" fontId="9" fillId="2" borderId="0" xfId="0" applyFont="1" applyFill="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172" fontId="10" fillId="2" borderId="0" xfId="0" applyNumberFormat="1" applyFont="1" applyFill="1" applyAlignment="1" applyProtection="1">
      <alignment horizontal="right"/>
      <protection locked="0"/>
    </xf>
    <xf numFmtId="172" fontId="10" fillId="2" borderId="0" xfId="0" applyNumberFormat="1" applyFont="1" applyFill="1" applyAlignment="1">
      <alignment horizontal="right"/>
    </xf>
    <xf numFmtId="0" fontId="10" fillId="2" borderId="0" xfId="0" applyFont="1" applyFill="1" applyAlignment="1">
      <alignment horizontal="left" wrapText="1"/>
    </xf>
    <xf numFmtId="0" fontId="15" fillId="2" borderId="0" xfId="0" applyFont="1" applyFill="1" applyAlignment="1" applyProtection="1">
      <alignment horizontal="right" vertical="top" wrapText="1"/>
      <protection locked="0"/>
    </xf>
    <xf numFmtId="0" fontId="9" fillId="2" borderId="0" xfId="0" applyFont="1" applyFill="1" applyAlignment="1" applyProtection="1">
      <alignment horizontal="center" vertical="top" wrapText="1"/>
      <protection locked="0"/>
    </xf>
    <xf numFmtId="0" fontId="16" fillId="2" borderId="0" xfId="0" applyFont="1" applyFill="1" applyAlignment="1">
      <alignment horizontal="center" vertical="top" wrapText="1"/>
    </xf>
    <xf numFmtId="0" fontId="12" fillId="2" borderId="0" xfId="0" applyFont="1" applyFill="1" applyAlignment="1" applyProtection="1">
      <alignment horizontal="center" vertical="top" wrapText="1"/>
      <protection locked="0"/>
    </xf>
    <xf numFmtId="0" fontId="17" fillId="2" borderId="0" xfId="0" applyFont="1" applyFill="1" applyAlignment="1" applyProtection="1">
      <alignment horizontal="center" vertical="top" wrapText="1"/>
      <protection locked="0"/>
    </xf>
    <xf numFmtId="0" fontId="0" fillId="2" borderId="0" xfId="0" applyFill="1"/>
    <xf numFmtId="0" fontId="11" fillId="2" borderId="0" xfId="0" applyFont="1" applyFill="1"/>
    <xf numFmtId="0" fontId="0" fillId="2" borderId="0" xfId="0" applyFill="1" applyProtection="1">
      <protection locked="0"/>
    </xf>
    <xf numFmtId="0" fontId="20" fillId="0" borderId="0" xfId="0" applyFont="1"/>
    <xf numFmtId="0" fontId="21" fillId="12" borderId="4" xfId="0" applyFont="1" applyFill="1" applyBorder="1" applyAlignment="1">
      <alignment horizontal="center" vertical="center" wrapText="1"/>
    </xf>
    <xf numFmtId="0" fontId="19" fillId="0" borderId="4" xfId="0" applyFont="1" applyBorder="1"/>
    <xf numFmtId="173" fontId="19" fillId="0" borderId="4" xfId="6" applyNumberFormat="1" applyFont="1" applyBorder="1"/>
    <xf numFmtId="44" fontId="19" fillId="0" borderId="4" xfId="1" applyFont="1" applyBorder="1"/>
    <xf numFmtId="0" fontId="22" fillId="0" borderId="4" xfId="0" applyFont="1" applyBorder="1"/>
    <xf numFmtId="0" fontId="19" fillId="3" borderId="4" xfId="0" applyFont="1" applyFill="1" applyBorder="1"/>
    <xf numFmtId="43" fontId="19" fillId="3" borderId="4" xfId="6" applyFont="1" applyFill="1" applyBorder="1"/>
    <xf numFmtId="173" fontId="19" fillId="3" borderId="4" xfId="6" applyNumberFormat="1" applyFont="1" applyFill="1" applyBorder="1"/>
    <xf numFmtId="10" fontId="19" fillId="3" borderId="4" xfId="7" applyNumberFormat="1" applyFont="1" applyFill="1" applyBorder="1"/>
    <xf numFmtId="10" fontId="20" fillId="0" borderId="0" xfId="0" applyNumberFormat="1" applyFont="1"/>
    <xf numFmtId="10" fontId="20" fillId="0" borderId="0" xfId="7" applyNumberFormat="1" applyFont="1"/>
    <xf numFmtId="10" fontId="19" fillId="0" borderId="4" xfId="7" applyNumberFormat="1" applyFont="1" applyBorder="1"/>
    <xf numFmtId="0" fontId="16" fillId="0" borderId="0" xfId="0" applyFont="1"/>
    <xf numFmtId="173" fontId="20" fillId="0" borderId="0" xfId="0" applyNumberFormat="1" applyFont="1"/>
    <xf numFmtId="172" fontId="10" fillId="13" borderId="0" xfId="0" applyNumberFormat="1" applyFont="1" applyFill="1" applyAlignment="1" applyProtection="1">
      <alignment horizontal="right"/>
      <protection locked="0"/>
    </xf>
    <xf numFmtId="171" fontId="10" fillId="13" borderId="0" xfId="0" applyNumberFormat="1" applyFont="1" applyFill="1" applyAlignment="1">
      <alignment horizontal="right"/>
    </xf>
    <xf numFmtId="172" fontId="10" fillId="13" borderId="0" xfId="0" applyNumberFormat="1" applyFont="1" applyFill="1" applyAlignment="1">
      <alignment horizontal="right"/>
    </xf>
    <xf numFmtId="169" fontId="8" fillId="3" borderId="13" xfId="4" applyNumberFormat="1" applyFont="1" applyFill="1" applyBorder="1" applyAlignment="1" applyProtection="1">
      <alignment horizontal="left" vertical="center"/>
    </xf>
    <xf numFmtId="164" fontId="20" fillId="0" borderId="0" xfId="0" applyNumberFormat="1" applyFont="1"/>
    <xf numFmtId="0" fontId="3" fillId="2" borderId="0" xfId="2" applyFont="1" applyFill="1" applyAlignment="1">
      <alignment horizontal="center" wrapText="1"/>
    </xf>
    <xf numFmtId="0" fontId="2" fillId="2" borderId="0" xfId="2" applyFill="1" applyAlignment="1">
      <alignment horizontal="center" wrapText="1"/>
    </xf>
    <xf numFmtId="0" fontId="3" fillId="0" borderId="13" xfId="2" applyFont="1" applyBorder="1" applyAlignment="1">
      <alignment horizontal="center" wrapText="1"/>
    </xf>
    <xf numFmtId="0" fontId="2" fillId="0" borderId="11" xfId="2" applyBorder="1" applyAlignment="1">
      <alignment wrapText="1"/>
    </xf>
    <xf numFmtId="0" fontId="3" fillId="0" borderId="7" xfId="2" applyFont="1" applyBorder="1" applyAlignment="1">
      <alignment horizontal="center" wrapText="1"/>
    </xf>
    <xf numFmtId="0" fontId="2" fillId="0" borderId="10" xfId="2" applyBorder="1" applyAlignment="1">
      <alignment wrapText="1"/>
    </xf>
    <xf numFmtId="0" fontId="3" fillId="8" borderId="0" xfId="2" applyFont="1" applyFill="1" applyAlignment="1">
      <alignment horizontal="left" vertical="top" wrapText="1"/>
    </xf>
    <xf numFmtId="0" fontId="5" fillId="2" borderId="4" xfId="2" applyFont="1" applyFill="1" applyBorder="1" applyAlignment="1" applyProtection="1">
      <alignment horizontal="left" vertical="top"/>
      <protection locked="0"/>
    </xf>
    <xf numFmtId="0" fontId="3" fillId="2" borderId="11" xfId="2" applyFont="1" applyFill="1" applyBorder="1" applyAlignment="1" applyProtection="1">
      <alignment horizontal="left" vertical="top"/>
      <protection locked="0"/>
    </xf>
    <xf numFmtId="0" fontId="3" fillId="0" borderId="1" xfId="2" applyFont="1" applyBorder="1" applyAlignment="1">
      <alignment horizontal="center"/>
    </xf>
    <xf numFmtId="0" fontId="3" fillId="0" borderId="2" xfId="2" applyFont="1" applyBorder="1" applyAlignment="1">
      <alignment horizontal="center"/>
    </xf>
    <xf numFmtId="0" fontId="3" fillId="0" borderId="3" xfId="2" applyFont="1" applyBorder="1" applyAlignment="1">
      <alignment horizontal="center"/>
    </xf>
  </cellXfs>
  <cellStyles count="8">
    <cellStyle name="Comma" xfId="6" builtinId="3"/>
    <cellStyle name="Comma 4" xfId="3" xr:uid="{B934AC81-6F9C-4449-8A84-7432F60B17AD}"/>
    <cellStyle name="Currency" xfId="1" builtinId="4"/>
    <cellStyle name="Currency 2" xfId="4" xr:uid="{762FAD41-0521-4844-A4F4-6EDF9B55E2F1}"/>
    <cellStyle name="Normal" xfId="0" builtinId="0"/>
    <cellStyle name="Normal 2" xfId="2" xr:uid="{E63CA398-6128-4A94-909B-6D92079191DE}"/>
    <cellStyle name="Percent" xfId="7" builtinId="5"/>
    <cellStyle name="Percent 2" xfId="5" xr:uid="{CA40BBEA-F345-4264-A5A2-529F282945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6</xdr:col>
      <xdr:colOff>791915</xdr:colOff>
      <xdr:row>76</xdr:row>
      <xdr:rowOff>143719</xdr:rowOff>
    </xdr:to>
    <xdr:pic>
      <xdr:nvPicPr>
        <xdr:cNvPr id="3" name="Picture 2">
          <a:extLst>
            <a:ext uri="{FF2B5EF4-FFF2-40B4-BE49-F238E27FC236}">
              <a16:creationId xmlns:a16="http://schemas.microsoft.com/office/drawing/2014/main" id="{950F24A0-5728-20F8-1ED6-C712B14E4555}"/>
            </a:ext>
          </a:extLst>
        </xdr:cNvPr>
        <xdr:cNvPicPr>
          <a:picLocks noChangeAspect="1"/>
        </xdr:cNvPicPr>
      </xdr:nvPicPr>
      <xdr:blipFill>
        <a:blip xmlns:r="http://schemas.openxmlformats.org/officeDocument/2006/relationships" r:embed="rId1"/>
        <a:stretch>
          <a:fillRect/>
        </a:stretch>
      </xdr:blipFill>
      <xdr:spPr>
        <a:xfrm>
          <a:off x="0" y="8763000"/>
          <a:ext cx="9602540" cy="6049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L:\FINANCE\Rate%20Submission\2024%20Cost%20of%20Service\5.%20Settlement\Models%2020240313\OHL%202024_Tariff_Schedule_and_Bill_Impact_Model%2020240313.xlsb" TargetMode="External"/><Relationship Id="rId1" Type="http://schemas.openxmlformats.org/officeDocument/2006/relationships/externalLinkPath" Target="OHL%202024_Tariff_Schedule_and_Bill_Impact_Model%2020240313.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cell r="C14" t="str">
            <v>Parry Sound Service Area</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cell r="C25" t="str">
            <v>For Former St. Thomas Energy Rate Zone</v>
          </cell>
        </row>
        <row r="26">
          <cell r="A26" t="str">
            <v>Festival Hydro Inc.</v>
          </cell>
          <cell r="C26" t="str">
            <v>For Entegrus-Main Rate Zone</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4"/>
      <sheetData sheetId="5"/>
      <sheetData sheetId="6">
        <row r="15">
          <cell r="E15">
            <v>4.1000000000000003E-3</v>
          </cell>
        </row>
        <row r="16">
          <cell r="E16">
            <v>4.0000000000000002E-4</v>
          </cell>
        </row>
        <row r="17">
          <cell r="E17">
            <v>1.4E-3</v>
          </cell>
        </row>
        <row r="18">
          <cell r="E18">
            <v>0.25</v>
          </cell>
        </row>
        <row r="23">
          <cell r="D23">
            <v>8.6999999999999994E-2</v>
          </cell>
          <cell r="E23">
            <v>0.63</v>
          </cell>
        </row>
        <row r="24">
          <cell r="D24">
            <v>0.122</v>
          </cell>
          <cell r="E24">
            <v>0.18</v>
          </cell>
        </row>
        <row r="25">
          <cell r="D25">
            <v>0.182</v>
          </cell>
          <cell r="E25">
            <v>0.19</v>
          </cell>
        </row>
        <row r="33">
          <cell r="D33">
            <v>0.42</v>
          </cell>
        </row>
        <row r="35">
          <cell r="D35">
            <v>39.49</v>
          </cell>
        </row>
      </sheetData>
      <sheetData sheetId="7"/>
      <sheetData sheetId="8"/>
      <sheetData sheetId="9"/>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4D49-31AB-416D-8B8B-C7C4499EF025}">
  <dimension ref="A1:F44"/>
  <sheetViews>
    <sheetView topLeftCell="A3" workbookViewId="0">
      <selection activeCell="D13" sqref="D13:F13"/>
    </sheetView>
  </sheetViews>
  <sheetFormatPr defaultColWidth="9.140625" defaultRowHeight="15" x14ac:dyDescent="0.2"/>
  <cols>
    <col min="1" max="1" width="114.85546875" style="141" customWidth="1"/>
    <col min="2" max="2" width="9.140625" style="141"/>
    <col min="3" max="7" width="12.7109375" style="141" customWidth="1"/>
    <col min="8" max="16384" width="9.140625" style="141"/>
  </cols>
  <sheetData>
    <row r="1" spans="1:6" x14ac:dyDescent="0.2">
      <c r="A1" s="141" t="s">
        <v>85</v>
      </c>
    </row>
    <row r="2" spans="1:6" x14ac:dyDescent="0.2">
      <c r="A2" s="141" t="s">
        <v>80</v>
      </c>
    </row>
    <row r="5" spans="1:6" ht="38.25" x14ac:dyDescent="0.2">
      <c r="A5" s="142" t="s">
        <v>91</v>
      </c>
      <c r="B5" s="142"/>
      <c r="C5" s="142" t="s">
        <v>89</v>
      </c>
      <c r="D5" s="142" t="s">
        <v>51</v>
      </c>
      <c r="E5" s="142" t="s">
        <v>52</v>
      </c>
      <c r="F5" s="142" t="s">
        <v>53</v>
      </c>
    </row>
    <row r="6" spans="1:6" ht="15.75" x14ac:dyDescent="0.25">
      <c r="A6" s="146" t="s">
        <v>61</v>
      </c>
      <c r="B6" s="143"/>
      <c r="C6" s="143"/>
      <c r="D6" s="143"/>
      <c r="E6" s="143"/>
      <c r="F6" s="143"/>
    </row>
    <row r="7" spans="1:6" x14ac:dyDescent="0.2">
      <c r="A7" s="147" t="s">
        <v>76</v>
      </c>
      <c r="B7" s="147" t="s">
        <v>56</v>
      </c>
      <c r="C7" s="148">
        <f>+'SL Status Quo Tariff'!D22</f>
        <v>4.8899999999999997</v>
      </c>
      <c r="D7" s="148">
        <f>+'SL Proposed Y1 Tariff'!D22</f>
        <v>4.3099999999999996</v>
      </c>
      <c r="E7" s="148">
        <f>+'SL Proposed Y2 Tariff'!D22</f>
        <v>4.5999999999999996</v>
      </c>
      <c r="F7" s="148">
        <f>+'SL Proposed Y3 Tariff'!D22</f>
        <v>4.8899999999999997</v>
      </c>
    </row>
    <row r="8" spans="1:6" x14ac:dyDescent="0.2">
      <c r="A8" s="147" t="s">
        <v>17</v>
      </c>
      <c r="B8" s="147" t="s">
        <v>60</v>
      </c>
      <c r="C8" s="149">
        <f>+'SL Status Quo Tariff'!D23</f>
        <v>19.154119567784168</v>
      </c>
      <c r="D8" s="149">
        <f>+'SL Proposed Y1 Tariff'!D23</f>
        <v>16.880400000000002</v>
      </c>
      <c r="E8" s="149">
        <f>+'SL Proposed Y2 Tariff'!D23</f>
        <v>18.017299999999999</v>
      </c>
      <c r="F8" s="149">
        <f>+'SL Proposed Y3 Tariff'!D23</f>
        <v>19.1541</v>
      </c>
    </row>
    <row r="9" spans="1:6" x14ac:dyDescent="0.2">
      <c r="A9" s="143" t="s">
        <v>75</v>
      </c>
      <c r="B9" s="143" t="s">
        <v>60</v>
      </c>
      <c r="C9" s="144">
        <f>+'SL Status Quo Tariff'!D24</f>
        <v>1.006</v>
      </c>
      <c r="D9" s="144">
        <f>+'SL Proposed Y1 Tariff'!D24</f>
        <v>1.006</v>
      </c>
      <c r="E9" s="144">
        <f>+'SL Proposed Y2 Tariff'!D24</f>
        <v>1.006</v>
      </c>
      <c r="F9" s="144">
        <f>+'SL Proposed Y3 Tariff'!D24</f>
        <v>1.006</v>
      </c>
    </row>
    <row r="10" spans="1:6" ht="15" customHeight="1" x14ac:dyDescent="0.2">
      <c r="A10" s="143" t="s">
        <v>74</v>
      </c>
      <c r="B10" s="143" t="s">
        <v>60</v>
      </c>
      <c r="C10" s="144">
        <f>+'SL Status Quo Tariff'!D25</f>
        <v>2.2957999999999998</v>
      </c>
      <c r="D10" s="144">
        <f>+'SL Proposed Y1 Tariff'!D25</f>
        <v>2.2957999999999998</v>
      </c>
      <c r="E10" s="144">
        <f>+'SL Proposed Y2 Tariff'!D25</f>
        <v>2.2957999999999998</v>
      </c>
      <c r="F10" s="144">
        <f>+'SL Proposed Y3 Tariff'!D25</f>
        <v>2.2957999999999998</v>
      </c>
    </row>
    <row r="11" spans="1:6" ht="15" customHeight="1" x14ac:dyDescent="0.2">
      <c r="A11" s="143" t="s">
        <v>73</v>
      </c>
      <c r="B11" s="143" t="s">
        <v>60</v>
      </c>
      <c r="C11" s="144">
        <f>+'SL Status Quo Tariff'!D26</f>
        <v>-4.4699999999999997E-2</v>
      </c>
      <c r="D11" s="144">
        <f>+'SL Proposed Y1 Tariff'!D26</f>
        <v>-4.4699999999999997E-2</v>
      </c>
      <c r="E11" s="144">
        <f>+'SL Proposed Y2 Tariff'!D26</f>
        <v>-4.4699999999999997E-2</v>
      </c>
      <c r="F11" s="144">
        <f>+'SL Proposed Y3 Tariff'!D26</f>
        <v>-4.4699999999999997E-2</v>
      </c>
    </row>
    <row r="12" spans="1:6" x14ac:dyDescent="0.2">
      <c r="A12" s="143" t="s">
        <v>72</v>
      </c>
      <c r="B12" s="143" t="s">
        <v>60</v>
      </c>
      <c r="C12" s="144">
        <f>+'SL Status Quo Tariff'!D27</f>
        <v>-2.7E-2</v>
      </c>
      <c r="D12" s="144">
        <f>+'SL Proposed Y1 Tariff'!D27</f>
        <v>-2.7E-2</v>
      </c>
      <c r="E12" s="144">
        <f>+'SL Proposed Y2 Tariff'!D27</f>
        <v>-2.7E-2</v>
      </c>
      <c r="F12" s="144">
        <f>+'SL Proposed Y3 Tariff'!D27</f>
        <v>-2.7E-2</v>
      </c>
    </row>
    <row r="13" spans="1:6" x14ac:dyDescent="0.2">
      <c r="A13" s="147" t="s">
        <v>71</v>
      </c>
      <c r="B13" s="147" t="s">
        <v>60</v>
      </c>
      <c r="C13" s="149">
        <f>+'SL Status Quo Tariff'!D28</f>
        <v>7.8096000000000005</v>
      </c>
      <c r="D13" s="149">
        <f>+'SL Proposed Y1 Tariff'!D28</f>
        <v>2.6032000000000002</v>
      </c>
      <c r="E13" s="149">
        <f>+'SL Proposed Y2 Tariff'!D28</f>
        <v>2.6032000000000002</v>
      </c>
      <c r="F13" s="149">
        <f>+'SL Proposed Y3 Tariff'!D28</f>
        <v>2.6032000000000002</v>
      </c>
    </row>
    <row r="14" spans="1:6" x14ac:dyDescent="0.2">
      <c r="A14" s="143" t="s">
        <v>70</v>
      </c>
      <c r="B14" s="143" t="s">
        <v>60</v>
      </c>
      <c r="C14" s="144">
        <f>+'SL Status Quo Tariff'!D29</f>
        <v>2.8637999999999999</v>
      </c>
      <c r="D14" s="144">
        <f>+'SL Proposed Y1 Tariff'!D29</f>
        <v>2.8637999999999999</v>
      </c>
      <c r="E14" s="144">
        <f>+'SL Proposed Y2 Tariff'!D29</f>
        <v>2.8637999999999999</v>
      </c>
      <c r="F14" s="144">
        <f>+'SL Proposed Y3 Tariff'!D29</f>
        <v>2.8637999999999999</v>
      </c>
    </row>
    <row r="15" spans="1:6" x14ac:dyDescent="0.2">
      <c r="A15" s="143" t="s">
        <v>69</v>
      </c>
      <c r="B15" s="143" t="s">
        <v>60</v>
      </c>
      <c r="C15" s="144">
        <f>+'SL Status Quo Tariff'!D30</f>
        <v>2.0024999999999999</v>
      </c>
      <c r="D15" s="144">
        <f>+'SL Proposed Y1 Tariff'!D30</f>
        <v>2.0024999999999999</v>
      </c>
      <c r="E15" s="144">
        <f>+'SL Proposed Y2 Tariff'!D30</f>
        <v>2.0024999999999999</v>
      </c>
      <c r="F15" s="144">
        <f>+'SL Proposed Y3 Tariff'!D30</f>
        <v>2.0024999999999999</v>
      </c>
    </row>
    <row r="16" spans="1:6" x14ac:dyDescent="0.2">
      <c r="A16" s="143"/>
      <c r="B16" s="143"/>
      <c r="C16" s="144">
        <f>+'SL Status Quo Tariff'!D31</f>
        <v>0</v>
      </c>
      <c r="D16" s="144">
        <f>+'SL Proposed Y1 Tariff'!D31</f>
        <v>0</v>
      </c>
      <c r="E16" s="144">
        <f>+'SL Proposed Y2 Tariff'!D31</f>
        <v>0</v>
      </c>
      <c r="F16" s="144">
        <f>+'SL Proposed Y3 Tariff'!D31</f>
        <v>0</v>
      </c>
    </row>
    <row r="17" spans="1:6" ht="15.75" x14ac:dyDescent="0.25">
      <c r="A17" s="146" t="s">
        <v>68</v>
      </c>
      <c r="B17" s="143"/>
      <c r="C17" s="144"/>
      <c r="D17" s="144"/>
      <c r="E17" s="144"/>
      <c r="F17" s="144"/>
    </row>
    <row r="18" spans="1:6" x14ac:dyDescent="0.2">
      <c r="A18" s="143" t="s">
        <v>67</v>
      </c>
      <c r="B18" s="143" t="s">
        <v>64</v>
      </c>
      <c r="C18" s="144">
        <f>+'SL Status Quo Tariff'!D34</f>
        <v>4.1000000000000003E-3</v>
      </c>
      <c r="D18" s="144">
        <f>+'SL Proposed Y1 Tariff'!D34</f>
        <v>4.1000000000000003E-3</v>
      </c>
      <c r="E18" s="144">
        <f>+'SL Proposed Y2 Tariff'!D34</f>
        <v>4.1000000000000003E-3</v>
      </c>
      <c r="F18" s="144">
        <f>+'SL Proposed Y3 Tariff'!D34</f>
        <v>4.1000000000000003E-3</v>
      </c>
    </row>
    <row r="19" spans="1:6" x14ac:dyDescent="0.2">
      <c r="A19" s="143" t="s">
        <v>66</v>
      </c>
      <c r="B19" s="143" t="s">
        <v>64</v>
      </c>
      <c r="C19" s="144">
        <f>+'SL Status Quo Tariff'!D35</f>
        <v>4.0000000000000002E-4</v>
      </c>
      <c r="D19" s="144">
        <f>+'SL Proposed Y1 Tariff'!D35</f>
        <v>4.0000000000000002E-4</v>
      </c>
      <c r="E19" s="144">
        <f>+'SL Proposed Y2 Tariff'!D35</f>
        <v>4.0000000000000002E-4</v>
      </c>
      <c r="F19" s="144">
        <f>+'SL Proposed Y3 Tariff'!D35</f>
        <v>4.0000000000000002E-4</v>
      </c>
    </row>
    <row r="20" spans="1:6" x14ac:dyDescent="0.2">
      <c r="A20" s="143" t="s">
        <v>65</v>
      </c>
      <c r="B20" s="143" t="s">
        <v>64</v>
      </c>
      <c r="C20" s="144">
        <f>+'SL Status Quo Tariff'!D36</f>
        <v>1.4E-3</v>
      </c>
      <c r="D20" s="144">
        <f>+'SL Proposed Y1 Tariff'!D36</f>
        <v>1.4E-3</v>
      </c>
      <c r="E20" s="144">
        <f>+'SL Proposed Y2 Tariff'!D36</f>
        <v>1.4E-3</v>
      </c>
      <c r="F20" s="144">
        <f>+'SL Proposed Y3 Tariff'!D36</f>
        <v>1.4E-3</v>
      </c>
    </row>
    <row r="21" spans="1:6" x14ac:dyDescent="0.2">
      <c r="A21" s="143" t="s">
        <v>63</v>
      </c>
      <c r="B21" s="143" t="s">
        <v>56</v>
      </c>
      <c r="C21" s="143">
        <f>+'SL Status Quo Tariff'!D37</f>
        <v>0.25</v>
      </c>
      <c r="D21" s="143">
        <f>+'SL Proposed Y1 Tariff'!D37</f>
        <v>0.25</v>
      </c>
      <c r="E21" s="143">
        <f>+'SL Proposed Y2 Tariff'!D37</f>
        <v>0.25</v>
      </c>
      <c r="F21" s="143">
        <f>+'SL Proposed Y3 Tariff'!D37</f>
        <v>0.25</v>
      </c>
    </row>
    <row r="22" spans="1:6" x14ac:dyDescent="0.2">
      <c r="A22" s="143"/>
      <c r="B22" s="143"/>
      <c r="C22" s="143"/>
      <c r="D22" s="143"/>
      <c r="E22" s="143"/>
      <c r="F22" s="143"/>
    </row>
    <row r="23" spans="1:6" x14ac:dyDescent="0.2">
      <c r="A23" s="143" t="s">
        <v>88</v>
      </c>
      <c r="B23" s="143"/>
      <c r="C23" s="153">
        <v>0.8</v>
      </c>
      <c r="D23" s="153">
        <v>0.70789999999999997</v>
      </c>
      <c r="E23" s="153">
        <v>0.75390000000000001</v>
      </c>
      <c r="F23" s="153">
        <v>0.8</v>
      </c>
    </row>
    <row r="24" spans="1:6" x14ac:dyDescent="0.2">
      <c r="A24" s="143" t="s">
        <v>86</v>
      </c>
      <c r="B24" s="143"/>
      <c r="C24" s="145">
        <f>+'SL status quo'!H43</f>
        <v>71.968871581548967</v>
      </c>
      <c r="D24" s="145">
        <f>+'SL rate mitigation'!H43</f>
        <v>64.680276385125381</v>
      </c>
      <c r="E24" s="145">
        <f>+'SL rate mitigation'!S43</f>
        <v>66.648303600223429</v>
      </c>
      <c r="F24" s="145">
        <f>+'SL rate mitigation'!AD43</f>
        <v>68.626757475176433</v>
      </c>
    </row>
    <row r="25" spans="1:6" x14ac:dyDescent="0.2">
      <c r="A25" s="147" t="s">
        <v>87</v>
      </c>
      <c r="B25" s="147"/>
      <c r="C25" s="150">
        <f>+'SL status quo'!J43</f>
        <v>0.23986216019042456</v>
      </c>
      <c r="D25" s="150">
        <f>+'SL rate mitigation'!J43</f>
        <v>0.11429602046359127</v>
      </c>
      <c r="E25" s="150">
        <f>+'SL rate mitigation'!U43</f>
        <v>3.0427006888156052E-2</v>
      </c>
      <c r="F25" s="150">
        <f>+'SL rate mitigation'!AF43</f>
        <v>2.9725456556820462E-2</v>
      </c>
    </row>
    <row r="26" spans="1:6" x14ac:dyDescent="0.2">
      <c r="A26" s="143" t="s">
        <v>90</v>
      </c>
      <c r="B26" s="143"/>
      <c r="C26" s="145">
        <v>0</v>
      </c>
      <c r="D26" s="145">
        <v>1721</v>
      </c>
      <c r="E26" s="145">
        <v>862</v>
      </c>
      <c r="F26" s="145">
        <v>0</v>
      </c>
    </row>
    <row r="29" spans="1:6" x14ac:dyDescent="0.2">
      <c r="A29" s="141" t="s">
        <v>92</v>
      </c>
    </row>
    <row r="31" spans="1:6" ht="15.75" x14ac:dyDescent="0.25">
      <c r="A31" s="154" t="s">
        <v>102</v>
      </c>
    </row>
    <row r="32" spans="1:6" x14ac:dyDescent="0.2">
      <c r="A32" s="141" t="s">
        <v>93</v>
      </c>
    </row>
    <row r="33" spans="1:4" x14ac:dyDescent="0.2">
      <c r="A33" s="141" t="s">
        <v>94</v>
      </c>
      <c r="C33" s="152">
        <v>0.67010000000000003</v>
      </c>
    </row>
    <row r="34" spans="1:4" x14ac:dyDescent="0.2">
      <c r="A34" s="141" t="s">
        <v>95</v>
      </c>
      <c r="C34" s="152">
        <v>0.8</v>
      </c>
    </row>
    <row r="35" spans="1:4" x14ac:dyDescent="0.2">
      <c r="A35" s="141" t="s">
        <v>96</v>
      </c>
      <c r="C35" s="152">
        <f>+C34-C33</f>
        <v>0.12990000000000002</v>
      </c>
    </row>
    <row r="36" spans="1:4" x14ac:dyDescent="0.2">
      <c r="A36" s="141" t="s">
        <v>97</v>
      </c>
      <c r="C36" s="152">
        <f>+C35/3</f>
        <v>4.3300000000000005E-2</v>
      </c>
    </row>
    <row r="37" spans="1:4" x14ac:dyDescent="0.2">
      <c r="A37" s="141" t="s">
        <v>98</v>
      </c>
    </row>
    <row r="38" spans="1:4" x14ac:dyDescent="0.2">
      <c r="A38" s="141" t="s">
        <v>99</v>
      </c>
      <c r="C38" s="151">
        <f>+C36</f>
        <v>4.3300000000000005E-2</v>
      </c>
      <c r="D38" s="151">
        <f>+C33+C38</f>
        <v>0.71340000000000003</v>
      </c>
    </row>
    <row r="39" spans="1:4" x14ac:dyDescent="0.2">
      <c r="A39" s="141" t="s">
        <v>100</v>
      </c>
      <c r="D39" s="151">
        <f>+D38+C38</f>
        <v>0.75670000000000004</v>
      </c>
    </row>
    <row r="40" spans="1:4" x14ac:dyDescent="0.2">
      <c r="A40" s="141" t="s">
        <v>101</v>
      </c>
      <c r="D40" s="151">
        <f>+D39+C38</f>
        <v>0.8</v>
      </c>
    </row>
    <row r="41" spans="1:4" x14ac:dyDescent="0.2">
      <c r="D41" s="151"/>
    </row>
    <row r="42" spans="1:4" ht="15.75" x14ac:dyDescent="0.25">
      <c r="A42" s="154" t="s">
        <v>103</v>
      </c>
    </row>
    <row r="43" spans="1:4" x14ac:dyDescent="0.2">
      <c r="A43" s="141" t="s">
        <v>105</v>
      </c>
      <c r="C43" s="155">
        <v>7.6074999999999999</v>
      </c>
    </row>
    <row r="44" spans="1:4" x14ac:dyDescent="0.2">
      <c r="A44" s="141" t="s">
        <v>104</v>
      </c>
      <c r="C44" s="160">
        <f>+C43/3</f>
        <v>2.5358333333333332</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F267-BF87-4BAB-B83A-2FFBF8C976B8}">
  <dimension ref="A1:J44"/>
  <sheetViews>
    <sheetView topLeftCell="A51" workbookViewId="0">
      <selection activeCell="A46" sqref="A46"/>
    </sheetView>
  </sheetViews>
  <sheetFormatPr defaultRowHeight="15" x14ac:dyDescent="0.25"/>
  <cols>
    <col min="1" max="1" width="72.140625" customWidth="1"/>
    <col min="3" max="10" width="12.7109375" customWidth="1"/>
  </cols>
  <sheetData>
    <row r="1" spans="1:10" x14ac:dyDescent="0.25">
      <c r="A1" s="3" t="s">
        <v>0</v>
      </c>
      <c r="B1" s="168" t="s">
        <v>55</v>
      </c>
      <c r="C1" s="168"/>
      <c r="D1" s="168"/>
      <c r="E1" s="168"/>
      <c r="F1" s="168"/>
      <c r="G1" s="168"/>
      <c r="H1" s="4"/>
      <c r="I1" s="4"/>
      <c r="J1" s="4"/>
    </row>
    <row r="2" spans="1:10" x14ac:dyDescent="0.25">
      <c r="A2" s="3" t="s">
        <v>1</v>
      </c>
      <c r="B2" s="169" t="s">
        <v>49</v>
      </c>
      <c r="C2" s="169"/>
      <c r="D2" s="169"/>
      <c r="E2" s="5"/>
      <c r="F2" s="5"/>
      <c r="G2" s="4"/>
      <c r="H2" s="4"/>
      <c r="I2" s="4"/>
      <c r="J2" s="4"/>
    </row>
    <row r="3" spans="1:10" ht="15.75" x14ac:dyDescent="0.25">
      <c r="A3" s="3" t="s">
        <v>2</v>
      </c>
      <c r="B3" s="6">
        <v>244.4680637254904</v>
      </c>
      <c r="C3" s="7" t="s">
        <v>3</v>
      </c>
      <c r="D3" s="4"/>
      <c r="E3" s="4"/>
      <c r="F3" s="4"/>
      <c r="G3" s="8"/>
      <c r="H3" s="8"/>
      <c r="I3" s="8"/>
      <c r="J3" s="8"/>
    </row>
    <row r="4" spans="1:10" ht="15.75" x14ac:dyDescent="0.25">
      <c r="A4" s="3" t="s">
        <v>4</v>
      </c>
      <c r="B4" s="6">
        <v>0.68186274509803846</v>
      </c>
      <c r="C4" s="9" t="s">
        <v>5</v>
      </c>
      <c r="D4" s="10"/>
      <c r="E4" s="11"/>
      <c r="F4" s="11"/>
      <c r="G4" s="11"/>
      <c r="H4" s="4"/>
      <c r="I4" s="4"/>
      <c r="J4" s="4"/>
    </row>
    <row r="5" spans="1:10" x14ac:dyDescent="0.25">
      <c r="A5" s="3" t="s">
        <v>6</v>
      </c>
      <c r="B5" s="12">
        <v>1.0481</v>
      </c>
      <c r="C5" s="4"/>
      <c r="D5" s="4"/>
      <c r="E5" s="4"/>
      <c r="F5" s="4"/>
      <c r="G5" s="4"/>
      <c r="H5" s="4"/>
      <c r="I5" s="4"/>
      <c r="J5" s="4"/>
    </row>
    <row r="6" spans="1:10" x14ac:dyDescent="0.25">
      <c r="A6" s="3" t="s">
        <v>7</v>
      </c>
      <c r="B6" s="12">
        <v>1.0490999999999999</v>
      </c>
      <c r="C6" s="4"/>
      <c r="D6" s="4"/>
      <c r="E6" s="4"/>
      <c r="F6" s="4"/>
      <c r="G6" s="4"/>
      <c r="H6" s="4"/>
      <c r="I6" s="4"/>
      <c r="J6" s="4"/>
    </row>
    <row r="7" spans="1:10" x14ac:dyDescent="0.25">
      <c r="A7" s="4"/>
      <c r="B7" s="4"/>
      <c r="C7" s="4"/>
      <c r="D7" s="4"/>
      <c r="E7" s="4"/>
      <c r="F7" s="4"/>
      <c r="G7" s="4"/>
      <c r="H7" s="4"/>
      <c r="I7" s="4"/>
      <c r="J7" s="4"/>
    </row>
    <row r="8" spans="1:10" x14ac:dyDescent="0.25">
      <c r="A8" s="2"/>
      <c r="B8" s="1"/>
      <c r="C8" s="170" t="s">
        <v>8</v>
      </c>
      <c r="D8" s="171"/>
      <c r="E8" s="172"/>
      <c r="F8" s="170" t="s">
        <v>51</v>
      </c>
      <c r="G8" s="171"/>
      <c r="H8" s="172"/>
      <c r="I8" s="170" t="s">
        <v>9</v>
      </c>
      <c r="J8" s="172"/>
    </row>
    <row r="9" spans="1:10" x14ac:dyDescent="0.25">
      <c r="A9" s="2"/>
      <c r="B9" s="161"/>
      <c r="C9" s="13" t="s">
        <v>10</v>
      </c>
      <c r="D9" s="13" t="s">
        <v>11</v>
      </c>
      <c r="E9" s="14" t="s">
        <v>12</v>
      </c>
      <c r="F9" s="13" t="s">
        <v>10</v>
      </c>
      <c r="G9" s="15" t="s">
        <v>11</v>
      </c>
      <c r="H9" s="14" t="s">
        <v>12</v>
      </c>
      <c r="I9" s="163" t="s">
        <v>13</v>
      </c>
      <c r="J9" s="165" t="s">
        <v>14</v>
      </c>
    </row>
    <row r="10" spans="1:10" x14ac:dyDescent="0.25">
      <c r="A10" s="2"/>
      <c r="B10" s="162"/>
      <c r="C10" s="16" t="s">
        <v>15</v>
      </c>
      <c r="D10" s="16"/>
      <c r="E10" s="17" t="s">
        <v>15</v>
      </c>
      <c r="F10" s="16" t="s">
        <v>15</v>
      </c>
      <c r="G10" s="17"/>
      <c r="H10" s="17" t="s">
        <v>15</v>
      </c>
      <c r="I10" s="164"/>
      <c r="J10" s="166"/>
    </row>
    <row r="11" spans="1:10" x14ac:dyDescent="0.25">
      <c r="A11" s="18" t="s">
        <v>16</v>
      </c>
      <c r="B11" s="19"/>
      <c r="C11" s="20">
        <v>3.65</v>
      </c>
      <c r="D11" s="21">
        <v>4.617647058823529</v>
      </c>
      <c r="E11" s="22">
        <f>D11*C11</f>
        <v>16.85441176470588</v>
      </c>
      <c r="F11" s="87">
        <f>+'SL Status Quo Tariff'!D22</f>
        <v>4.8899999999999997</v>
      </c>
      <c r="G11" s="107">
        <v>4.617647058823529</v>
      </c>
      <c r="H11" s="24">
        <f>G11*F11</f>
        <v>22.580294117647057</v>
      </c>
      <c r="I11" s="25">
        <f t="shared" ref="I11:I32" si="0">H11-E11</f>
        <v>5.7258823529411771</v>
      </c>
      <c r="J11" s="26">
        <f>IF(ISERROR(I11/E11), "", I11/E11)</f>
        <v>0.33972602739726038</v>
      </c>
    </row>
    <row r="12" spans="1:10" x14ac:dyDescent="0.25">
      <c r="A12" s="18" t="s">
        <v>17</v>
      </c>
      <c r="B12" s="19"/>
      <c r="C12" s="27">
        <v>14.2889</v>
      </c>
      <c r="D12" s="21">
        <v>0.68186274509803846</v>
      </c>
      <c r="E12" s="22">
        <f t="shared" ref="E12:E24" si="1">D12*C12</f>
        <v>9.7430685784313624</v>
      </c>
      <c r="F12" s="88">
        <f>+'SL Status Quo Tariff'!D23</f>
        <v>19.154119567784168</v>
      </c>
      <c r="G12" s="107">
        <v>0.68186274509803846</v>
      </c>
      <c r="H12" s="24">
        <f>G12*F12</f>
        <v>13.060480548425367</v>
      </c>
      <c r="I12" s="25">
        <f t="shared" si="0"/>
        <v>3.317411969994005</v>
      </c>
      <c r="J12" s="26">
        <f t="shared" ref="J12:J22" si="2">IF(ISERROR(I12/E12), "", I12/E12)</f>
        <v>0.34048944059963804</v>
      </c>
    </row>
    <row r="13" spans="1:10" x14ac:dyDescent="0.25">
      <c r="A13" s="18" t="s">
        <v>18</v>
      </c>
      <c r="B13" s="19"/>
      <c r="C13" s="20"/>
      <c r="D13" s="21">
        <v>4.617647058823529</v>
      </c>
      <c r="E13" s="22">
        <v>0</v>
      </c>
      <c r="F13" s="88"/>
      <c r="G13" s="107">
        <v>0.68186274509803846</v>
      </c>
      <c r="H13" s="24">
        <v>0</v>
      </c>
      <c r="I13" s="25"/>
      <c r="J13" s="26"/>
    </row>
    <row r="14" spans="1:10" x14ac:dyDescent="0.25">
      <c r="A14" s="18" t="s">
        <v>19</v>
      </c>
      <c r="B14" s="19"/>
      <c r="C14" s="20"/>
      <c r="D14" s="21">
        <v>0.68186274509803846</v>
      </c>
      <c r="E14" s="22">
        <v>0</v>
      </c>
      <c r="F14" s="88"/>
      <c r="G14" s="108">
        <v>0.68186274509803846</v>
      </c>
      <c r="H14" s="24">
        <v>0</v>
      </c>
      <c r="I14" s="25">
        <f>H14-E14</f>
        <v>0</v>
      </c>
      <c r="J14" s="26" t="str">
        <f>IF(ISERROR(I14/E14), "", I14/E14)</f>
        <v/>
      </c>
    </row>
    <row r="15" spans="1:10" x14ac:dyDescent="0.25">
      <c r="A15" s="18" t="s">
        <v>20</v>
      </c>
      <c r="B15" s="19"/>
      <c r="C15" s="20">
        <v>0</v>
      </c>
      <c r="D15" s="21">
        <v>1</v>
      </c>
      <c r="E15" s="22">
        <f t="shared" si="1"/>
        <v>0</v>
      </c>
      <c r="F15" s="87">
        <v>0</v>
      </c>
      <c r="G15" s="107">
        <v>1</v>
      </c>
      <c r="H15" s="24">
        <f t="shared" ref="H15:H22" si="3">G15*F15</f>
        <v>0</v>
      </c>
      <c r="I15" s="25">
        <f t="shared" si="0"/>
        <v>0</v>
      </c>
      <c r="J15" s="26" t="str">
        <f t="shared" si="2"/>
        <v/>
      </c>
    </row>
    <row r="16" spans="1:10" x14ac:dyDescent="0.25">
      <c r="A16" s="18" t="s">
        <v>21</v>
      </c>
      <c r="B16" s="19"/>
      <c r="C16" s="27">
        <v>0.13339999999999999</v>
      </c>
      <c r="D16" s="21">
        <v>0.68186274509803846</v>
      </c>
      <c r="E16" s="22">
        <f t="shared" si="1"/>
        <v>9.0960490196078325E-2</v>
      </c>
      <c r="F16" s="88">
        <f>+'SL Status Quo Tariff'!D27+'SL Status Quo Tariff'!D28</f>
        <v>7.7826000000000004</v>
      </c>
      <c r="G16" s="107">
        <v>0.68186274509803846</v>
      </c>
      <c r="H16" s="24">
        <f t="shared" si="3"/>
        <v>5.3066649999999944</v>
      </c>
      <c r="I16" s="25">
        <f t="shared" si="0"/>
        <v>5.2157045098039161</v>
      </c>
      <c r="J16" s="26">
        <f t="shared" si="2"/>
        <v>57.340329835082464</v>
      </c>
    </row>
    <row r="17" spans="1:10" x14ac:dyDescent="0.25">
      <c r="A17" s="29" t="s">
        <v>22</v>
      </c>
      <c r="B17" s="30"/>
      <c r="C17" s="31"/>
      <c r="D17" s="32"/>
      <c r="E17" s="33">
        <f>SUM(E11:E16)</f>
        <v>26.688440833333321</v>
      </c>
      <c r="F17" s="89"/>
      <c r="G17" s="109"/>
      <c r="H17" s="35">
        <f>SUM(H11:H16)</f>
        <v>40.94743966607242</v>
      </c>
      <c r="I17" s="36">
        <f t="shared" si="0"/>
        <v>14.258998832739099</v>
      </c>
      <c r="J17" s="37">
        <f>IF((E17)=0,"",(I17/E17))</f>
        <v>0.53427620301182599</v>
      </c>
    </row>
    <row r="18" spans="1:10" x14ac:dyDescent="0.25">
      <c r="A18" s="38" t="s">
        <v>23</v>
      </c>
      <c r="B18" s="19"/>
      <c r="C18" s="39">
        <v>0.11135</v>
      </c>
      <c r="D18" s="40">
        <v>11.758913865196092</v>
      </c>
      <c r="E18" s="22">
        <f>D18*C18</f>
        <v>1.309355058889585</v>
      </c>
      <c r="F18" s="88">
        <v>0.11135</v>
      </c>
      <c r="G18" s="110">
        <v>12.003381928921584</v>
      </c>
      <c r="H18" s="24">
        <f>G18*F18</f>
        <v>1.3365765777854184</v>
      </c>
      <c r="I18" s="25">
        <f>H18-E18</f>
        <v>2.7221518895833352E-2</v>
      </c>
      <c r="J18" s="26">
        <f>IF(ISERROR(I18/E18), "", I18/E18)</f>
        <v>2.0790020790020777E-2</v>
      </c>
    </row>
    <row r="19" spans="1:10" x14ac:dyDescent="0.25">
      <c r="A19" s="38" t="s">
        <v>24</v>
      </c>
      <c r="B19" s="19"/>
      <c r="C19" s="39">
        <v>1.7856000000000001</v>
      </c>
      <c r="D19" s="41">
        <v>0.68186274509803846</v>
      </c>
      <c r="E19" s="22">
        <f t="shared" ref="E19:E22" si="4">D19*C19</f>
        <v>1.2175341176470575</v>
      </c>
      <c r="F19" s="88">
        <f>+'SL Status Quo Tariff'!D25</f>
        <v>2.2957999999999998</v>
      </c>
      <c r="G19" s="110">
        <v>0.68186274509803846</v>
      </c>
      <c r="H19" s="24">
        <f t="shared" si="3"/>
        <v>1.5654204901960767</v>
      </c>
      <c r="I19" s="25">
        <f t="shared" ref="I19:I23" si="5">H19-E19</f>
        <v>0.34788637254901911</v>
      </c>
      <c r="J19" s="26">
        <f t="shared" si="2"/>
        <v>0.28573028673835116</v>
      </c>
    </row>
    <row r="20" spans="1:10" x14ac:dyDescent="0.25">
      <c r="A20" s="38" t="s">
        <v>25</v>
      </c>
      <c r="B20" s="19"/>
      <c r="C20" s="39">
        <v>-4.2599999999999999E-2</v>
      </c>
      <c r="D20" s="41">
        <v>0.68186274509803846</v>
      </c>
      <c r="E20" s="22">
        <f>D20*C20</f>
        <v>-2.9047352941176437E-2</v>
      </c>
      <c r="F20" s="88">
        <f>+'SL Status Quo Tariff'!D26</f>
        <v>-4.4699999999999997E-2</v>
      </c>
      <c r="G20" s="110">
        <v>0.68186274509803846</v>
      </c>
      <c r="H20" s="24">
        <f>G20*F20</f>
        <v>-3.0479264705882317E-2</v>
      </c>
      <c r="I20" s="25">
        <f t="shared" si="5"/>
        <v>-1.4319117647058795E-3</v>
      </c>
      <c r="J20" s="26">
        <f t="shared" si="2"/>
        <v>4.9295774647887279E-2</v>
      </c>
    </row>
    <row r="21" spans="1:10" x14ac:dyDescent="0.25">
      <c r="A21" s="38" t="s">
        <v>26</v>
      </c>
      <c r="B21" s="19"/>
      <c r="C21" s="39">
        <v>0</v>
      </c>
      <c r="D21" s="41">
        <v>244.4680637254904</v>
      </c>
      <c r="E21" s="22">
        <f>D21*C21</f>
        <v>0</v>
      </c>
      <c r="F21" s="88">
        <v>0</v>
      </c>
      <c r="G21" s="110">
        <v>244.4680637254904</v>
      </c>
      <c r="H21" s="24">
        <f t="shared" si="3"/>
        <v>0</v>
      </c>
      <c r="I21" s="25">
        <f t="shared" si="5"/>
        <v>0</v>
      </c>
      <c r="J21" s="26" t="str">
        <f t="shared" si="2"/>
        <v/>
      </c>
    </row>
    <row r="22" spans="1:10" x14ac:dyDescent="0.25">
      <c r="A22" s="18" t="s">
        <v>27</v>
      </c>
      <c r="B22" s="19"/>
      <c r="C22" s="39">
        <v>1.0048999999999999</v>
      </c>
      <c r="D22" s="41">
        <v>0.68186274509803846</v>
      </c>
      <c r="E22" s="22">
        <f t="shared" si="4"/>
        <v>0.68520387254901882</v>
      </c>
      <c r="F22" s="90">
        <f>+'SL Status Quo Tariff'!D24</f>
        <v>1.006</v>
      </c>
      <c r="G22" s="110">
        <v>0.68186274509803846</v>
      </c>
      <c r="H22" s="24">
        <f t="shared" si="3"/>
        <v>0.68595392156862667</v>
      </c>
      <c r="I22" s="25">
        <f t="shared" si="5"/>
        <v>7.5004901960784576E-4</v>
      </c>
      <c r="J22" s="26">
        <f t="shared" si="2"/>
        <v>1.0946362822171411E-3</v>
      </c>
    </row>
    <row r="23" spans="1:10" x14ac:dyDescent="0.25">
      <c r="A23" s="38" t="s">
        <v>28</v>
      </c>
      <c r="B23" s="19"/>
      <c r="C23" s="20">
        <f>IF(OR(ISNUMBER(SEARCH("RESIDENTIAL", B1))=TRUE, ISNUMBER(SEARCH("GENERAL SERVICE LESS THAN 50", B1))=TRUE), SME, 0)</f>
        <v>0</v>
      </c>
      <c r="D23" s="21">
        <v>1</v>
      </c>
      <c r="E23" s="22">
        <f>D23*C23</f>
        <v>0</v>
      </c>
      <c r="F23" s="87">
        <v>0</v>
      </c>
      <c r="G23" s="108">
        <v>1</v>
      </c>
      <c r="H23" s="24">
        <f>G23*F23</f>
        <v>0</v>
      </c>
      <c r="I23" s="25">
        <f t="shared" si="5"/>
        <v>0</v>
      </c>
      <c r="J23" s="26" t="str">
        <f>IF(ISERROR(I23/E23), "", I23/E23)</f>
        <v/>
      </c>
    </row>
    <row r="24" spans="1:10" x14ac:dyDescent="0.25">
      <c r="A24" s="18" t="s">
        <v>29</v>
      </c>
      <c r="B24" s="19"/>
      <c r="C24" s="20">
        <v>0</v>
      </c>
      <c r="D24" s="21">
        <v>1</v>
      </c>
      <c r="E24" s="22">
        <f t="shared" si="1"/>
        <v>0</v>
      </c>
      <c r="F24" s="87">
        <v>0</v>
      </c>
      <c r="G24" s="108">
        <v>1</v>
      </c>
      <c r="H24" s="24">
        <f>G24*F24</f>
        <v>0</v>
      </c>
      <c r="I24" s="25">
        <f>H24-E24</f>
        <v>0</v>
      </c>
      <c r="J24" s="26" t="str">
        <f>IF(ISERROR(I24/E24), "", I24/E24)</f>
        <v/>
      </c>
    </row>
    <row r="25" spans="1:10" x14ac:dyDescent="0.25">
      <c r="A25" s="18" t="s">
        <v>30</v>
      </c>
      <c r="B25" s="19"/>
      <c r="C25" s="39"/>
      <c r="D25" s="41">
        <v>0.68186274509803846</v>
      </c>
      <c r="E25" s="22">
        <f>D25*C25</f>
        <v>0</v>
      </c>
      <c r="F25" s="88">
        <v>0</v>
      </c>
      <c r="G25" s="110">
        <v>0.68186274509803846</v>
      </c>
      <c r="H25" s="24">
        <f>G25*F25</f>
        <v>0</v>
      </c>
      <c r="I25" s="25">
        <f t="shared" si="0"/>
        <v>0</v>
      </c>
      <c r="J25" s="26" t="str">
        <f>IF(ISERROR(I25/E25), "", I25/E25)</f>
        <v/>
      </c>
    </row>
    <row r="26" spans="1:10" x14ac:dyDescent="0.25">
      <c r="A26" s="43" t="s">
        <v>31</v>
      </c>
      <c r="B26" s="44"/>
      <c r="C26" s="45"/>
      <c r="D26" s="46"/>
      <c r="E26" s="47">
        <f>SUM(E17:E25)</f>
        <v>29.871486529477806</v>
      </c>
      <c r="F26" s="91"/>
      <c r="G26" s="109"/>
      <c r="H26" s="49">
        <f>SUM(H17:H25)</f>
        <v>44.504911390916654</v>
      </c>
      <c r="I26" s="36">
        <f t="shared" si="0"/>
        <v>14.633424861438847</v>
      </c>
      <c r="J26" s="37">
        <f>IF((E26)=0,"",(I26/E26))</f>
        <v>0.48987936529366483</v>
      </c>
    </row>
    <row r="27" spans="1:10" x14ac:dyDescent="0.25">
      <c r="A27" s="50" t="s">
        <v>32</v>
      </c>
      <c r="B27" s="19"/>
      <c r="C27" s="51">
        <v>2.7673000000000001</v>
      </c>
      <c r="D27" s="40">
        <v>0.68186274509803846</v>
      </c>
      <c r="E27" s="22">
        <f>D27*C27</f>
        <v>1.8869187745098019</v>
      </c>
      <c r="F27" s="90">
        <f>+'SL Status Quo Tariff'!D29</f>
        <v>2.8637999999999999</v>
      </c>
      <c r="G27" s="110">
        <v>0.68186274509803846</v>
      </c>
      <c r="H27" s="24">
        <f>G27*F27</f>
        <v>1.9527185294117624</v>
      </c>
      <c r="I27" s="25">
        <f t="shared" si="0"/>
        <v>6.5799754901960439E-2</v>
      </c>
      <c r="J27" s="26">
        <f>IF(ISERROR(I27/E27), "", I27/E27)</f>
        <v>3.4871535431648032E-2</v>
      </c>
    </row>
    <row r="28" spans="1:10" x14ac:dyDescent="0.25">
      <c r="A28" s="52" t="s">
        <v>33</v>
      </c>
      <c r="B28" s="19"/>
      <c r="C28" s="51">
        <v>1.7701</v>
      </c>
      <c r="D28" s="40">
        <v>0.68186274509803846</v>
      </c>
      <c r="E28" s="22">
        <f>D28*C28</f>
        <v>1.2069652450980379</v>
      </c>
      <c r="F28" s="90">
        <f>+'SL Status Quo Tariff'!D30</f>
        <v>2.0024999999999999</v>
      </c>
      <c r="G28" s="110">
        <v>0.68186274509803846</v>
      </c>
      <c r="H28" s="24">
        <f>G28*F28</f>
        <v>1.3654301470588219</v>
      </c>
      <c r="I28" s="25">
        <f t="shared" si="0"/>
        <v>0.158464901960784</v>
      </c>
      <c r="J28" s="26">
        <f>IF(ISERROR(I28/E28), "", I28/E28)</f>
        <v>0.13129201740014676</v>
      </c>
    </row>
    <row r="29" spans="1:10" x14ac:dyDescent="0.25">
      <c r="A29" s="43" t="s">
        <v>34</v>
      </c>
      <c r="B29" s="30"/>
      <c r="C29" s="45"/>
      <c r="D29" s="46"/>
      <c r="E29" s="47">
        <f>SUM(E26:E28)</f>
        <v>32.965370549085648</v>
      </c>
      <c r="F29" s="91"/>
      <c r="G29" s="109"/>
      <c r="H29" s="49">
        <f>SUM(H26:H28)</f>
        <v>47.823060067387239</v>
      </c>
      <c r="I29" s="36">
        <f t="shared" si="0"/>
        <v>14.857689518301591</v>
      </c>
      <c r="J29" s="37">
        <f>IF((E29)=0,"",(I29/E29))</f>
        <v>0.45070597632683657</v>
      </c>
    </row>
    <row r="30" spans="1:10" x14ac:dyDescent="0.25">
      <c r="A30" s="38" t="s">
        <v>35</v>
      </c>
      <c r="B30" s="19"/>
      <c r="C30" s="53">
        <v>4.5000000000000005E-3</v>
      </c>
      <c r="D30" s="40">
        <v>256.22697759068649</v>
      </c>
      <c r="E30" s="54">
        <f t="shared" ref="E30:E36" si="6">D30*C30</f>
        <v>1.1530213991580893</v>
      </c>
      <c r="F30" s="88">
        <f>+'SL Status Quo Tariff'!D34+'SL Status Quo Tariff'!D35</f>
        <v>4.5000000000000005E-3</v>
      </c>
      <c r="G30" s="110">
        <v>256.47144565441198</v>
      </c>
      <c r="H30" s="24">
        <f t="shared" ref="H30:H36" si="7">G30*F30</f>
        <v>1.1541215054448541</v>
      </c>
      <c r="I30" s="25">
        <f t="shared" si="0"/>
        <v>1.1001062867648237E-3</v>
      </c>
      <c r="J30" s="26">
        <f t="shared" ref="J30:J38" si="8">IF(ISERROR(I30/E30), "", I30/E30)</f>
        <v>9.5410743249700039E-4</v>
      </c>
    </row>
    <row r="31" spans="1:10" x14ac:dyDescent="0.25">
      <c r="A31" s="38" t="s">
        <v>36</v>
      </c>
      <c r="B31" s="19"/>
      <c r="C31" s="53">
        <v>1.4E-3</v>
      </c>
      <c r="D31" s="40">
        <v>256.22697759068649</v>
      </c>
      <c r="E31" s="54">
        <f t="shared" si="6"/>
        <v>0.35871776862696109</v>
      </c>
      <c r="F31" s="88">
        <v>1.4E-3</v>
      </c>
      <c r="G31" s="110">
        <v>256.47144565441198</v>
      </c>
      <c r="H31" s="24">
        <f t="shared" si="7"/>
        <v>0.35906002391617675</v>
      </c>
      <c r="I31" s="25">
        <f t="shared" si="0"/>
        <v>3.4225528921566495E-4</v>
      </c>
      <c r="J31" s="26">
        <f t="shared" si="8"/>
        <v>9.5410743249683884E-4</v>
      </c>
    </row>
    <row r="32" spans="1:10" x14ac:dyDescent="0.25">
      <c r="A32" s="18" t="s">
        <v>37</v>
      </c>
      <c r="B32" s="19"/>
      <c r="C32" s="55">
        <v>0.25</v>
      </c>
      <c r="D32" s="21">
        <v>1</v>
      </c>
      <c r="E32" s="54">
        <f t="shared" si="6"/>
        <v>0.25</v>
      </c>
      <c r="F32" s="87">
        <v>0.25</v>
      </c>
      <c r="G32" s="107">
        <v>1</v>
      </c>
      <c r="H32" s="24">
        <f t="shared" si="7"/>
        <v>0.25</v>
      </c>
      <c r="I32" s="25">
        <f t="shared" si="0"/>
        <v>0</v>
      </c>
      <c r="J32" s="26">
        <f t="shared" si="8"/>
        <v>0</v>
      </c>
    </row>
    <row r="33" spans="1:10" ht="25.5" x14ac:dyDescent="0.25">
      <c r="A33" s="38" t="s">
        <v>38</v>
      </c>
      <c r="B33" s="19"/>
      <c r="C33" s="51"/>
      <c r="D33" s="40"/>
      <c r="E33" s="54"/>
      <c r="F33" s="90"/>
      <c r="G33" s="110"/>
      <c r="H33" s="24"/>
      <c r="I33" s="25"/>
      <c r="J33" s="26"/>
    </row>
    <row r="34" spans="1:10" x14ac:dyDescent="0.25">
      <c r="A34" s="18" t="s">
        <v>39</v>
      </c>
      <c r="B34" s="19"/>
      <c r="C34" s="53">
        <f>OffPeak</f>
        <v>8.6999999999999994E-2</v>
      </c>
      <c r="D34" s="56">
        <v>154.01488014705896</v>
      </c>
      <c r="E34" s="54">
        <f t="shared" si="6"/>
        <v>13.399294572794128</v>
      </c>
      <c r="F34" s="88">
        <v>8.6999999999999994E-2</v>
      </c>
      <c r="G34" s="110">
        <v>154.01488014705896</v>
      </c>
      <c r="H34" s="24">
        <f t="shared" si="7"/>
        <v>13.399294572794128</v>
      </c>
      <c r="I34" s="25">
        <f>H34-E34</f>
        <v>0</v>
      </c>
      <c r="J34" s="26">
        <f t="shared" si="8"/>
        <v>0</v>
      </c>
    </row>
    <row r="35" spans="1:10" x14ac:dyDescent="0.25">
      <c r="A35" s="18" t="s">
        <v>40</v>
      </c>
      <c r="B35" s="19"/>
      <c r="C35" s="53">
        <f>MidPeak</f>
        <v>0.122</v>
      </c>
      <c r="D35" s="56">
        <v>44.004251470588272</v>
      </c>
      <c r="E35" s="54">
        <f t="shared" si="6"/>
        <v>5.3685186794117694</v>
      </c>
      <c r="F35" s="88">
        <v>0.122</v>
      </c>
      <c r="G35" s="110">
        <v>44.004251470588272</v>
      </c>
      <c r="H35" s="24">
        <f t="shared" si="7"/>
        <v>5.3685186794117694</v>
      </c>
      <c r="I35" s="25">
        <f>H35-E35</f>
        <v>0</v>
      </c>
      <c r="J35" s="26">
        <f t="shared" si="8"/>
        <v>0</v>
      </c>
    </row>
    <row r="36" spans="1:10" x14ac:dyDescent="0.25">
      <c r="A36" s="2" t="s">
        <v>41</v>
      </c>
      <c r="B36" s="19"/>
      <c r="C36" s="53">
        <f>OnPeak</f>
        <v>0.182</v>
      </c>
      <c r="D36" s="56">
        <v>46.448932107843177</v>
      </c>
      <c r="E36" s="54">
        <f t="shared" si="6"/>
        <v>8.4537056436274582</v>
      </c>
      <c r="F36" s="88">
        <v>0.182</v>
      </c>
      <c r="G36" s="110">
        <v>46.448932107843177</v>
      </c>
      <c r="H36" s="24">
        <f t="shared" si="7"/>
        <v>8.4537056436274582</v>
      </c>
      <c r="I36" s="25">
        <f>H36-E36</f>
        <v>0</v>
      </c>
      <c r="J36" s="26">
        <f t="shared" si="8"/>
        <v>0</v>
      </c>
    </row>
    <row r="37" spans="1:10" x14ac:dyDescent="0.25">
      <c r="A37" s="18" t="s">
        <v>42</v>
      </c>
      <c r="B37" s="19"/>
      <c r="C37" s="58">
        <v>9.9500000000000005E-2</v>
      </c>
      <c r="D37" s="56">
        <v>244.4680637254904</v>
      </c>
      <c r="E37" s="54">
        <f>D37*C37</f>
        <v>24.324572340686295</v>
      </c>
      <c r="F37" s="92">
        <v>9.9500000000000005E-2</v>
      </c>
      <c r="G37" s="110">
        <v>244.4680637254904</v>
      </c>
      <c r="H37" s="24">
        <f>G37*F37</f>
        <v>24.324572340686295</v>
      </c>
      <c r="I37" s="25">
        <f>H37-E37</f>
        <v>0</v>
      </c>
      <c r="J37" s="26">
        <f t="shared" si="8"/>
        <v>0</v>
      </c>
    </row>
    <row r="38" spans="1:10" ht="15.75" thickBot="1" x14ac:dyDescent="0.3">
      <c r="A38" s="18" t="s">
        <v>43</v>
      </c>
      <c r="B38" s="19"/>
      <c r="C38" s="58">
        <v>9.9500000000000005E-2</v>
      </c>
      <c r="D38" s="56">
        <v>244.4680637254904</v>
      </c>
      <c r="E38" s="54">
        <f>D38*C38</f>
        <v>24.324572340686295</v>
      </c>
      <c r="F38" s="92">
        <v>9.9500000000000005E-2</v>
      </c>
      <c r="G38" s="110">
        <v>244.4680637254904</v>
      </c>
      <c r="H38" s="24">
        <f>G38*F38</f>
        <v>24.324572340686295</v>
      </c>
      <c r="I38" s="25">
        <f>H38-E38</f>
        <v>0</v>
      </c>
      <c r="J38" s="26">
        <f t="shared" si="8"/>
        <v>0</v>
      </c>
    </row>
    <row r="39" spans="1:10" ht="15.75" thickBot="1" x14ac:dyDescent="0.3">
      <c r="A39" s="60"/>
      <c r="B39" s="61"/>
      <c r="C39" s="62"/>
      <c r="D39" s="63"/>
      <c r="E39" s="64"/>
      <c r="F39" s="93"/>
      <c r="G39" s="111"/>
      <c r="H39" s="64"/>
      <c r="I39" s="66"/>
      <c r="J39" s="67"/>
    </row>
    <row r="40" spans="1:10" x14ac:dyDescent="0.25">
      <c r="A40" s="68" t="s">
        <v>44</v>
      </c>
      <c r="B40" s="18"/>
      <c r="C40" s="69"/>
      <c r="D40" s="70"/>
      <c r="E40" s="71">
        <f>SUM(E30:E36,E29)</f>
        <v>61.948628612704056</v>
      </c>
      <c r="F40" s="94"/>
      <c r="G40" s="112"/>
      <c r="H40" s="71">
        <f>SUM(H30:H36,H29)</f>
        <v>76.807760492581622</v>
      </c>
      <c r="I40" s="73">
        <f>H40-E40</f>
        <v>14.859131879877566</v>
      </c>
      <c r="J40" s="74">
        <f>IF((E40)=0,"",(I40/E40))</f>
        <v>0.239862160190425</v>
      </c>
    </row>
    <row r="41" spans="1:10" x14ac:dyDescent="0.25">
      <c r="A41" s="75" t="s">
        <v>45</v>
      </c>
      <c r="B41" s="18"/>
      <c r="C41" s="69">
        <v>0.13</v>
      </c>
      <c r="D41" s="50"/>
      <c r="E41" s="76">
        <f>E40*C41</f>
        <v>8.0533217196515281</v>
      </c>
      <c r="F41" s="95">
        <v>0.13</v>
      </c>
      <c r="G41" s="113"/>
      <c r="H41" s="76">
        <f>H40*F41</f>
        <v>9.9850088640356116</v>
      </c>
      <c r="I41" s="25">
        <f>H41-E41</f>
        <v>1.9316871443840835</v>
      </c>
      <c r="J41" s="78">
        <f>IF((E41)=0,"",(I41/E41))</f>
        <v>0.23986216019042497</v>
      </c>
    </row>
    <row r="42" spans="1:10" x14ac:dyDescent="0.25">
      <c r="A42" s="75" t="s">
        <v>46</v>
      </c>
      <c r="B42" s="18"/>
      <c r="C42" s="79">
        <v>0.193</v>
      </c>
      <c r="D42" s="50"/>
      <c r="E42" s="76">
        <f>-C42*E40</f>
        <v>-11.956085322251884</v>
      </c>
      <c r="F42" s="96">
        <v>0.193</v>
      </c>
      <c r="G42" s="113"/>
      <c r="H42" s="76">
        <f>-F42*H40</f>
        <v>-14.823897775068254</v>
      </c>
      <c r="I42" s="25">
        <f>H42-E42</f>
        <v>-2.86781245281637</v>
      </c>
      <c r="J42" s="78"/>
    </row>
    <row r="43" spans="1:10" ht="15.75" thickBot="1" x14ac:dyDescent="0.3">
      <c r="A43" s="167" t="s">
        <v>47</v>
      </c>
      <c r="B43" s="167"/>
      <c r="C43" s="80"/>
      <c r="D43" s="81"/>
      <c r="E43" s="82">
        <f>E40+E41+E42</f>
        <v>58.045865010103711</v>
      </c>
      <c r="F43" s="83"/>
      <c r="G43" s="83"/>
      <c r="H43" s="84">
        <f>H40+H41+H42</f>
        <v>71.968871581548967</v>
      </c>
      <c r="I43" s="85">
        <f>H43-E43</f>
        <v>13.923006571445256</v>
      </c>
      <c r="J43" s="86">
        <f>IF((E43)=0,"",(I43/E43))</f>
        <v>0.23986216019042456</v>
      </c>
    </row>
    <row r="44" spans="1:10" ht="15.75" thickBot="1" x14ac:dyDescent="0.3">
      <c r="A44" s="60"/>
      <c r="B44" s="61"/>
      <c r="C44" s="62"/>
      <c r="D44" s="63"/>
      <c r="E44" s="64"/>
      <c r="F44" s="62"/>
      <c r="G44" s="65"/>
      <c r="H44" s="64"/>
      <c r="I44" s="66"/>
      <c r="J44" s="67"/>
    </row>
  </sheetData>
  <mergeCells count="9">
    <mergeCell ref="B9:B10"/>
    <mergeCell ref="I9:I10"/>
    <mergeCell ref="J9:J10"/>
    <mergeCell ref="A43:B43"/>
    <mergeCell ref="B1:G1"/>
    <mergeCell ref="B2:D2"/>
    <mergeCell ref="C8:E8"/>
    <mergeCell ref="F8:H8"/>
    <mergeCell ref="I8:J8"/>
  </mergeCells>
  <dataValidations count="1">
    <dataValidation type="list" allowBlank="1" showInputMessage="1" showErrorMessage="1" prompt="Select Charge Unit - monthly, per kWh, per kW" sqref="B44 B39" xr:uid="{F18B2024-88BD-4237-A390-1B2824D86698}">
      <formula1>"Monthly, per kWh, per kW"</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7DFF-1968-4C5A-B7A6-BFB43049A236}">
  <dimension ref="A1:AF44"/>
  <sheetViews>
    <sheetView tabSelected="1" topLeftCell="A15" workbookViewId="0">
      <selection activeCell="F19" sqref="F19"/>
    </sheetView>
  </sheetViews>
  <sheetFormatPr defaultRowHeight="15" x14ac:dyDescent="0.25"/>
  <cols>
    <col min="1" max="1" width="72.140625" customWidth="1"/>
    <col min="3" max="10" width="12.7109375" customWidth="1"/>
    <col min="12" max="12" width="72.140625" customWidth="1"/>
    <col min="14" max="21" width="12.7109375" customWidth="1"/>
    <col min="23" max="23" width="72.140625" customWidth="1"/>
    <col min="25" max="32" width="12.7109375" customWidth="1"/>
  </cols>
  <sheetData>
    <row r="1" spans="1:32" x14ac:dyDescent="0.25">
      <c r="A1" s="3" t="s">
        <v>0</v>
      </c>
      <c r="B1" s="168" t="s">
        <v>48</v>
      </c>
      <c r="C1" s="168"/>
      <c r="D1" s="168"/>
      <c r="E1" s="168"/>
      <c r="F1" s="168"/>
      <c r="G1" s="168"/>
      <c r="H1" s="4"/>
      <c r="I1" s="4"/>
      <c r="J1" s="4"/>
      <c r="L1" s="3" t="s">
        <v>0</v>
      </c>
      <c r="M1" s="168" t="s">
        <v>50</v>
      </c>
      <c r="N1" s="168"/>
      <c r="O1" s="168"/>
      <c r="P1" s="168"/>
      <c r="Q1" s="168"/>
      <c r="R1" s="168"/>
      <c r="S1" s="4"/>
      <c r="T1" s="4"/>
      <c r="U1" s="4"/>
      <c r="W1" s="3" t="s">
        <v>0</v>
      </c>
      <c r="X1" s="168" t="s">
        <v>54</v>
      </c>
      <c r="Y1" s="168"/>
      <c r="Z1" s="168"/>
      <c r="AA1" s="168"/>
      <c r="AB1" s="168"/>
      <c r="AC1" s="168"/>
      <c r="AD1" s="4"/>
      <c r="AE1" s="4"/>
      <c r="AF1" s="4"/>
    </row>
    <row r="2" spans="1:32" x14ac:dyDescent="0.25">
      <c r="A2" s="3" t="s">
        <v>1</v>
      </c>
      <c r="B2" s="169" t="s">
        <v>49</v>
      </c>
      <c r="C2" s="169"/>
      <c r="D2" s="169"/>
      <c r="E2" s="5"/>
      <c r="F2" s="5"/>
      <c r="G2" s="4"/>
      <c r="H2" s="4"/>
      <c r="I2" s="4"/>
      <c r="J2" s="4"/>
      <c r="L2" s="3" t="s">
        <v>1</v>
      </c>
      <c r="M2" s="169" t="s">
        <v>49</v>
      </c>
      <c r="N2" s="169"/>
      <c r="O2" s="169"/>
      <c r="P2" s="5"/>
      <c r="Q2" s="5"/>
      <c r="R2" s="4"/>
      <c r="S2" s="4"/>
      <c r="T2" s="4"/>
      <c r="U2" s="4"/>
      <c r="W2" s="3" t="s">
        <v>1</v>
      </c>
      <c r="X2" s="169" t="s">
        <v>49</v>
      </c>
      <c r="Y2" s="169"/>
      <c r="Z2" s="169"/>
      <c r="AA2" s="5"/>
      <c r="AB2" s="5"/>
      <c r="AC2" s="4"/>
      <c r="AD2" s="4"/>
      <c r="AE2" s="4"/>
      <c r="AF2" s="4"/>
    </row>
    <row r="3" spans="1:32" ht="15.75" x14ac:dyDescent="0.25">
      <c r="A3" s="3" t="s">
        <v>2</v>
      </c>
      <c r="B3" s="6">
        <v>244.4680637254904</v>
      </c>
      <c r="C3" s="7" t="s">
        <v>3</v>
      </c>
      <c r="D3" s="4"/>
      <c r="E3" s="4"/>
      <c r="F3" s="4"/>
      <c r="G3" s="8"/>
      <c r="H3" s="8"/>
      <c r="I3" s="8"/>
      <c r="J3" s="8"/>
      <c r="L3" s="3" t="s">
        <v>2</v>
      </c>
      <c r="M3" s="6">
        <v>244.4680637254904</v>
      </c>
      <c r="N3" s="7" t="s">
        <v>3</v>
      </c>
      <c r="O3" s="4"/>
      <c r="P3" s="4"/>
      <c r="Q3" s="4"/>
      <c r="R3" s="8"/>
      <c r="S3" s="8"/>
      <c r="T3" s="8"/>
      <c r="U3" s="8"/>
      <c r="W3" s="3" t="s">
        <v>2</v>
      </c>
      <c r="X3" s="6">
        <v>244.4680637254904</v>
      </c>
      <c r="Y3" s="7" t="s">
        <v>3</v>
      </c>
      <c r="Z3" s="4"/>
      <c r="AA3" s="4"/>
      <c r="AB3" s="4"/>
      <c r="AC3" s="8"/>
      <c r="AD3" s="8"/>
      <c r="AE3" s="8"/>
      <c r="AF3" s="8"/>
    </row>
    <row r="4" spans="1:32" ht="15.75" x14ac:dyDescent="0.25">
      <c r="A4" s="3" t="s">
        <v>4</v>
      </c>
      <c r="B4" s="6">
        <v>0.68186274509803846</v>
      </c>
      <c r="C4" s="9" t="s">
        <v>5</v>
      </c>
      <c r="D4" s="10"/>
      <c r="E4" s="11"/>
      <c r="F4" s="11"/>
      <c r="G4" s="11"/>
      <c r="H4" s="4"/>
      <c r="I4" s="4"/>
      <c r="J4" s="4"/>
      <c r="L4" s="3" t="s">
        <v>4</v>
      </c>
      <c r="M4" s="6">
        <v>0.68186274509803846</v>
      </c>
      <c r="N4" s="9" t="s">
        <v>5</v>
      </c>
      <c r="O4" s="10"/>
      <c r="P4" s="11"/>
      <c r="Q4" s="11"/>
      <c r="R4" s="11"/>
      <c r="S4" s="4"/>
      <c r="T4" s="4"/>
      <c r="U4" s="4"/>
      <c r="W4" s="3" t="s">
        <v>4</v>
      </c>
      <c r="X4" s="6">
        <v>0.68186274509803846</v>
      </c>
      <c r="Y4" s="9" t="s">
        <v>5</v>
      </c>
      <c r="Z4" s="10"/>
      <c r="AA4" s="11"/>
      <c r="AB4" s="11"/>
      <c r="AC4" s="11"/>
      <c r="AD4" s="4"/>
      <c r="AE4" s="4"/>
      <c r="AF4" s="4"/>
    </row>
    <row r="5" spans="1:32" x14ac:dyDescent="0.25">
      <c r="A5" s="3" t="s">
        <v>6</v>
      </c>
      <c r="B5" s="12">
        <v>1.0481</v>
      </c>
      <c r="C5" s="4"/>
      <c r="D5" s="4"/>
      <c r="E5" s="4"/>
      <c r="F5" s="4"/>
      <c r="G5" s="4"/>
      <c r="H5" s="4"/>
      <c r="I5" s="4"/>
      <c r="J5" s="4"/>
      <c r="L5" s="3" t="s">
        <v>6</v>
      </c>
      <c r="M5" s="12">
        <v>1.0481</v>
      </c>
      <c r="N5" s="4"/>
      <c r="O5" s="4"/>
      <c r="P5" s="4"/>
      <c r="Q5" s="4"/>
      <c r="R5" s="4"/>
      <c r="S5" s="4"/>
      <c r="T5" s="4"/>
      <c r="U5" s="4"/>
      <c r="W5" s="3" t="s">
        <v>6</v>
      </c>
      <c r="X5" s="12">
        <v>1.0481</v>
      </c>
      <c r="Y5" s="4"/>
      <c r="Z5" s="4"/>
      <c r="AA5" s="4"/>
      <c r="AB5" s="4"/>
      <c r="AC5" s="4"/>
      <c r="AD5" s="4"/>
      <c r="AE5" s="4"/>
      <c r="AF5" s="4"/>
    </row>
    <row r="6" spans="1:32" x14ac:dyDescent="0.25">
      <c r="A6" s="3" t="s">
        <v>7</v>
      </c>
      <c r="B6" s="12">
        <v>1.0490999999999999</v>
      </c>
      <c r="C6" s="4"/>
      <c r="D6" s="4"/>
      <c r="E6" s="4"/>
      <c r="F6" s="4"/>
      <c r="G6" s="4"/>
      <c r="H6" s="4"/>
      <c r="I6" s="4"/>
      <c r="J6" s="4"/>
      <c r="L6" s="3" t="s">
        <v>7</v>
      </c>
      <c r="M6" s="12">
        <v>1.0490999999999999</v>
      </c>
      <c r="N6" s="4"/>
      <c r="O6" s="4"/>
      <c r="P6" s="4"/>
      <c r="Q6" s="4"/>
      <c r="R6" s="4"/>
      <c r="S6" s="4"/>
      <c r="T6" s="4"/>
      <c r="U6" s="4"/>
      <c r="W6" s="3" t="s">
        <v>7</v>
      </c>
      <c r="X6" s="12">
        <v>1.0490999999999999</v>
      </c>
      <c r="Y6" s="4"/>
      <c r="Z6" s="4"/>
      <c r="AA6" s="4"/>
      <c r="AB6" s="4"/>
      <c r="AC6" s="4"/>
      <c r="AD6" s="4"/>
      <c r="AE6" s="4"/>
      <c r="AF6" s="4"/>
    </row>
    <row r="7" spans="1:32" x14ac:dyDescent="0.25">
      <c r="A7" s="4"/>
      <c r="B7" s="4"/>
      <c r="C7" s="4"/>
      <c r="D7" s="4"/>
      <c r="E7" s="4"/>
      <c r="F7" s="4"/>
      <c r="G7" s="4"/>
      <c r="H7" s="4"/>
      <c r="I7" s="4"/>
      <c r="J7" s="4"/>
      <c r="L7" s="4"/>
      <c r="M7" s="4"/>
      <c r="N7" s="4"/>
      <c r="O7" s="4"/>
      <c r="P7" s="4"/>
      <c r="Q7" s="4"/>
      <c r="R7" s="4"/>
      <c r="S7" s="4"/>
      <c r="T7" s="4"/>
      <c r="U7" s="4"/>
      <c r="W7" s="4"/>
      <c r="X7" s="4"/>
      <c r="Y7" s="4"/>
      <c r="Z7" s="4"/>
      <c r="AA7" s="4"/>
      <c r="AB7" s="4"/>
      <c r="AC7" s="4"/>
      <c r="AD7" s="4"/>
      <c r="AE7" s="4"/>
      <c r="AF7" s="4"/>
    </row>
    <row r="8" spans="1:32" x14ac:dyDescent="0.25">
      <c r="A8" s="2"/>
      <c r="B8" s="1"/>
      <c r="C8" s="170" t="s">
        <v>8</v>
      </c>
      <c r="D8" s="171"/>
      <c r="E8" s="172"/>
      <c r="F8" s="170" t="s">
        <v>51</v>
      </c>
      <c r="G8" s="171"/>
      <c r="H8" s="172"/>
      <c r="I8" s="170" t="s">
        <v>9</v>
      </c>
      <c r="J8" s="172"/>
      <c r="L8" s="2"/>
      <c r="M8" s="1"/>
      <c r="N8" s="170" t="str">
        <f>+F8</f>
        <v>Proposed Year 1</v>
      </c>
      <c r="O8" s="171"/>
      <c r="P8" s="172"/>
      <c r="Q8" s="170" t="s">
        <v>52</v>
      </c>
      <c r="R8" s="171"/>
      <c r="S8" s="172"/>
      <c r="T8" s="170" t="s">
        <v>9</v>
      </c>
      <c r="U8" s="172"/>
      <c r="W8" s="2"/>
      <c r="X8" s="1"/>
      <c r="Y8" s="170" t="str">
        <f>+Q8</f>
        <v>Proposed Year 2</v>
      </c>
      <c r="Z8" s="171"/>
      <c r="AA8" s="172"/>
      <c r="AB8" s="170" t="s">
        <v>53</v>
      </c>
      <c r="AC8" s="171"/>
      <c r="AD8" s="172"/>
      <c r="AE8" s="170" t="s">
        <v>9</v>
      </c>
      <c r="AF8" s="172"/>
    </row>
    <row r="9" spans="1:32" x14ac:dyDescent="0.25">
      <c r="A9" s="2"/>
      <c r="B9" s="161"/>
      <c r="C9" s="13" t="s">
        <v>10</v>
      </c>
      <c r="D9" s="13" t="s">
        <v>11</v>
      </c>
      <c r="E9" s="14" t="s">
        <v>12</v>
      </c>
      <c r="F9" s="13" t="s">
        <v>10</v>
      </c>
      <c r="G9" s="15" t="s">
        <v>11</v>
      </c>
      <c r="H9" s="14" t="s">
        <v>12</v>
      </c>
      <c r="I9" s="163" t="s">
        <v>13</v>
      </c>
      <c r="J9" s="165" t="s">
        <v>14</v>
      </c>
      <c r="L9" s="2"/>
      <c r="M9" s="161"/>
      <c r="N9" s="13" t="s">
        <v>10</v>
      </c>
      <c r="O9" s="13" t="s">
        <v>11</v>
      </c>
      <c r="P9" s="14" t="s">
        <v>12</v>
      </c>
      <c r="Q9" s="13" t="s">
        <v>10</v>
      </c>
      <c r="R9" s="15" t="s">
        <v>11</v>
      </c>
      <c r="S9" s="14" t="s">
        <v>12</v>
      </c>
      <c r="T9" s="163" t="s">
        <v>13</v>
      </c>
      <c r="U9" s="165" t="s">
        <v>14</v>
      </c>
      <c r="W9" s="2"/>
      <c r="X9" s="161"/>
      <c r="Y9" s="13" t="s">
        <v>10</v>
      </c>
      <c r="Z9" s="13" t="s">
        <v>11</v>
      </c>
      <c r="AA9" s="14" t="s">
        <v>12</v>
      </c>
      <c r="AB9" s="13" t="s">
        <v>10</v>
      </c>
      <c r="AC9" s="15" t="s">
        <v>11</v>
      </c>
      <c r="AD9" s="14" t="s">
        <v>12</v>
      </c>
      <c r="AE9" s="163" t="s">
        <v>13</v>
      </c>
      <c r="AF9" s="165" t="s">
        <v>14</v>
      </c>
    </row>
    <row r="10" spans="1:32" x14ac:dyDescent="0.25">
      <c r="A10" s="2"/>
      <c r="B10" s="162"/>
      <c r="C10" s="16" t="s">
        <v>15</v>
      </c>
      <c r="D10" s="16"/>
      <c r="E10" s="17" t="s">
        <v>15</v>
      </c>
      <c r="F10" s="16" t="s">
        <v>15</v>
      </c>
      <c r="G10" s="17"/>
      <c r="H10" s="17" t="s">
        <v>15</v>
      </c>
      <c r="I10" s="164"/>
      <c r="J10" s="166"/>
      <c r="L10" s="2"/>
      <c r="M10" s="162"/>
      <c r="N10" s="16" t="s">
        <v>15</v>
      </c>
      <c r="O10" s="16"/>
      <c r="P10" s="17" t="s">
        <v>15</v>
      </c>
      <c r="Q10" s="16" t="s">
        <v>15</v>
      </c>
      <c r="R10" s="17"/>
      <c r="S10" s="17" t="s">
        <v>15</v>
      </c>
      <c r="T10" s="164"/>
      <c r="U10" s="166"/>
      <c r="W10" s="2"/>
      <c r="X10" s="162"/>
      <c r="Y10" s="16" t="s">
        <v>15</v>
      </c>
      <c r="Z10" s="16"/>
      <c r="AA10" s="17" t="s">
        <v>15</v>
      </c>
      <c r="AB10" s="16" t="s">
        <v>15</v>
      </c>
      <c r="AC10" s="17"/>
      <c r="AD10" s="17" t="s">
        <v>15</v>
      </c>
      <c r="AE10" s="164"/>
      <c r="AF10" s="166"/>
    </row>
    <row r="11" spans="1:32" x14ac:dyDescent="0.25">
      <c r="A11" s="18" t="s">
        <v>16</v>
      </c>
      <c r="B11" s="19"/>
      <c r="C11" s="20">
        <v>3.65</v>
      </c>
      <c r="D11" s="21">
        <v>4.617647058823529</v>
      </c>
      <c r="E11" s="22">
        <f>D11*C11</f>
        <v>16.85441176470588</v>
      </c>
      <c r="F11" s="87">
        <f>+'SL Proposed Y1 Tariff'!D22</f>
        <v>4.3099999999999996</v>
      </c>
      <c r="G11" s="107">
        <v>4.617647058823529</v>
      </c>
      <c r="H11" s="24">
        <f>G11*F11</f>
        <v>19.902058823529408</v>
      </c>
      <c r="I11" s="25">
        <f t="shared" ref="I11:I32" si="0">H11-E11</f>
        <v>3.0476470588235287</v>
      </c>
      <c r="J11" s="26">
        <f>IF(ISERROR(I11/E11), "", I11/E11)</f>
        <v>0.18082191780821916</v>
      </c>
      <c r="L11" s="18" t="s">
        <v>16</v>
      </c>
      <c r="M11" s="19"/>
      <c r="N11" s="87">
        <f>+F11</f>
        <v>4.3099999999999996</v>
      </c>
      <c r="O11" s="113">
        <f>+$G11</f>
        <v>4.617647058823529</v>
      </c>
      <c r="P11" s="22">
        <f>O11*N11</f>
        <v>19.902058823529408</v>
      </c>
      <c r="Q11" s="97">
        <f>+'SL Proposed Y2 Tariff'!D22</f>
        <v>4.5999999999999996</v>
      </c>
      <c r="R11" s="113">
        <f>+$G11</f>
        <v>4.617647058823529</v>
      </c>
      <c r="S11" s="24">
        <f>R11*Q11</f>
        <v>21.241176470588233</v>
      </c>
      <c r="T11" s="25">
        <f t="shared" ref="T11:T12" si="1">S11-P11</f>
        <v>1.3391176470588242</v>
      </c>
      <c r="U11" s="26">
        <f>IF(ISERROR(T11/P11), "", T11/P11)</f>
        <v>6.7285382830626489E-2</v>
      </c>
      <c r="W11" s="18" t="s">
        <v>16</v>
      </c>
      <c r="X11" s="19"/>
      <c r="Y11" s="97">
        <f>+Q11</f>
        <v>4.5999999999999996</v>
      </c>
      <c r="Z11" s="113">
        <f>+$G11</f>
        <v>4.617647058823529</v>
      </c>
      <c r="AA11" s="22">
        <f>Z11*Y11</f>
        <v>21.241176470588233</v>
      </c>
      <c r="AB11" s="23">
        <f>+'SL status quo'!F11</f>
        <v>4.8899999999999997</v>
      </c>
      <c r="AC11" s="113">
        <f>+$G11</f>
        <v>4.617647058823529</v>
      </c>
      <c r="AD11" s="24">
        <f>AC11*AB11</f>
        <v>22.580294117647057</v>
      </c>
      <c r="AE11" s="25">
        <f t="shared" ref="AE11:AE12" si="2">AD11-AA11</f>
        <v>1.3391176470588242</v>
      </c>
      <c r="AF11" s="26">
        <f>IF(ISERROR(AE11/AA11), "", AE11/AA11)</f>
        <v>6.3043478260869604E-2</v>
      </c>
    </row>
    <row r="12" spans="1:32" x14ac:dyDescent="0.25">
      <c r="A12" s="18" t="s">
        <v>17</v>
      </c>
      <c r="B12" s="19"/>
      <c r="C12" s="27">
        <v>14.2889</v>
      </c>
      <c r="D12" s="21">
        <v>0.68186274509803846</v>
      </c>
      <c r="E12" s="22">
        <f t="shared" ref="E12:E24" si="3">D12*C12</f>
        <v>9.7430685784313624</v>
      </c>
      <c r="F12" s="88">
        <f>+'SL Proposed Y1 Tariff'!D23</f>
        <v>16.880400000000002</v>
      </c>
      <c r="G12" s="107">
        <v>0.68186274509803846</v>
      </c>
      <c r="H12" s="24">
        <f>G12*F12</f>
        <v>11.510115882352929</v>
      </c>
      <c r="I12" s="25">
        <f t="shared" si="0"/>
        <v>1.7670473039215668</v>
      </c>
      <c r="J12" s="26">
        <f t="shared" ref="J12:J22" si="4">IF(ISERROR(I12/E12), "", I12/E12)</f>
        <v>0.181364555704078</v>
      </c>
      <c r="L12" s="18" t="s">
        <v>17</v>
      </c>
      <c r="M12" s="19"/>
      <c r="N12" s="88">
        <f>+F12</f>
        <v>16.880400000000002</v>
      </c>
      <c r="O12" s="113">
        <f t="shared" ref="O12:O38" si="5">+$G12</f>
        <v>0.68186274509803846</v>
      </c>
      <c r="P12" s="22">
        <f t="shared" ref="P12" si="6">O12*N12</f>
        <v>11.510115882352929</v>
      </c>
      <c r="Q12" s="159">
        <f>+'SL Proposed Y2 Tariff'!D23</f>
        <v>18.017299999999999</v>
      </c>
      <c r="R12" s="113">
        <f t="shared" ref="R12:R38" si="7">+$G12</f>
        <v>0.68186274509803846</v>
      </c>
      <c r="S12" s="24">
        <f>R12*Q12</f>
        <v>12.285325637254887</v>
      </c>
      <c r="T12" s="25">
        <f t="shared" si="1"/>
        <v>0.77520975490195809</v>
      </c>
      <c r="U12" s="26">
        <f t="shared" ref="U12" si="8">IF(ISERROR(T12/P12), "", T12/P12)</f>
        <v>6.7350299755929793E-2</v>
      </c>
      <c r="W12" s="18" t="s">
        <v>17</v>
      </c>
      <c r="X12" s="19"/>
      <c r="Y12" s="159">
        <f>+Q12</f>
        <v>18.017299999999999</v>
      </c>
      <c r="Z12" s="113">
        <f t="shared" ref="Z12:Z38" si="9">+$G12</f>
        <v>0.68186274509803846</v>
      </c>
      <c r="AA12" s="22">
        <f t="shared" ref="AA12" si="10">Z12*Y12</f>
        <v>12.285325637254887</v>
      </c>
      <c r="AB12" s="28">
        <f>+'SL status quo'!F12</f>
        <v>19.154119567784168</v>
      </c>
      <c r="AC12" s="113">
        <f t="shared" ref="AC12:AC38" si="11">+$G12</f>
        <v>0.68186274509803846</v>
      </c>
      <c r="AD12" s="24">
        <f>AC12*AB12</f>
        <v>13.060480548425367</v>
      </c>
      <c r="AE12" s="25">
        <f t="shared" si="2"/>
        <v>0.77515491117048008</v>
      </c>
      <c r="AF12" s="26">
        <f t="shared" ref="AF12" si="12">IF(ISERROR(AE12/AA12), "", AE12/AA12)</f>
        <v>6.3096000387636908E-2</v>
      </c>
    </row>
    <row r="13" spans="1:32" x14ac:dyDescent="0.25">
      <c r="A13" s="18" t="s">
        <v>18</v>
      </c>
      <c r="B13" s="19"/>
      <c r="C13" s="20"/>
      <c r="D13" s="21">
        <v>4.617647058823529</v>
      </c>
      <c r="E13" s="22">
        <v>0</v>
      </c>
      <c r="F13" s="88"/>
      <c r="G13" s="107">
        <v>0.68186274509803846</v>
      </c>
      <c r="H13" s="24">
        <v>0</v>
      </c>
      <c r="I13" s="25"/>
      <c r="J13" s="26"/>
      <c r="L13" s="18" t="s">
        <v>18</v>
      </c>
      <c r="M13" s="19"/>
      <c r="N13" s="88"/>
      <c r="O13" s="113">
        <f t="shared" si="5"/>
        <v>0.68186274509803846</v>
      </c>
      <c r="P13" s="22">
        <v>0</v>
      </c>
      <c r="Q13" s="98"/>
      <c r="R13" s="113">
        <f t="shared" si="7"/>
        <v>0.68186274509803846</v>
      </c>
      <c r="S13" s="24">
        <v>0</v>
      </c>
      <c r="T13" s="25"/>
      <c r="U13" s="26"/>
      <c r="W13" s="18" t="s">
        <v>18</v>
      </c>
      <c r="X13" s="19"/>
      <c r="Y13" s="98"/>
      <c r="Z13" s="113">
        <f t="shared" si="9"/>
        <v>0.68186274509803846</v>
      </c>
      <c r="AA13" s="22">
        <v>0</v>
      </c>
      <c r="AB13" s="28"/>
      <c r="AC13" s="113">
        <f t="shared" si="11"/>
        <v>0.68186274509803846</v>
      </c>
      <c r="AD13" s="24">
        <v>0</v>
      </c>
      <c r="AE13" s="25"/>
      <c r="AF13" s="26"/>
    </row>
    <row r="14" spans="1:32" x14ac:dyDescent="0.25">
      <c r="A14" s="18" t="s">
        <v>19</v>
      </c>
      <c r="B14" s="19"/>
      <c r="C14" s="20"/>
      <c r="D14" s="21">
        <v>0.68186274509803846</v>
      </c>
      <c r="E14" s="22">
        <v>0</v>
      </c>
      <c r="F14" s="88"/>
      <c r="G14" s="108">
        <v>0.68186274509803846</v>
      </c>
      <c r="H14" s="24">
        <v>0</v>
      </c>
      <c r="I14" s="25">
        <f>H14-E14</f>
        <v>0</v>
      </c>
      <c r="J14" s="26" t="str">
        <f>IF(ISERROR(I14/E14), "", I14/E14)</f>
        <v/>
      </c>
      <c r="L14" s="18" t="s">
        <v>19</v>
      </c>
      <c r="M14" s="19"/>
      <c r="N14" s="88"/>
      <c r="O14" s="113">
        <f t="shared" si="5"/>
        <v>0.68186274509803846</v>
      </c>
      <c r="P14" s="22">
        <v>0</v>
      </c>
      <c r="Q14" s="98"/>
      <c r="R14" s="113">
        <f t="shared" si="7"/>
        <v>0.68186274509803846</v>
      </c>
      <c r="S14" s="24">
        <v>0</v>
      </c>
      <c r="T14" s="25">
        <f>S14-P14</f>
        <v>0</v>
      </c>
      <c r="U14" s="26" t="str">
        <f>IF(ISERROR(T14/P14), "", T14/P14)</f>
        <v/>
      </c>
      <c r="W14" s="18" t="s">
        <v>19</v>
      </c>
      <c r="X14" s="19"/>
      <c r="Y14" s="98"/>
      <c r="Z14" s="113">
        <f t="shared" si="9"/>
        <v>0.68186274509803846</v>
      </c>
      <c r="AA14" s="22">
        <v>0</v>
      </c>
      <c r="AB14" s="28"/>
      <c r="AC14" s="113">
        <f t="shared" si="11"/>
        <v>0.68186274509803846</v>
      </c>
      <c r="AD14" s="24">
        <v>0</v>
      </c>
      <c r="AE14" s="25">
        <f>AD14-AA14</f>
        <v>0</v>
      </c>
      <c r="AF14" s="26" t="str">
        <f>IF(ISERROR(AE14/AA14), "", AE14/AA14)</f>
        <v/>
      </c>
    </row>
    <row r="15" spans="1:32" x14ac:dyDescent="0.25">
      <c r="A15" s="18" t="s">
        <v>20</v>
      </c>
      <c r="B15" s="19"/>
      <c r="C15" s="20">
        <v>0</v>
      </c>
      <c r="D15" s="21">
        <v>1</v>
      </c>
      <c r="E15" s="22">
        <f t="shared" si="3"/>
        <v>0</v>
      </c>
      <c r="F15" s="87">
        <v>0</v>
      </c>
      <c r="G15" s="107">
        <v>1</v>
      </c>
      <c r="H15" s="24">
        <f t="shared" ref="H15:H22" si="13">G15*F15</f>
        <v>0</v>
      </c>
      <c r="I15" s="25">
        <f t="shared" si="0"/>
        <v>0</v>
      </c>
      <c r="J15" s="26" t="str">
        <f t="shared" si="4"/>
        <v/>
      </c>
      <c r="L15" s="18" t="s">
        <v>20</v>
      </c>
      <c r="M15" s="19"/>
      <c r="N15" s="87">
        <v>0</v>
      </c>
      <c r="O15" s="113">
        <f t="shared" si="5"/>
        <v>1</v>
      </c>
      <c r="P15" s="22">
        <f t="shared" ref="P15:P16" si="14">O15*N15</f>
        <v>0</v>
      </c>
      <c r="Q15" s="97">
        <v>0</v>
      </c>
      <c r="R15" s="113">
        <f t="shared" si="7"/>
        <v>1</v>
      </c>
      <c r="S15" s="24">
        <f t="shared" ref="S15:S16" si="15">R15*Q15</f>
        <v>0</v>
      </c>
      <c r="T15" s="25">
        <f t="shared" ref="T15:T17" si="16">S15-P15</f>
        <v>0</v>
      </c>
      <c r="U15" s="26" t="str">
        <f t="shared" ref="U15:U16" si="17">IF(ISERROR(T15/P15), "", T15/P15)</f>
        <v/>
      </c>
      <c r="W15" s="18" t="s">
        <v>20</v>
      </c>
      <c r="X15" s="19"/>
      <c r="Y15" s="97">
        <v>0</v>
      </c>
      <c r="Z15" s="113">
        <f t="shared" si="9"/>
        <v>1</v>
      </c>
      <c r="AA15" s="22">
        <f t="shared" ref="AA15:AA16" si="18">Z15*Y15</f>
        <v>0</v>
      </c>
      <c r="AB15" s="23">
        <v>0</v>
      </c>
      <c r="AC15" s="113">
        <f t="shared" si="11"/>
        <v>1</v>
      </c>
      <c r="AD15" s="24">
        <f t="shared" ref="AD15:AD16" si="19">AC15*AB15</f>
        <v>0</v>
      </c>
      <c r="AE15" s="25">
        <f t="shared" ref="AE15:AE17" si="20">AD15-AA15</f>
        <v>0</v>
      </c>
      <c r="AF15" s="26" t="str">
        <f t="shared" ref="AF15:AF16" si="21">IF(ISERROR(AE15/AA15), "", AE15/AA15)</f>
        <v/>
      </c>
    </row>
    <row r="16" spans="1:32" x14ac:dyDescent="0.25">
      <c r="A16" s="18" t="s">
        <v>21</v>
      </c>
      <c r="B16" s="19"/>
      <c r="C16" s="27">
        <v>0.13339999999999999</v>
      </c>
      <c r="D16" s="21">
        <v>0.68186274509803846</v>
      </c>
      <c r="E16" s="22">
        <f t="shared" si="3"/>
        <v>9.0960490196078325E-2</v>
      </c>
      <c r="F16" s="88">
        <f>+'SL Proposed Y1 Tariff'!D27+'SL Proposed Y1 Tariff'!D28</f>
        <v>2.5762</v>
      </c>
      <c r="G16" s="107">
        <v>0.68186274509803846</v>
      </c>
      <c r="H16" s="24">
        <f t="shared" si="13"/>
        <v>1.7566148039215668</v>
      </c>
      <c r="I16" s="25">
        <f t="shared" si="0"/>
        <v>1.6656543137254884</v>
      </c>
      <c r="J16" s="26">
        <f t="shared" si="4"/>
        <v>18.311844077961023</v>
      </c>
      <c r="L16" s="18" t="s">
        <v>21</v>
      </c>
      <c r="M16" s="19"/>
      <c r="N16" s="88">
        <f>+F16</f>
        <v>2.5762</v>
      </c>
      <c r="O16" s="113">
        <f t="shared" si="5"/>
        <v>0.68186274509803846</v>
      </c>
      <c r="P16" s="22">
        <f t="shared" si="14"/>
        <v>1.7566148039215668</v>
      </c>
      <c r="Q16" s="98">
        <f>+N16</f>
        <v>2.5762</v>
      </c>
      <c r="R16" s="113">
        <f t="shared" si="7"/>
        <v>0.68186274509803846</v>
      </c>
      <c r="S16" s="24">
        <f t="shared" si="15"/>
        <v>1.7566148039215668</v>
      </c>
      <c r="T16" s="25">
        <f t="shared" si="16"/>
        <v>0</v>
      </c>
      <c r="U16" s="26">
        <f t="shared" si="17"/>
        <v>0</v>
      </c>
      <c r="W16" s="18" t="s">
        <v>21</v>
      </c>
      <c r="X16" s="19"/>
      <c r="Y16" s="98">
        <f>+Q16</f>
        <v>2.5762</v>
      </c>
      <c r="Z16" s="113">
        <f t="shared" si="9"/>
        <v>0.68186274509803846</v>
      </c>
      <c r="AA16" s="22">
        <f t="shared" si="18"/>
        <v>1.7566148039215668</v>
      </c>
      <c r="AB16" s="28">
        <f>+Y16</f>
        <v>2.5762</v>
      </c>
      <c r="AC16" s="113">
        <f t="shared" si="11"/>
        <v>0.68186274509803846</v>
      </c>
      <c r="AD16" s="24">
        <f t="shared" si="19"/>
        <v>1.7566148039215668</v>
      </c>
      <c r="AE16" s="25">
        <f t="shared" si="20"/>
        <v>0</v>
      </c>
      <c r="AF16" s="26">
        <f t="shared" si="21"/>
        <v>0</v>
      </c>
    </row>
    <row r="17" spans="1:32" x14ac:dyDescent="0.25">
      <c r="A17" s="29" t="s">
        <v>22</v>
      </c>
      <c r="B17" s="30"/>
      <c r="C17" s="31"/>
      <c r="D17" s="32"/>
      <c r="E17" s="33">
        <f>SUM(E11:E16)</f>
        <v>26.688440833333321</v>
      </c>
      <c r="F17" s="89"/>
      <c r="G17" s="109"/>
      <c r="H17" s="35">
        <f>SUM(H11:H16)</f>
        <v>33.168789509803901</v>
      </c>
      <c r="I17" s="36">
        <f t="shared" si="0"/>
        <v>6.4803486764705802</v>
      </c>
      <c r="J17" s="37">
        <f>IF((E17)=0,"",(I17/E17))</f>
        <v>0.24281480948773734</v>
      </c>
      <c r="L17" s="29" t="s">
        <v>22</v>
      </c>
      <c r="M17" s="30"/>
      <c r="N17" s="89"/>
      <c r="O17" s="114"/>
      <c r="P17" s="33">
        <f>SUM(P11:P16)</f>
        <v>33.168789509803901</v>
      </c>
      <c r="Q17" s="99"/>
      <c r="R17" s="114"/>
      <c r="S17" s="35">
        <f>SUM(S11:S16)</f>
        <v>35.283116911764687</v>
      </c>
      <c r="T17" s="36">
        <f t="shared" si="16"/>
        <v>2.1143274019607858</v>
      </c>
      <c r="U17" s="37">
        <f>IF((P17)=0,"",(T17/P17))</f>
        <v>6.3744484897039766E-2</v>
      </c>
      <c r="W17" s="29" t="s">
        <v>22</v>
      </c>
      <c r="X17" s="30"/>
      <c r="Y17" s="99"/>
      <c r="Z17" s="114"/>
      <c r="AA17" s="33">
        <f>SUM(AA11:AA16)</f>
        <v>35.283116911764687</v>
      </c>
      <c r="AB17" s="34"/>
      <c r="AC17" s="114"/>
      <c r="AD17" s="35">
        <f>SUM(AD11:AD16)</f>
        <v>37.397389469993989</v>
      </c>
      <c r="AE17" s="36">
        <f t="shared" si="20"/>
        <v>2.1142725582293025</v>
      </c>
      <c r="AF17" s="37">
        <f>IF((AA17)=0,"",(AE17/AA17))</f>
        <v>5.9923066420595236E-2</v>
      </c>
    </row>
    <row r="18" spans="1:32" x14ac:dyDescent="0.25">
      <c r="A18" s="38" t="s">
        <v>23</v>
      </c>
      <c r="B18" s="19"/>
      <c r="C18" s="39">
        <v>0.11135</v>
      </c>
      <c r="D18" s="40">
        <v>11.758913865196092</v>
      </c>
      <c r="E18" s="22">
        <f>D18*C18</f>
        <v>1.309355058889585</v>
      </c>
      <c r="F18" s="88">
        <v>0.11135</v>
      </c>
      <c r="G18" s="110">
        <v>12.003381928921584</v>
      </c>
      <c r="H18" s="24">
        <f>G18*F18</f>
        <v>1.3365765777854184</v>
      </c>
      <c r="I18" s="25">
        <f>H18-E18</f>
        <v>2.7221518895833352E-2</v>
      </c>
      <c r="J18" s="26">
        <f>IF(ISERROR(I18/E18), "", I18/E18)</f>
        <v>2.0790020790020777E-2</v>
      </c>
      <c r="L18" s="38" t="s">
        <v>23</v>
      </c>
      <c r="M18" s="19"/>
      <c r="N18" s="88">
        <f t="shared" ref="N18:N25" si="22">+F18</f>
        <v>0.11135</v>
      </c>
      <c r="O18" s="115">
        <f t="shared" si="5"/>
        <v>12.003381928921584</v>
      </c>
      <c r="P18" s="22">
        <f>O18*N18</f>
        <v>1.3365765777854184</v>
      </c>
      <c r="Q18" s="98">
        <v>0.11135</v>
      </c>
      <c r="R18" s="115">
        <f t="shared" si="7"/>
        <v>12.003381928921584</v>
      </c>
      <c r="S18" s="24">
        <f>R18*Q18</f>
        <v>1.3365765777854184</v>
      </c>
      <c r="T18" s="25">
        <f>S18-P18</f>
        <v>0</v>
      </c>
      <c r="U18" s="26">
        <f>IF(ISERROR(T18/P18), "", T18/P18)</f>
        <v>0</v>
      </c>
      <c r="W18" s="38" t="s">
        <v>23</v>
      </c>
      <c r="X18" s="19"/>
      <c r="Y18" s="98">
        <v>0.11135</v>
      </c>
      <c r="Z18" s="115">
        <f t="shared" si="9"/>
        <v>12.003381928921584</v>
      </c>
      <c r="AA18" s="22">
        <f>Z18*Y18</f>
        <v>1.3365765777854184</v>
      </c>
      <c r="AB18" s="28">
        <v>0.11135</v>
      </c>
      <c r="AC18" s="115">
        <f t="shared" si="11"/>
        <v>12.003381928921584</v>
      </c>
      <c r="AD18" s="24">
        <f>AC18*AB18</f>
        <v>1.3365765777854184</v>
      </c>
      <c r="AE18" s="25">
        <f>AD18-AA18</f>
        <v>0</v>
      </c>
      <c r="AF18" s="26">
        <f>IF(ISERROR(AE18/AA18), "", AE18/AA18)</f>
        <v>0</v>
      </c>
    </row>
    <row r="19" spans="1:32" x14ac:dyDescent="0.25">
      <c r="A19" s="38" t="s">
        <v>24</v>
      </c>
      <c r="B19" s="19"/>
      <c r="C19" s="39">
        <v>1.7856000000000001</v>
      </c>
      <c r="D19" s="41">
        <v>0.68186274509803846</v>
      </c>
      <c r="E19" s="22">
        <f t="shared" ref="E19:E22" si="23">D19*C19</f>
        <v>1.2175341176470575</v>
      </c>
      <c r="F19" s="88">
        <f>+'SL Proposed Y1 Tariff'!D25</f>
        <v>2.2957999999999998</v>
      </c>
      <c r="G19" s="110">
        <v>0.68186274509803846</v>
      </c>
      <c r="H19" s="24">
        <f t="shared" si="13"/>
        <v>1.5654204901960767</v>
      </c>
      <c r="I19" s="25">
        <f t="shared" ref="I19:I23" si="24">H19-E19</f>
        <v>0.34788637254901911</v>
      </c>
      <c r="J19" s="26">
        <f t="shared" si="4"/>
        <v>0.28573028673835116</v>
      </c>
      <c r="L19" s="38" t="s">
        <v>24</v>
      </c>
      <c r="M19" s="19"/>
      <c r="N19" s="88">
        <f t="shared" si="22"/>
        <v>2.2957999999999998</v>
      </c>
      <c r="O19" s="115">
        <f t="shared" si="5"/>
        <v>0.68186274509803846</v>
      </c>
      <c r="P19" s="22">
        <f t="shared" ref="P19" si="25">O19*N19</f>
        <v>1.5654204901960767</v>
      </c>
      <c r="Q19" s="98">
        <v>2.2957999999999998</v>
      </c>
      <c r="R19" s="115">
        <f t="shared" si="7"/>
        <v>0.68186274509803846</v>
      </c>
      <c r="S19" s="24">
        <f t="shared" ref="S19" si="26">R19*Q19</f>
        <v>1.5654204901960767</v>
      </c>
      <c r="T19" s="25">
        <f t="shared" ref="T19:T23" si="27">S19-P19</f>
        <v>0</v>
      </c>
      <c r="U19" s="26">
        <f t="shared" ref="U19:U22" si="28">IF(ISERROR(T19/P19), "", T19/P19)</f>
        <v>0</v>
      </c>
      <c r="W19" s="38" t="s">
        <v>24</v>
      </c>
      <c r="X19" s="19"/>
      <c r="Y19" s="98">
        <v>2.2957999999999998</v>
      </c>
      <c r="Z19" s="115">
        <f t="shared" si="9"/>
        <v>0.68186274509803846</v>
      </c>
      <c r="AA19" s="22">
        <f t="shared" ref="AA19" si="29">Z19*Y19</f>
        <v>1.5654204901960767</v>
      </c>
      <c r="AB19" s="28">
        <v>2.2957999999999998</v>
      </c>
      <c r="AC19" s="115">
        <f t="shared" si="11"/>
        <v>0.68186274509803846</v>
      </c>
      <c r="AD19" s="24">
        <f t="shared" ref="AD19" si="30">AC19*AB19</f>
        <v>1.5654204901960767</v>
      </c>
      <c r="AE19" s="25">
        <f t="shared" ref="AE19:AE23" si="31">AD19-AA19</f>
        <v>0</v>
      </c>
      <c r="AF19" s="26">
        <f t="shared" ref="AF19:AF22" si="32">IF(ISERROR(AE19/AA19), "", AE19/AA19)</f>
        <v>0</v>
      </c>
    </row>
    <row r="20" spans="1:32" x14ac:dyDescent="0.25">
      <c r="A20" s="38" t="s">
        <v>25</v>
      </c>
      <c r="B20" s="19"/>
      <c r="C20" s="39">
        <v>-4.2599999999999999E-2</v>
      </c>
      <c r="D20" s="41">
        <v>0.68186274509803846</v>
      </c>
      <c r="E20" s="22">
        <f>D20*C20</f>
        <v>-2.9047352941176437E-2</v>
      </c>
      <c r="F20" s="88">
        <f>+'SL Proposed Y1 Tariff'!D26</f>
        <v>-4.4699999999999997E-2</v>
      </c>
      <c r="G20" s="110">
        <v>0.68186274509803846</v>
      </c>
      <c r="H20" s="24">
        <f>G20*F20</f>
        <v>-3.0479264705882317E-2</v>
      </c>
      <c r="I20" s="25">
        <f t="shared" si="24"/>
        <v>-1.4319117647058795E-3</v>
      </c>
      <c r="J20" s="26">
        <f t="shared" si="4"/>
        <v>4.9295774647887279E-2</v>
      </c>
      <c r="L20" s="38" t="s">
        <v>25</v>
      </c>
      <c r="M20" s="19"/>
      <c r="N20" s="88">
        <f t="shared" si="22"/>
        <v>-4.4699999999999997E-2</v>
      </c>
      <c r="O20" s="115">
        <f t="shared" si="5"/>
        <v>0.68186274509803846</v>
      </c>
      <c r="P20" s="22">
        <f>O20*N20</f>
        <v>-3.0479264705882317E-2</v>
      </c>
      <c r="Q20" s="98">
        <v>-6.5199999999999994E-2</v>
      </c>
      <c r="R20" s="115">
        <f t="shared" si="7"/>
        <v>0.68186274509803846</v>
      </c>
      <c r="S20" s="24">
        <f>R20*Q20</f>
        <v>-4.4457450980392103E-2</v>
      </c>
      <c r="T20" s="25">
        <f t="shared" si="27"/>
        <v>-1.3978186274509787E-2</v>
      </c>
      <c r="U20" s="26">
        <f t="shared" si="28"/>
        <v>0.45861297539149887</v>
      </c>
      <c r="W20" s="38" t="s">
        <v>25</v>
      </c>
      <c r="X20" s="19"/>
      <c r="Y20" s="98">
        <v>-6.5199999999999994E-2</v>
      </c>
      <c r="Z20" s="115">
        <f t="shared" si="9"/>
        <v>0.68186274509803846</v>
      </c>
      <c r="AA20" s="22">
        <f>Z20*Y20</f>
        <v>-4.4457450980392103E-2</v>
      </c>
      <c r="AB20" s="28">
        <v>-6.5199999999999994E-2</v>
      </c>
      <c r="AC20" s="115">
        <f t="shared" si="11"/>
        <v>0.68186274509803846</v>
      </c>
      <c r="AD20" s="24">
        <f>AC20*AB20</f>
        <v>-4.4457450980392103E-2</v>
      </c>
      <c r="AE20" s="25">
        <f t="shared" si="31"/>
        <v>0</v>
      </c>
      <c r="AF20" s="26">
        <f t="shared" si="32"/>
        <v>0</v>
      </c>
    </row>
    <row r="21" spans="1:32" x14ac:dyDescent="0.25">
      <c r="A21" s="38" t="s">
        <v>26</v>
      </c>
      <c r="B21" s="19"/>
      <c r="C21" s="39">
        <v>0</v>
      </c>
      <c r="D21" s="41">
        <v>244.4680637254904</v>
      </c>
      <c r="E21" s="22">
        <f>D21*C21</f>
        <v>0</v>
      </c>
      <c r="F21" s="88">
        <v>0</v>
      </c>
      <c r="G21" s="110">
        <v>244.4680637254904</v>
      </c>
      <c r="H21" s="24">
        <f t="shared" si="13"/>
        <v>0</v>
      </c>
      <c r="I21" s="25">
        <f t="shared" si="24"/>
        <v>0</v>
      </c>
      <c r="J21" s="26" t="str">
        <f t="shared" si="4"/>
        <v/>
      </c>
      <c r="L21" s="38" t="s">
        <v>26</v>
      </c>
      <c r="M21" s="19"/>
      <c r="N21" s="88">
        <f t="shared" si="22"/>
        <v>0</v>
      </c>
      <c r="O21" s="115">
        <f t="shared" si="5"/>
        <v>244.4680637254904</v>
      </c>
      <c r="P21" s="22">
        <f>O21*N21</f>
        <v>0</v>
      </c>
      <c r="Q21" s="98">
        <v>0</v>
      </c>
      <c r="R21" s="115">
        <f t="shared" si="7"/>
        <v>244.4680637254904</v>
      </c>
      <c r="S21" s="24">
        <f t="shared" ref="S21:S22" si="33">R21*Q21</f>
        <v>0</v>
      </c>
      <c r="T21" s="25">
        <f t="shared" si="27"/>
        <v>0</v>
      </c>
      <c r="U21" s="26" t="str">
        <f t="shared" si="28"/>
        <v/>
      </c>
      <c r="W21" s="38" t="s">
        <v>26</v>
      </c>
      <c r="X21" s="19"/>
      <c r="Y21" s="98">
        <v>0</v>
      </c>
      <c r="Z21" s="115">
        <f t="shared" si="9"/>
        <v>244.4680637254904</v>
      </c>
      <c r="AA21" s="22">
        <f>Z21*Y21</f>
        <v>0</v>
      </c>
      <c r="AB21" s="28">
        <v>0</v>
      </c>
      <c r="AC21" s="115">
        <f t="shared" si="11"/>
        <v>244.4680637254904</v>
      </c>
      <c r="AD21" s="24">
        <f t="shared" ref="AD21:AD22" si="34">AC21*AB21</f>
        <v>0</v>
      </c>
      <c r="AE21" s="25">
        <f t="shared" si="31"/>
        <v>0</v>
      </c>
      <c r="AF21" s="26" t="str">
        <f t="shared" si="32"/>
        <v/>
      </c>
    </row>
    <row r="22" spans="1:32" x14ac:dyDescent="0.25">
      <c r="A22" s="18" t="s">
        <v>27</v>
      </c>
      <c r="B22" s="19"/>
      <c r="C22" s="39">
        <v>1.0048999999999999</v>
      </c>
      <c r="D22" s="41">
        <v>0.68186274509803846</v>
      </c>
      <c r="E22" s="22">
        <f t="shared" si="23"/>
        <v>0.68520387254901882</v>
      </c>
      <c r="F22" s="90">
        <v>1.006</v>
      </c>
      <c r="G22" s="110">
        <v>0.68186274509803846</v>
      </c>
      <c r="H22" s="24">
        <f t="shared" si="13"/>
        <v>0.68595392156862667</v>
      </c>
      <c r="I22" s="25">
        <f t="shared" si="24"/>
        <v>7.5004901960784576E-4</v>
      </c>
      <c r="J22" s="26">
        <f t="shared" si="4"/>
        <v>1.0946362822171411E-3</v>
      </c>
      <c r="L22" s="18" t="s">
        <v>27</v>
      </c>
      <c r="M22" s="19"/>
      <c r="N22" s="88">
        <f t="shared" si="22"/>
        <v>1.006</v>
      </c>
      <c r="O22" s="115">
        <f t="shared" si="5"/>
        <v>0.68186274509803846</v>
      </c>
      <c r="P22" s="22">
        <f t="shared" ref="P22" si="35">O22*N22</f>
        <v>0.68595392156862667</v>
      </c>
      <c r="Q22" s="100">
        <f>+N22</f>
        <v>1.006</v>
      </c>
      <c r="R22" s="115">
        <f t="shared" si="7"/>
        <v>0.68186274509803846</v>
      </c>
      <c r="S22" s="24">
        <f t="shared" si="33"/>
        <v>0.68595392156862667</v>
      </c>
      <c r="T22" s="25">
        <f t="shared" si="27"/>
        <v>0</v>
      </c>
      <c r="U22" s="26">
        <f t="shared" si="28"/>
        <v>0</v>
      </c>
      <c r="W22" s="18" t="s">
        <v>27</v>
      </c>
      <c r="X22" s="19"/>
      <c r="Y22" s="100">
        <v>1.0019</v>
      </c>
      <c r="Z22" s="115">
        <f t="shared" si="9"/>
        <v>0.68186274509803846</v>
      </c>
      <c r="AA22" s="22">
        <f t="shared" ref="AA22" si="36">Z22*Y22</f>
        <v>0.68315828431372472</v>
      </c>
      <c r="AB22" s="42">
        <v>1.0019</v>
      </c>
      <c r="AC22" s="115">
        <f t="shared" si="11"/>
        <v>0.68186274509803846</v>
      </c>
      <c r="AD22" s="24">
        <f t="shared" si="34"/>
        <v>0.68315828431372472</v>
      </c>
      <c r="AE22" s="25">
        <f t="shared" si="31"/>
        <v>0</v>
      </c>
      <c r="AF22" s="26">
        <f t="shared" si="32"/>
        <v>0</v>
      </c>
    </row>
    <row r="23" spans="1:32" x14ac:dyDescent="0.25">
      <c r="A23" s="38" t="s">
        <v>28</v>
      </c>
      <c r="B23" s="19"/>
      <c r="C23" s="20">
        <f>IF(OR(ISNUMBER(SEARCH("RESIDENTIAL", B1))=TRUE, ISNUMBER(SEARCH("GENERAL SERVICE LESS THAN 50", B1))=TRUE), SME, 0)</f>
        <v>0</v>
      </c>
      <c r="D23" s="21">
        <v>1</v>
      </c>
      <c r="E23" s="22">
        <f>D23*C23</f>
        <v>0</v>
      </c>
      <c r="F23" s="87">
        <f>IF(OR(ISNUMBER(SEARCH("RESIDENTIAL", B1))=TRUE, ISNUMBER(SEARCH("GENERAL SERVICE LESS THAN 50", B1))=TRUE), SME, 0)</f>
        <v>0</v>
      </c>
      <c r="G23" s="108">
        <v>1</v>
      </c>
      <c r="H23" s="24">
        <f>G23*F23</f>
        <v>0</v>
      </c>
      <c r="I23" s="25">
        <f t="shared" si="24"/>
        <v>0</v>
      </c>
      <c r="J23" s="26" t="str">
        <f>IF(ISERROR(I23/E23), "", I23/E23)</f>
        <v/>
      </c>
      <c r="L23" s="38" t="s">
        <v>28</v>
      </c>
      <c r="M23" s="19"/>
      <c r="N23" s="88">
        <f t="shared" si="22"/>
        <v>0</v>
      </c>
      <c r="O23" s="113">
        <f t="shared" si="5"/>
        <v>1</v>
      </c>
      <c r="P23" s="22">
        <f>O23*N23</f>
        <v>0</v>
      </c>
      <c r="Q23" s="97">
        <v>0</v>
      </c>
      <c r="R23" s="113">
        <f t="shared" si="7"/>
        <v>1</v>
      </c>
      <c r="S23" s="24">
        <f>R23*Q23</f>
        <v>0</v>
      </c>
      <c r="T23" s="25">
        <f t="shared" si="27"/>
        <v>0</v>
      </c>
      <c r="U23" s="26" t="str">
        <f>IF(ISERROR(T23/P23), "", T23/P23)</f>
        <v/>
      </c>
      <c r="W23" s="38" t="s">
        <v>28</v>
      </c>
      <c r="X23" s="19"/>
      <c r="Y23" s="97">
        <v>0</v>
      </c>
      <c r="Z23" s="113">
        <f t="shared" si="9"/>
        <v>1</v>
      </c>
      <c r="AA23" s="22">
        <f>Z23*Y23</f>
        <v>0</v>
      </c>
      <c r="AB23" s="23">
        <v>0</v>
      </c>
      <c r="AC23" s="113">
        <f t="shared" si="11"/>
        <v>1</v>
      </c>
      <c r="AD23" s="24">
        <f>AC23*AB23</f>
        <v>0</v>
      </c>
      <c r="AE23" s="25">
        <f t="shared" si="31"/>
        <v>0</v>
      </c>
      <c r="AF23" s="26" t="str">
        <f>IF(ISERROR(AE23/AA23), "", AE23/AA23)</f>
        <v/>
      </c>
    </row>
    <row r="24" spans="1:32" x14ac:dyDescent="0.25">
      <c r="A24" s="18" t="s">
        <v>29</v>
      </c>
      <c r="B24" s="19"/>
      <c r="C24" s="20">
        <v>0</v>
      </c>
      <c r="D24" s="21">
        <v>1</v>
      </c>
      <c r="E24" s="22">
        <f t="shared" si="3"/>
        <v>0</v>
      </c>
      <c r="F24" s="87">
        <v>0</v>
      </c>
      <c r="G24" s="108">
        <v>1</v>
      </c>
      <c r="H24" s="24">
        <f>G24*F24</f>
        <v>0</v>
      </c>
      <c r="I24" s="25">
        <f>H24-E24</f>
        <v>0</v>
      </c>
      <c r="J24" s="26" t="str">
        <f>IF(ISERROR(I24/E24), "", I24/E24)</f>
        <v/>
      </c>
      <c r="L24" s="18" t="s">
        <v>29</v>
      </c>
      <c r="M24" s="19"/>
      <c r="N24" s="88">
        <f t="shared" si="22"/>
        <v>0</v>
      </c>
      <c r="O24" s="113">
        <f t="shared" si="5"/>
        <v>1</v>
      </c>
      <c r="P24" s="22">
        <f t="shared" ref="P24" si="37">O24*N24</f>
        <v>0</v>
      </c>
      <c r="Q24" s="97">
        <v>0</v>
      </c>
      <c r="R24" s="113">
        <f t="shared" si="7"/>
        <v>1</v>
      </c>
      <c r="S24" s="24">
        <f>R24*Q24</f>
        <v>0</v>
      </c>
      <c r="T24" s="25">
        <f>S24-P24</f>
        <v>0</v>
      </c>
      <c r="U24" s="26" t="str">
        <f>IF(ISERROR(T24/P24), "", T24/P24)</f>
        <v/>
      </c>
      <c r="W24" s="18" t="s">
        <v>29</v>
      </c>
      <c r="X24" s="19"/>
      <c r="Y24" s="97">
        <v>0</v>
      </c>
      <c r="Z24" s="113">
        <f t="shared" si="9"/>
        <v>1</v>
      </c>
      <c r="AA24" s="22">
        <f t="shared" ref="AA24" si="38">Z24*Y24</f>
        <v>0</v>
      </c>
      <c r="AB24" s="23">
        <v>0</v>
      </c>
      <c r="AC24" s="113">
        <f t="shared" si="11"/>
        <v>1</v>
      </c>
      <c r="AD24" s="24">
        <f>AC24*AB24</f>
        <v>0</v>
      </c>
      <c r="AE24" s="25">
        <f>AD24-AA24</f>
        <v>0</v>
      </c>
      <c r="AF24" s="26" t="str">
        <f>IF(ISERROR(AE24/AA24), "", AE24/AA24)</f>
        <v/>
      </c>
    </row>
    <row r="25" spans="1:32" x14ac:dyDescent="0.25">
      <c r="A25" s="18" t="s">
        <v>30</v>
      </c>
      <c r="B25" s="19"/>
      <c r="C25" s="39"/>
      <c r="D25" s="41">
        <v>0.68186274509803846</v>
      </c>
      <c r="E25" s="22">
        <f>D25*C25</f>
        <v>0</v>
      </c>
      <c r="F25" s="88">
        <v>0</v>
      </c>
      <c r="G25" s="110">
        <v>0.68186274509803846</v>
      </c>
      <c r="H25" s="24">
        <f>G25*F25</f>
        <v>0</v>
      </c>
      <c r="I25" s="25">
        <f t="shared" si="0"/>
        <v>0</v>
      </c>
      <c r="J25" s="26" t="str">
        <f>IF(ISERROR(I25/E25), "", I25/E25)</f>
        <v/>
      </c>
      <c r="L25" s="18" t="s">
        <v>30</v>
      </c>
      <c r="M25" s="19"/>
      <c r="N25" s="88">
        <f t="shared" si="22"/>
        <v>0</v>
      </c>
      <c r="O25" s="115">
        <f t="shared" si="5"/>
        <v>0.68186274509803846</v>
      </c>
      <c r="P25" s="22">
        <f>O25*N25</f>
        <v>0</v>
      </c>
      <c r="Q25" s="98">
        <v>0</v>
      </c>
      <c r="R25" s="115">
        <f t="shared" si="7"/>
        <v>0.68186274509803846</v>
      </c>
      <c r="S25" s="24">
        <f>R25*Q25</f>
        <v>0</v>
      </c>
      <c r="T25" s="25">
        <f t="shared" ref="T25:T32" si="39">S25-P25</f>
        <v>0</v>
      </c>
      <c r="U25" s="26" t="str">
        <f>IF(ISERROR(T25/P25), "", T25/P25)</f>
        <v/>
      </c>
      <c r="W25" s="18" t="s">
        <v>30</v>
      </c>
      <c r="X25" s="19"/>
      <c r="Y25" s="98">
        <v>0</v>
      </c>
      <c r="Z25" s="115">
        <f t="shared" si="9"/>
        <v>0.68186274509803846</v>
      </c>
      <c r="AA25" s="22">
        <f>Z25*Y25</f>
        <v>0</v>
      </c>
      <c r="AB25" s="28">
        <v>0</v>
      </c>
      <c r="AC25" s="115">
        <f t="shared" si="11"/>
        <v>0.68186274509803846</v>
      </c>
      <c r="AD25" s="24">
        <f>AC25*AB25</f>
        <v>0</v>
      </c>
      <c r="AE25" s="25">
        <f t="shared" ref="AE25:AE32" si="40">AD25-AA25</f>
        <v>0</v>
      </c>
      <c r="AF25" s="26" t="str">
        <f>IF(ISERROR(AE25/AA25), "", AE25/AA25)</f>
        <v/>
      </c>
    </row>
    <row r="26" spans="1:32" x14ac:dyDescent="0.25">
      <c r="A26" s="43" t="s">
        <v>31</v>
      </c>
      <c r="B26" s="44"/>
      <c r="C26" s="45"/>
      <c r="D26" s="46"/>
      <c r="E26" s="47">
        <f>SUM(E17:E25)</f>
        <v>29.871486529477806</v>
      </c>
      <c r="F26" s="91"/>
      <c r="G26" s="109"/>
      <c r="H26" s="49">
        <f>SUM(H17:H25)</f>
        <v>36.726261234648135</v>
      </c>
      <c r="I26" s="36">
        <f t="shared" si="0"/>
        <v>6.8547747051703283</v>
      </c>
      <c r="J26" s="37">
        <f>IF((E26)=0,"",(I26/E26))</f>
        <v>0.22947551332625826</v>
      </c>
      <c r="L26" s="43" t="s">
        <v>31</v>
      </c>
      <c r="M26" s="44"/>
      <c r="N26" s="91"/>
      <c r="O26" s="116"/>
      <c r="P26" s="47">
        <f>SUM(P17:P25)</f>
        <v>36.726261234648135</v>
      </c>
      <c r="Q26" s="101"/>
      <c r="R26" s="116"/>
      <c r="S26" s="49">
        <f>SUM(S17:S25)</f>
        <v>38.826610450334414</v>
      </c>
      <c r="T26" s="36">
        <f t="shared" si="39"/>
        <v>2.1003492156862791</v>
      </c>
      <c r="U26" s="37">
        <f>IF((P26)=0,"",(T26/P26))</f>
        <v>5.7189301199676065E-2</v>
      </c>
      <c r="W26" s="43" t="s">
        <v>31</v>
      </c>
      <c r="X26" s="44"/>
      <c r="Y26" s="101"/>
      <c r="Z26" s="116"/>
      <c r="AA26" s="47">
        <f>SUM(AA17:AA25)</f>
        <v>38.823814813079515</v>
      </c>
      <c r="AB26" s="48"/>
      <c r="AC26" s="116"/>
      <c r="AD26" s="49">
        <f>SUM(AD17:AD25)</f>
        <v>40.938087371308818</v>
      </c>
      <c r="AE26" s="36">
        <f t="shared" si="40"/>
        <v>2.1142725582293025</v>
      </c>
      <c r="AF26" s="37">
        <f>IF((AA26)=0,"",(AE26/AA26))</f>
        <v>5.4458135255606478E-2</v>
      </c>
    </row>
    <row r="27" spans="1:32" x14ac:dyDescent="0.25">
      <c r="A27" s="50" t="s">
        <v>32</v>
      </c>
      <c r="B27" s="19"/>
      <c r="C27" s="51">
        <v>2.7673000000000001</v>
      </c>
      <c r="D27" s="40">
        <v>0.68186274509803846</v>
      </c>
      <c r="E27" s="22">
        <f>D27*C27</f>
        <v>1.8869187745098019</v>
      </c>
      <c r="F27" s="90">
        <v>2.8637999999999999</v>
      </c>
      <c r="G27" s="110">
        <v>0.68186274509803846</v>
      </c>
      <c r="H27" s="24">
        <f>G27*F27</f>
        <v>1.9527185294117624</v>
      </c>
      <c r="I27" s="25">
        <f t="shared" si="0"/>
        <v>6.5799754901960439E-2</v>
      </c>
      <c r="J27" s="26">
        <f>IF(ISERROR(I27/E27), "", I27/E27)</f>
        <v>3.4871535431648032E-2</v>
      </c>
      <c r="L27" s="50" t="s">
        <v>32</v>
      </c>
      <c r="M27" s="19"/>
      <c r="N27" s="90">
        <v>2.8637999999999999</v>
      </c>
      <c r="O27" s="115">
        <f t="shared" si="5"/>
        <v>0.68186274509803846</v>
      </c>
      <c r="P27" s="22">
        <f>O27*N27</f>
        <v>1.9527185294117624</v>
      </c>
      <c r="Q27" s="100">
        <v>2.8637999999999999</v>
      </c>
      <c r="R27" s="115">
        <f t="shared" si="7"/>
        <v>0.68186274509803846</v>
      </c>
      <c r="S27" s="24">
        <f>R27*Q27</f>
        <v>1.9527185294117624</v>
      </c>
      <c r="T27" s="25">
        <f t="shared" si="39"/>
        <v>0</v>
      </c>
      <c r="U27" s="26">
        <f>IF(ISERROR(T27/P27), "", T27/P27)</f>
        <v>0</v>
      </c>
      <c r="W27" s="50" t="s">
        <v>32</v>
      </c>
      <c r="X27" s="19"/>
      <c r="Y27" s="100">
        <v>2.8637999999999999</v>
      </c>
      <c r="Z27" s="115">
        <f t="shared" si="9"/>
        <v>0.68186274509803846</v>
      </c>
      <c r="AA27" s="22">
        <f>Z27*Y27</f>
        <v>1.9527185294117624</v>
      </c>
      <c r="AB27" s="42">
        <v>2.8637999999999999</v>
      </c>
      <c r="AC27" s="115">
        <f t="shared" si="11"/>
        <v>0.68186274509803846</v>
      </c>
      <c r="AD27" s="24">
        <f>AC27*AB27</f>
        <v>1.9527185294117624</v>
      </c>
      <c r="AE27" s="25">
        <f t="shared" si="40"/>
        <v>0</v>
      </c>
      <c r="AF27" s="26">
        <f>IF(ISERROR(AE27/AA27), "", AE27/AA27)</f>
        <v>0</v>
      </c>
    </row>
    <row r="28" spans="1:32" x14ac:dyDescent="0.25">
      <c r="A28" s="52" t="s">
        <v>33</v>
      </c>
      <c r="B28" s="19"/>
      <c r="C28" s="51">
        <v>1.7701</v>
      </c>
      <c r="D28" s="40">
        <v>0.68186274509803846</v>
      </c>
      <c r="E28" s="22">
        <f>D28*C28</f>
        <v>1.2069652450980379</v>
      </c>
      <c r="F28" s="90">
        <v>2.0024999999999999</v>
      </c>
      <c r="G28" s="110">
        <v>0.68186274509803846</v>
      </c>
      <c r="H28" s="24">
        <f>G28*F28</f>
        <v>1.3654301470588219</v>
      </c>
      <c r="I28" s="25">
        <f t="shared" si="0"/>
        <v>0.158464901960784</v>
      </c>
      <c r="J28" s="26">
        <f>IF(ISERROR(I28/E28), "", I28/E28)</f>
        <v>0.13129201740014676</v>
      </c>
      <c r="L28" s="52" t="s">
        <v>33</v>
      </c>
      <c r="M28" s="19"/>
      <c r="N28" s="90">
        <v>2.0024999999999999</v>
      </c>
      <c r="O28" s="115">
        <f t="shared" si="5"/>
        <v>0.68186274509803846</v>
      </c>
      <c r="P28" s="22">
        <f>O28*N28</f>
        <v>1.3654301470588219</v>
      </c>
      <c r="Q28" s="100">
        <v>2.0024999999999999</v>
      </c>
      <c r="R28" s="115">
        <f t="shared" si="7"/>
        <v>0.68186274509803846</v>
      </c>
      <c r="S28" s="24">
        <f>R28*Q28</f>
        <v>1.3654301470588219</v>
      </c>
      <c r="T28" s="25">
        <f t="shared" si="39"/>
        <v>0</v>
      </c>
      <c r="U28" s="26">
        <f>IF(ISERROR(T28/P28), "", T28/P28)</f>
        <v>0</v>
      </c>
      <c r="W28" s="52" t="s">
        <v>33</v>
      </c>
      <c r="X28" s="19"/>
      <c r="Y28" s="100">
        <v>2.0024999999999999</v>
      </c>
      <c r="Z28" s="115">
        <f t="shared" si="9"/>
        <v>0.68186274509803846</v>
      </c>
      <c r="AA28" s="22">
        <f>Z28*Y28</f>
        <v>1.3654301470588219</v>
      </c>
      <c r="AB28" s="42">
        <v>2.0024999999999999</v>
      </c>
      <c r="AC28" s="115">
        <f t="shared" si="11"/>
        <v>0.68186274509803846</v>
      </c>
      <c r="AD28" s="24">
        <f>AC28*AB28</f>
        <v>1.3654301470588219</v>
      </c>
      <c r="AE28" s="25">
        <f t="shared" si="40"/>
        <v>0</v>
      </c>
      <c r="AF28" s="26">
        <f>IF(ISERROR(AE28/AA28), "", AE28/AA28)</f>
        <v>0</v>
      </c>
    </row>
    <row r="29" spans="1:32" x14ac:dyDescent="0.25">
      <c r="A29" s="43" t="s">
        <v>34</v>
      </c>
      <c r="B29" s="30"/>
      <c r="C29" s="45"/>
      <c r="D29" s="46"/>
      <c r="E29" s="47">
        <f>SUM(E26:E28)</f>
        <v>32.965370549085648</v>
      </c>
      <c r="F29" s="91"/>
      <c r="G29" s="109"/>
      <c r="H29" s="49">
        <f>SUM(H26:H28)</f>
        <v>40.04440991111872</v>
      </c>
      <c r="I29" s="36">
        <f t="shared" si="0"/>
        <v>7.0790393620330718</v>
      </c>
      <c r="J29" s="37">
        <f>IF((E29)=0,"",(I29/E29))</f>
        <v>0.21474168935830212</v>
      </c>
      <c r="L29" s="43" t="s">
        <v>34</v>
      </c>
      <c r="M29" s="30"/>
      <c r="N29" s="91"/>
      <c r="O29" s="116"/>
      <c r="P29" s="47">
        <f>SUM(P26:P28)</f>
        <v>40.04440991111872</v>
      </c>
      <c r="Q29" s="101"/>
      <c r="R29" s="116"/>
      <c r="S29" s="49">
        <f>SUM(S26:S28)</f>
        <v>42.144759126804999</v>
      </c>
      <c r="T29" s="36">
        <f t="shared" si="39"/>
        <v>2.1003492156862791</v>
      </c>
      <c r="U29" s="37">
        <f>IF((P29)=0,"",(T29/P29))</f>
        <v>5.2450497344027451E-2</v>
      </c>
      <c r="W29" s="43" t="s">
        <v>34</v>
      </c>
      <c r="X29" s="30"/>
      <c r="Y29" s="101"/>
      <c r="Z29" s="116"/>
      <c r="AA29" s="47">
        <f>SUM(AA26:AA28)</f>
        <v>42.141963489550101</v>
      </c>
      <c r="AB29" s="48"/>
      <c r="AC29" s="116"/>
      <c r="AD29" s="49">
        <f>SUM(AD26:AD28)</f>
        <v>44.256236047779403</v>
      </c>
      <c r="AE29" s="36">
        <f t="shared" si="40"/>
        <v>2.1142725582293025</v>
      </c>
      <c r="AF29" s="37">
        <f>IF((AA29)=0,"",(AE29/AA29))</f>
        <v>5.0170243224513647E-2</v>
      </c>
    </row>
    <row r="30" spans="1:32" x14ac:dyDescent="0.25">
      <c r="A30" s="38" t="s">
        <v>35</v>
      </c>
      <c r="B30" s="19"/>
      <c r="C30" s="53">
        <v>4.5000000000000005E-3</v>
      </c>
      <c r="D30" s="40">
        <v>256.22697759068649</v>
      </c>
      <c r="E30" s="54">
        <f t="shared" ref="E30:E36" si="41">D30*C30</f>
        <v>1.1530213991580893</v>
      </c>
      <c r="F30" s="88">
        <f>'[2]3. Regulatory Charges'!$E$15+'[2]3. Regulatory Charges'!$E$16</f>
        <v>4.5000000000000005E-3</v>
      </c>
      <c r="G30" s="110">
        <v>256.47144565441198</v>
      </c>
      <c r="H30" s="24">
        <f t="shared" ref="H30:H36" si="42">G30*F30</f>
        <v>1.1541215054448541</v>
      </c>
      <c r="I30" s="25">
        <f t="shared" si="0"/>
        <v>1.1001062867648237E-3</v>
      </c>
      <c r="J30" s="26">
        <f t="shared" ref="J30:J38" si="43">IF(ISERROR(I30/E30), "", I30/E30)</f>
        <v>9.5410743249700039E-4</v>
      </c>
      <c r="L30" s="38" t="s">
        <v>35</v>
      </c>
      <c r="M30" s="19"/>
      <c r="N30" s="88">
        <f>'[2]3. Regulatory Charges'!$E$15+'[2]3. Regulatory Charges'!$E$16</f>
        <v>4.5000000000000005E-3</v>
      </c>
      <c r="O30" s="115">
        <f t="shared" si="5"/>
        <v>256.47144565441198</v>
      </c>
      <c r="P30" s="54">
        <f t="shared" ref="P30:P32" si="44">O30*N30</f>
        <v>1.1541215054448541</v>
      </c>
      <c r="Q30" s="98">
        <v>4.5000000000000005E-3</v>
      </c>
      <c r="R30" s="115">
        <f t="shared" si="7"/>
        <v>256.47144565441198</v>
      </c>
      <c r="S30" s="24">
        <f t="shared" ref="S30:S32" si="45">R30*Q30</f>
        <v>1.1541215054448541</v>
      </c>
      <c r="T30" s="25">
        <f t="shared" si="39"/>
        <v>0</v>
      </c>
      <c r="U30" s="26">
        <f t="shared" ref="U30:U32" si="46">IF(ISERROR(T30/P30), "", T30/P30)</f>
        <v>0</v>
      </c>
      <c r="W30" s="38" t="s">
        <v>35</v>
      </c>
      <c r="X30" s="19"/>
      <c r="Y30" s="98">
        <v>4.5000000000000005E-3</v>
      </c>
      <c r="Z30" s="115">
        <f t="shared" si="9"/>
        <v>256.47144565441198</v>
      </c>
      <c r="AA30" s="54">
        <f t="shared" ref="AA30:AA32" si="47">Z30*Y30</f>
        <v>1.1541215054448541</v>
      </c>
      <c r="AB30" s="28">
        <v>4.5000000000000005E-3</v>
      </c>
      <c r="AC30" s="115">
        <f t="shared" si="11"/>
        <v>256.47144565441198</v>
      </c>
      <c r="AD30" s="24">
        <f t="shared" ref="AD30:AD32" si="48">AC30*AB30</f>
        <v>1.1541215054448541</v>
      </c>
      <c r="AE30" s="25">
        <f t="shared" si="40"/>
        <v>0</v>
      </c>
      <c r="AF30" s="26">
        <f t="shared" ref="AF30:AF32" si="49">IF(ISERROR(AE30/AA30), "", AE30/AA30)</f>
        <v>0</v>
      </c>
    </row>
    <row r="31" spans="1:32" x14ac:dyDescent="0.25">
      <c r="A31" s="38" t="s">
        <v>36</v>
      </c>
      <c r="B31" s="19"/>
      <c r="C31" s="53">
        <v>1.4E-3</v>
      </c>
      <c r="D31" s="40">
        <v>256.22697759068649</v>
      </c>
      <c r="E31" s="54">
        <f t="shared" si="41"/>
        <v>0.35871776862696109</v>
      </c>
      <c r="F31" s="88">
        <f>'[2]3. Regulatory Charges'!$E$17</f>
        <v>1.4E-3</v>
      </c>
      <c r="G31" s="110">
        <v>256.47144565441198</v>
      </c>
      <c r="H31" s="24">
        <f t="shared" si="42"/>
        <v>0.35906002391617675</v>
      </c>
      <c r="I31" s="25">
        <f t="shared" si="0"/>
        <v>3.4225528921566495E-4</v>
      </c>
      <c r="J31" s="26">
        <f t="shared" si="43"/>
        <v>9.5410743249683884E-4</v>
      </c>
      <c r="L31" s="38" t="s">
        <v>36</v>
      </c>
      <c r="M31" s="19"/>
      <c r="N31" s="88">
        <f>'[2]3. Regulatory Charges'!$E$17</f>
        <v>1.4E-3</v>
      </c>
      <c r="O31" s="115">
        <f t="shared" si="5"/>
        <v>256.47144565441198</v>
      </c>
      <c r="P31" s="54">
        <f t="shared" si="44"/>
        <v>0.35906002391617675</v>
      </c>
      <c r="Q31" s="98">
        <v>1.4E-3</v>
      </c>
      <c r="R31" s="115">
        <f t="shared" si="7"/>
        <v>256.47144565441198</v>
      </c>
      <c r="S31" s="24">
        <f t="shared" si="45"/>
        <v>0.35906002391617675</v>
      </c>
      <c r="T31" s="25">
        <f t="shared" si="39"/>
        <v>0</v>
      </c>
      <c r="U31" s="26">
        <f t="shared" si="46"/>
        <v>0</v>
      </c>
      <c r="W31" s="38" t="s">
        <v>36</v>
      </c>
      <c r="X31" s="19"/>
      <c r="Y31" s="98">
        <v>1.4E-3</v>
      </c>
      <c r="Z31" s="115">
        <f t="shared" si="9"/>
        <v>256.47144565441198</v>
      </c>
      <c r="AA31" s="54">
        <f t="shared" si="47"/>
        <v>0.35906002391617675</v>
      </c>
      <c r="AB31" s="28">
        <v>1.4E-3</v>
      </c>
      <c r="AC31" s="115">
        <f t="shared" si="11"/>
        <v>256.47144565441198</v>
      </c>
      <c r="AD31" s="24">
        <f t="shared" si="48"/>
        <v>0.35906002391617675</v>
      </c>
      <c r="AE31" s="25">
        <f t="shared" si="40"/>
        <v>0</v>
      </c>
      <c r="AF31" s="26">
        <f t="shared" si="49"/>
        <v>0</v>
      </c>
    </row>
    <row r="32" spans="1:32" x14ac:dyDescent="0.25">
      <c r="A32" s="18" t="s">
        <v>37</v>
      </c>
      <c r="B32" s="19"/>
      <c r="C32" s="55">
        <v>0.25</v>
      </c>
      <c r="D32" s="21">
        <v>1</v>
      </c>
      <c r="E32" s="54">
        <f t="shared" si="41"/>
        <v>0.25</v>
      </c>
      <c r="F32" s="87">
        <f>'[2]3. Regulatory Charges'!$E$18</f>
        <v>0.25</v>
      </c>
      <c r="G32" s="107">
        <v>1</v>
      </c>
      <c r="H32" s="24">
        <f t="shared" si="42"/>
        <v>0.25</v>
      </c>
      <c r="I32" s="25">
        <f t="shared" si="0"/>
        <v>0</v>
      </c>
      <c r="J32" s="26">
        <f t="shared" si="43"/>
        <v>0</v>
      </c>
      <c r="L32" s="18" t="s">
        <v>37</v>
      </c>
      <c r="M32" s="19"/>
      <c r="N32" s="87">
        <f>'[2]3. Regulatory Charges'!$E$18</f>
        <v>0.25</v>
      </c>
      <c r="O32" s="113">
        <f t="shared" si="5"/>
        <v>1</v>
      </c>
      <c r="P32" s="54">
        <f t="shared" si="44"/>
        <v>0.25</v>
      </c>
      <c r="Q32" s="97">
        <v>0.25</v>
      </c>
      <c r="R32" s="113">
        <f t="shared" si="7"/>
        <v>1</v>
      </c>
      <c r="S32" s="24">
        <f t="shared" si="45"/>
        <v>0.25</v>
      </c>
      <c r="T32" s="25">
        <f t="shared" si="39"/>
        <v>0</v>
      </c>
      <c r="U32" s="26">
        <f t="shared" si="46"/>
        <v>0</v>
      </c>
      <c r="W32" s="18" t="s">
        <v>37</v>
      </c>
      <c r="X32" s="19"/>
      <c r="Y32" s="97">
        <v>0.25</v>
      </c>
      <c r="Z32" s="113">
        <f t="shared" si="9"/>
        <v>1</v>
      </c>
      <c r="AA32" s="54">
        <f t="shared" si="47"/>
        <v>0.25</v>
      </c>
      <c r="AB32" s="23">
        <v>0.25</v>
      </c>
      <c r="AC32" s="113">
        <f t="shared" si="11"/>
        <v>1</v>
      </c>
      <c r="AD32" s="24">
        <f t="shared" si="48"/>
        <v>0.25</v>
      </c>
      <c r="AE32" s="25">
        <f t="shared" si="40"/>
        <v>0</v>
      </c>
      <c r="AF32" s="26">
        <f t="shared" si="49"/>
        <v>0</v>
      </c>
    </row>
    <row r="33" spans="1:32" ht="25.5" x14ac:dyDescent="0.25">
      <c r="A33" s="38" t="s">
        <v>38</v>
      </c>
      <c r="B33" s="19"/>
      <c r="C33" s="51"/>
      <c r="D33" s="40"/>
      <c r="E33" s="54"/>
      <c r="F33" s="90"/>
      <c r="G33" s="110"/>
      <c r="H33" s="24"/>
      <c r="I33" s="25"/>
      <c r="J33" s="26"/>
      <c r="L33" s="38" t="s">
        <v>38</v>
      </c>
      <c r="M33" s="19"/>
      <c r="N33" s="90"/>
      <c r="O33" s="115">
        <f t="shared" si="5"/>
        <v>0</v>
      </c>
      <c r="P33" s="54"/>
      <c r="Q33" s="100"/>
      <c r="R33" s="115">
        <f t="shared" si="7"/>
        <v>0</v>
      </c>
      <c r="S33" s="24"/>
      <c r="T33" s="25"/>
      <c r="U33" s="26"/>
      <c r="W33" s="38" t="s">
        <v>38</v>
      </c>
      <c r="X33" s="19"/>
      <c r="Y33" s="100"/>
      <c r="Z33" s="115">
        <f t="shared" si="9"/>
        <v>0</v>
      </c>
      <c r="AA33" s="54"/>
      <c r="AB33" s="42"/>
      <c r="AC33" s="115">
        <f t="shared" si="11"/>
        <v>0</v>
      </c>
      <c r="AD33" s="24"/>
      <c r="AE33" s="25"/>
      <c r="AF33" s="26"/>
    </row>
    <row r="34" spans="1:32" x14ac:dyDescent="0.25">
      <c r="A34" s="18" t="s">
        <v>39</v>
      </c>
      <c r="B34" s="19"/>
      <c r="C34" s="53">
        <f>OffPeak</f>
        <v>8.6999999999999994E-2</v>
      </c>
      <c r="D34" s="56">
        <v>154.01488014705896</v>
      </c>
      <c r="E34" s="54">
        <f t="shared" si="41"/>
        <v>13.399294572794128</v>
      </c>
      <c r="F34" s="88">
        <f>OffPeak</f>
        <v>8.6999999999999994E-2</v>
      </c>
      <c r="G34" s="110">
        <v>154.01488014705896</v>
      </c>
      <c r="H34" s="24">
        <f t="shared" si="42"/>
        <v>13.399294572794128</v>
      </c>
      <c r="I34" s="25">
        <f>H34-E34</f>
        <v>0</v>
      </c>
      <c r="J34" s="26">
        <f t="shared" si="43"/>
        <v>0</v>
      </c>
      <c r="L34" s="18" t="s">
        <v>39</v>
      </c>
      <c r="M34" s="19"/>
      <c r="N34" s="88">
        <f>OffPeak</f>
        <v>8.6999999999999994E-2</v>
      </c>
      <c r="O34" s="115">
        <f t="shared" si="5"/>
        <v>154.01488014705896</v>
      </c>
      <c r="P34" s="54">
        <f t="shared" ref="P34:P36" si="50">O34*N34</f>
        <v>13.399294572794128</v>
      </c>
      <c r="Q34" s="98">
        <v>8.6999999999999994E-2</v>
      </c>
      <c r="R34" s="115">
        <f t="shared" si="7"/>
        <v>154.01488014705896</v>
      </c>
      <c r="S34" s="24">
        <f t="shared" ref="S34:S36" si="51">R34*Q34</f>
        <v>13.399294572794128</v>
      </c>
      <c r="T34" s="25">
        <f>S34-P34</f>
        <v>0</v>
      </c>
      <c r="U34" s="26">
        <f t="shared" ref="U34:U38" si="52">IF(ISERROR(T34/P34), "", T34/P34)</f>
        <v>0</v>
      </c>
      <c r="W34" s="18" t="s">
        <v>39</v>
      </c>
      <c r="X34" s="19"/>
      <c r="Y34" s="98">
        <v>8.6999999999999994E-2</v>
      </c>
      <c r="Z34" s="115">
        <f t="shared" si="9"/>
        <v>154.01488014705896</v>
      </c>
      <c r="AA34" s="54">
        <f t="shared" ref="AA34:AA36" si="53">Z34*Y34</f>
        <v>13.399294572794128</v>
      </c>
      <c r="AB34" s="57">
        <v>8.6999999999999994E-2</v>
      </c>
      <c r="AC34" s="115">
        <f t="shared" si="11"/>
        <v>154.01488014705896</v>
      </c>
      <c r="AD34" s="24">
        <f t="shared" ref="AD34:AD36" si="54">AC34*AB34</f>
        <v>13.399294572794128</v>
      </c>
      <c r="AE34" s="25">
        <f>AD34-AA34</f>
        <v>0</v>
      </c>
      <c r="AF34" s="26">
        <f t="shared" ref="AF34:AF38" si="55">IF(ISERROR(AE34/AA34), "", AE34/AA34)</f>
        <v>0</v>
      </c>
    </row>
    <row r="35" spans="1:32" x14ac:dyDescent="0.25">
      <c r="A35" s="18" t="s">
        <v>40</v>
      </c>
      <c r="B35" s="19"/>
      <c r="C35" s="53">
        <f>MidPeak</f>
        <v>0.122</v>
      </c>
      <c r="D35" s="56">
        <v>44.004251470588272</v>
      </c>
      <c r="E35" s="54">
        <f t="shared" si="41"/>
        <v>5.3685186794117694</v>
      </c>
      <c r="F35" s="88">
        <f>MidPeak</f>
        <v>0.122</v>
      </c>
      <c r="G35" s="110">
        <v>44.004251470588272</v>
      </c>
      <c r="H35" s="24">
        <f t="shared" si="42"/>
        <v>5.3685186794117694</v>
      </c>
      <c r="I35" s="25">
        <f>H35-E35</f>
        <v>0</v>
      </c>
      <c r="J35" s="26">
        <f t="shared" si="43"/>
        <v>0</v>
      </c>
      <c r="L35" s="18" t="s">
        <v>40</v>
      </c>
      <c r="M35" s="19"/>
      <c r="N35" s="88">
        <f>MidPeak</f>
        <v>0.122</v>
      </c>
      <c r="O35" s="115">
        <f t="shared" si="5"/>
        <v>44.004251470588272</v>
      </c>
      <c r="P35" s="54">
        <f t="shared" si="50"/>
        <v>5.3685186794117694</v>
      </c>
      <c r="Q35" s="98">
        <v>0.122</v>
      </c>
      <c r="R35" s="115">
        <f t="shared" si="7"/>
        <v>44.004251470588272</v>
      </c>
      <c r="S35" s="24">
        <f t="shared" si="51"/>
        <v>5.3685186794117694</v>
      </c>
      <c r="T35" s="25">
        <f>S35-P35</f>
        <v>0</v>
      </c>
      <c r="U35" s="26">
        <f t="shared" si="52"/>
        <v>0</v>
      </c>
      <c r="W35" s="18" t="s">
        <v>40</v>
      </c>
      <c r="X35" s="19"/>
      <c r="Y35" s="98">
        <v>0.122</v>
      </c>
      <c r="Z35" s="115">
        <f t="shared" si="9"/>
        <v>44.004251470588272</v>
      </c>
      <c r="AA35" s="54">
        <f t="shared" si="53"/>
        <v>5.3685186794117694</v>
      </c>
      <c r="AB35" s="57">
        <v>0.122</v>
      </c>
      <c r="AC35" s="115">
        <f t="shared" si="11"/>
        <v>44.004251470588272</v>
      </c>
      <c r="AD35" s="24">
        <f t="shared" si="54"/>
        <v>5.3685186794117694</v>
      </c>
      <c r="AE35" s="25">
        <f>AD35-AA35</f>
        <v>0</v>
      </c>
      <c r="AF35" s="26">
        <f t="shared" si="55"/>
        <v>0</v>
      </c>
    </row>
    <row r="36" spans="1:32" x14ac:dyDescent="0.25">
      <c r="A36" s="2" t="s">
        <v>41</v>
      </c>
      <c r="B36" s="19"/>
      <c r="C36" s="53">
        <f>OnPeak</f>
        <v>0.182</v>
      </c>
      <c r="D36" s="56">
        <v>46.448932107843177</v>
      </c>
      <c r="E36" s="54">
        <f t="shared" si="41"/>
        <v>8.4537056436274582</v>
      </c>
      <c r="F36" s="88">
        <f>OnPeak</f>
        <v>0.182</v>
      </c>
      <c r="G36" s="110">
        <v>46.448932107843177</v>
      </c>
      <c r="H36" s="24">
        <f t="shared" si="42"/>
        <v>8.4537056436274582</v>
      </c>
      <c r="I36" s="25">
        <f>H36-E36</f>
        <v>0</v>
      </c>
      <c r="J36" s="26">
        <f t="shared" si="43"/>
        <v>0</v>
      </c>
      <c r="L36" s="2" t="s">
        <v>41</v>
      </c>
      <c r="M36" s="19"/>
      <c r="N36" s="88">
        <f>OnPeak</f>
        <v>0.182</v>
      </c>
      <c r="O36" s="115">
        <f t="shared" si="5"/>
        <v>46.448932107843177</v>
      </c>
      <c r="P36" s="54">
        <f t="shared" si="50"/>
        <v>8.4537056436274582</v>
      </c>
      <c r="Q36" s="98">
        <v>0.182</v>
      </c>
      <c r="R36" s="115">
        <f t="shared" si="7"/>
        <v>46.448932107843177</v>
      </c>
      <c r="S36" s="24">
        <f t="shared" si="51"/>
        <v>8.4537056436274582</v>
      </c>
      <c r="T36" s="25">
        <f>S36-P36</f>
        <v>0</v>
      </c>
      <c r="U36" s="26">
        <f t="shared" si="52"/>
        <v>0</v>
      </c>
      <c r="W36" s="2" t="s">
        <v>41</v>
      </c>
      <c r="X36" s="19"/>
      <c r="Y36" s="98">
        <v>0.182</v>
      </c>
      <c r="Z36" s="115">
        <f t="shared" si="9"/>
        <v>46.448932107843177</v>
      </c>
      <c r="AA36" s="54">
        <f t="shared" si="53"/>
        <v>8.4537056436274582</v>
      </c>
      <c r="AB36" s="57">
        <v>0.182</v>
      </c>
      <c r="AC36" s="115">
        <f t="shared" si="11"/>
        <v>46.448932107843177</v>
      </c>
      <c r="AD36" s="24">
        <f t="shared" si="54"/>
        <v>8.4537056436274582</v>
      </c>
      <c r="AE36" s="25">
        <f>AD36-AA36</f>
        <v>0</v>
      </c>
      <c r="AF36" s="26">
        <f t="shared" si="55"/>
        <v>0</v>
      </c>
    </row>
    <row r="37" spans="1:32" x14ac:dyDescent="0.25">
      <c r="A37" s="18" t="s">
        <v>42</v>
      </c>
      <c r="B37" s="19"/>
      <c r="C37" s="58">
        <v>9.9500000000000005E-2</v>
      </c>
      <c r="D37" s="56">
        <v>244.4680637254904</v>
      </c>
      <c r="E37" s="54">
        <f>D37*C37</f>
        <v>24.324572340686295</v>
      </c>
      <c r="F37" s="92">
        <f>C37</f>
        <v>9.9500000000000005E-2</v>
      </c>
      <c r="G37" s="110">
        <v>244.4680637254904</v>
      </c>
      <c r="H37" s="24">
        <f>G37*F37</f>
        <v>24.324572340686295</v>
      </c>
      <c r="I37" s="25">
        <f>H37-E37</f>
        <v>0</v>
      </c>
      <c r="J37" s="26">
        <f t="shared" si="43"/>
        <v>0</v>
      </c>
      <c r="L37" s="18" t="s">
        <v>42</v>
      </c>
      <c r="M37" s="19"/>
      <c r="N37" s="92">
        <f>K37</f>
        <v>0</v>
      </c>
      <c r="O37" s="115">
        <f t="shared" si="5"/>
        <v>244.4680637254904</v>
      </c>
      <c r="P37" s="54">
        <f>O37*N37</f>
        <v>0</v>
      </c>
      <c r="Q37" s="102">
        <f>N37</f>
        <v>0</v>
      </c>
      <c r="R37" s="115">
        <f t="shared" si="7"/>
        <v>244.4680637254904</v>
      </c>
      <c r="S37" s="24">
        <f>R37*Q37</f>
        <v>0</v>
      </c>
      <c r="T37" s="25">
        <f>S37-P37</f>
        <v>0</v>
      </c>
      <c r="U37" s="26" t="str">
        <f t="shared" si="52"/>
        <v/>
      </c>
      <c r="W37" s="18" t="s">
        <v>42</v>
      </c>
      <c r="X37" s="19"/>
      <c r="Y37" s="102">
        <v>0</v>
      </c>
      <c r="Z37" s="115">
        <f t="shared" si="9"/>
        <v>244.4680637254904</v>
      </c>
      <c r="AA37" s="54">
        <f>Z37*Y37</f>
        <v>0</v>
      </c>
      <c r="AB37" s="59">
        <f>Y37</f>
        <v>0</v>
      </c>
      <c r="AC37" s="115">
        <f t="shared" si="11"/>
        <v>244.4680637254904</v>
      </c>
      <c r="AD37" s="24">
        <f>AC37*AB37</f>
        <v>0</v>
      </c>
      <c r="AE37" s="25">
        <f>AD37-AA37</f>
        <v>0</v>
      </c>
      <c r="AF37" s="26" t="str">
        <f t="shared" si="55"/>
        <v/>
      </c>
    </row>
    <row r="38" spans="1:32" ht="15.75" thickBot="1" x14ac:dyDescent="0.3">
      <c r="A38" s="18" t="s">
        <v>43</v>
      </c>
      <c r="B38" s="19"/>
      <c r="C38" s="58">
        <v>9.9500000000000005E-2</v>
      </c>
      <c r="D38" s="56">
        <v>244.4680637254904</v>
      </c>
      <c r="E38" s="54">
        <f>D38*C38</f>
        <v>24.324572340686295</v>
      </c>
      <c r="F38" s="92">
        <f>C38</f>
        <v>9.9500000000000005E-2</v>
      </c>
      <c r="G38" s="110">
        <v>244.4680637254904</v>
      </c>
      <c r="H38" s="24">
        <f>G38*F38</f>
        <v>24.324572340686295</v>
      </c>
      <c r="I38" s="25">
        <f>H38-E38</f>
        <v>0</v>
      </c>
      <c r="J38" s="26">
        <f t="shared" si="43"/>
        <v>0</v>
      </c>
      <c r="L38" s="18" t="s">
        <v>43</v>
      </c>
      <c r="M38" s="19"/>
      <c r="N38" s="92">
        <f>K38</f>
        <v>0</v>
      </c>
      <c r="O38" s="115">
        <f t="shared" si="5"/>
        <v>244.4680637254904</v>
      </c>
      <c r="P38" s="54">
        <f>O38*N38</f>
        <v>0</v>
      </c>
      <c r="Q38" s="102">
        <f>N38</f>
        <v>0</v>
      </c>
      <c r="R38" s="115">
        <f t="shared" si="7"/>
        <v>244.4680637254904</v>
      </c>
      <c r="S38" s="24">
        <f>R38*Q38</f>
        <v>0</v>
      </c>
      <c r="T38" s="25">
        <f>S38-P38</f>
        <v>0</v>
      </c>
      <c r="U38" s="26" t="str">
        <f t="shared" si="52"/>
        <v/>
      </c>
      <c r="W38" s="18" t="s">
        <v>43</v>
      </c>
      <c r="X38" s="19"/>
      <c r="Y38" s="102">
        <v>0</v>
      </c>
      <c r="Z38" s="115">
        <f t="shared" si="9"/>
        <v>244.4680637254904</v>
      </c>
      <c r="AA38" s="54">
        <f>Z38*Y38</f>
        <v>0</v>
      </c>
      <c r="AB38" s="59">
        <f>Y38</f>
        <v>0</v>
      </c>
      <c r="AC38" s="115">
        <f t="shared" si="11"/>
        <v>244.4680637254904</v>
      </c>
      <c r="AD38" s="24">
        <f>AC38*AB38</f>
        <v>0</v>
      </c>
      <c r="AE38" s="25">
        <f>AD38-AA38</f>
        <v>0</v>
      </c>
      <c r="AF38" s="26" t="str">
        <f t="shared" si="55"/>
        <v/>
      </c>
    </row>
    <row r="39" spans="1:32" ht="15.75" thickBot="1" x14ac:dyDescent="0.3">
      <c r="A39" s="60"/>
      <c r="B39" s="61"/>
      <c r="C39" s="62"/>
      <c r="D39" s="63"/>
      <c r="E39" s="64"/>
      <c r="F39" s="93"/>
      <c r="G39" s="111"/>
      <c r="H39" s="64"/>
      <c r="I39" s="66"/>
      <c r="J39" s="67"/>
      <c r="L39" s="60"/>
      <c r="M39" s="61"/>
      <c r="N39" s="93"/>
      <c r="O39" s="117"/>
      <c r="P39" s="64"/>
      <c r="Q39" s="103"/>
      <c r="R39" s="117"/>
      <c r="S39" s="64"/>
      <c r="T39" s="66"/>
      <c r="U39" s="67"/>
      <c r="W39" s="60"/>
      <c r="X39" s="61"/>
      <c r="Y39" s="103"/>
      <c r="Z39" s="117"/>
      <c r="AA39" s="64"/>
      <c r="AB39" s="62"/>
      <c r="AC39" s="117"/>
      <c r="AD39" s="64"/>
      <c r="AE39" s="66"/>
      <c r="AF39" s="67"/>
    </row>
    <row r="40" spans="1:32" x14ac:dyDescent="0.25">
      <c r="A40" s="68" t="s">
        <v>44</v>
      </c>
      <c r="B40" s="18"/>
      <c r="C40" s="69"/>
      <c r="D40" s="70"/>
      <c r="E40" s="71">
        <f>SUM(E30:E36,E29)</f>
        <v>61.948628612704056</v>
      </c>
      <c r="F40" s="94"/>
      <c r="G40" s="112"/>
      <c r="H40" s="71">
        <f>SUM(H30:H36,H29)</f>
        <v>69.02911033631311</v>
      </c>
      <c r="I40" s="73">
        <f>H40-E40</f>
        <v>7.0804817236090543</v>
      </c>
      <c r="J40" s="74">
        <f>IF((E40)=0,"",(I40/E40))</f>
        <v>0.11429602046359152</v>
      </c>
      <c r="L40" s="68" t="s">
        <v>44</v>
      </c>
      <c r="M40" s="18"/>
      <c r="N40" s="94"/>
      <c r="O40" s="118"/>
      <c r="P40" s="71">
        <f>SUM(P30:P36,P29)</f>
        <v>69.02911033631311</v>
      </c>
      <c r="Q40" s="104"/>
      <c r="R40" s="118"/>
      <c r="S40" s="71">
        <f>SUM(S30:S36,S29)</f>
        <v>71.129459551999389</v>
      </c>
      <c r="T40" s="73">
        <f>S40-P40</f>
        <v>2.1003492156862791</v>
      </c>
      <c r="U40" s="74">
        <f>IF((P40)=0,"",(T40/P40))</f>
        <v>3.0427006888155993E-2</v>
      </c>
      <c r="W40" s="68" t="s">
        <v>44</v>
      </c>
      <c r="X40" s="18"/>
      <c r="Y40" s="104"/>
      <c r="Z40" s="118"/>
      <c r="AA40" s="71">
        <f>SUM(AA30:AA36,AA29)</f>
        <v>71.126663914744483</v>
      </c>
      <c r="AB40" s="72"/>
      <c r="AC40" s="118"/>
      <c r="AD40" s="71">
        <f>SUM(AD30:AD36,AD29)</f>
        <v>73.240936472973786</v>
      </c>
      <c r="AE40" s="73">
        <f>AD40-AA40</f>
        <v>2.1142725582293025</v>
      </c>
      <c r="AF40" s="74">
        <f>IF((AA40)=0,"",(AE40/AA40))</f>
        <v>2.9725456556820403E-2</v>
      </c>
    </row>
    <row r="41" spans="1:32" x14ac:dyDescent="0.25">
      <c r="A41" s="75" t="s">
        <v>45</v>
      </c>
      <c r="B41" s="18"/>
      <c r="C41" s="69">
        <v>0.13</v>
      </c>
      <c r="D41" s="50"/>
      <c r="E41" s="76">
        <f>E40*C41</f>
        <v>8.0533217196515281</v>
      </c>
      <c r="F41" s="95">
        <v>0.13</v>
      </c>
      <c r="G41" s="113"/>
      <c r="H41" s="76">
        <f>H40*F41</f>
        <v>8.9737843437207054</v>
      </c>
      <c r="I41" s="25">
        <f>H41-E41</f>
        <v>0.92046262406917734</v>
      </c>
      <c r="J41" s="78">
        <f>IF((E41)=0,"",(I41/E41))</f>
        <v>0.11429602046359155</v>
      </c>
      <c r="L41" s="75" t="s">
        <v>45</v>
      </c>
      <c r="M41" s="18"/>
      <c r="N41" s="95">
        <v>0.13</v>
      </c>
      <c r="O41" s="119"/>
      <c r="P41" s="76">
        <f>P40*N41</f>
        <v>8.9737843437207054</v>
      </c>
      <c r="Q41" s="105">
        <v>0.13</v>
      </c>
      <c r="R41" s="119"/>
      <c r="S41" s="76">
        <f>S40*Q41</f>
        <v>9.246829741759921</v>
      </c>
      <c r="T41" s="25">
        <f>S41-P41</f>
        <v>0.27304539803921557</v>
      </c>
      <c r="U41" s="78">
        <f>IF((P41)=0,"",(T41/P41))</f>
        <v>3.0427006888155909E-2</v>
      </c>
      <c r="W41" s="75" t="s">
        <v>45</v>
      </c>
      <c r="X41" s="18"/>
      <c r="Y41" s="105">
        <v>0.13</v>
      </c>
      <c r="Z41" s="119"/>
      <c r="AA41" s="76">
        <f>AA40*Y41</f>
        <v>9.2464663089167836</v>
      </c>
      <c r="AB41" s="77">
        <v>0.13</v>
      </c>
      <c r="AC41" s="119"/>
      <c r="AD41" s="76">
        <f>AD40*AB41</f>
        <v>9.5213217414865934</v>
      </c>
      <c r="AE41" s="25">
        <f>AD41-AA41</f>
        <v>0.27485543256980982</v>
      </c>
      <c r="AF41" s="78">
        <f>IF((AA41)=0,"",(AE41/AA41))</f>
        <v>2.9725456556820455E-2</v>
      </c>
    </row>
    <row r="42" spans="1:32" x14ac:dyDescent="0.25">
      <c r="A42" s="75" t="s">
        <v>46</v>
      </c>
      <c r="B42" s="18"/>
      <c r="C42" s="79">
        <v>0.193</v>
      </c>
      <c r="D42" s="50"/>
      <c r="E42" s="76">
        <f>-C42*E40</f>
        <v>-11.956085322251884</v>
      </c>
      <c r="F42" s="96">
        <v>0.193</v>
      </c>
      <c r="G42" s="113"/>
      <c r="H42" s="76">
        <f>-F42*H40</f>
        <v>-13.32261829490843</v>
      </c>
      <c r="I42" s="25">
        <f>H42-E42</f>
        <v>-1.3665329726565467</v>
      </c>
      <c r="J42" s="78"/>
      <c r="L42" s="75" t="s">
        <v>46</v>
      </c>
      <c r="M42" s="18"/>
      <c r="N42" s="96">
        <v>0.193</v>
      </c>
      <c r="O42" s="119"/>
      <c r="P42" s="76">
        <f>-N42*P40</f>
        <v>-13.32261829490843</v>
      </c>
      <c r="Q42" s="106">
        <v>0.193</v>
      </c>
      <c r="R42" s="119"/>
      <c r="S42" s="76">
        <f>-Q42*S40</f>
        <v>-13.727985693535883</v>
      </c>
      <c r="T42" s="25">
        <f>S42-P42</f>
        <v>-0.40536739862745286</v>
      </c>
      <c r="U42" s="78"/>
      <c r="W42" s="75" t="s">
        <v>46</v>
      </c>
      <c r="X42" s="18"/>
      <c r="Y42" s="106">
        <v>0.193</v>
      </c>
      <c r="Z42" s="119"/>
      <c r="AA42" s="76">
        <f>-Y42*AA40</f>
        <v>-13.727446135545685</v>
      </c>
      <c r="AB42" s="79">
        <v>0.193</v>
      </c>
      <c r="AC42" s="119"/>
      <c r="AD42" s="76">
        <f>-AB42*AD40</f>
        <v>-14.135500739283941</v>
      </c>
      <c r="AE42" s="25">
        <f>AD42-AA42</f>
        <v>-0.40805460373825575</v>
      </c>
      <c r="AF42" s="78"/>
    </row>
    <row r="43" spans="1:32" ht="15.75" thickBot="1" x14ac:dyDescent="0.3">
      <c r="A43" s="167" t="s">
        <v>47</v>
      </c>
      <c r="B43" s="167"/>
      <c r="C43" s="80"/>
      <c r="D43" s="81"/>
      <c r="E43" s="82">
        <f>E40+E41+E42</f>
        <v>58.045865010103711</v>
      </c>
      <c r="F43" s="83"/>
      <c r="G43" s="83"/>
      <c r="H43" s="84">
        <f>H40+H41+H42</f>
        <v>64.680276385125381</v>
      </c>
      <c r="I43" s="85">
        <f>H43-E43</f>
        <v>6.6344113750216707</v>
      </c>
      <c r="J43" s="86">
        <f>IF((E43)=0,"",(I43/E43))</f>
        <v>0.11429602046359127</v>
      </c>
      <c r="L43" s="167" t="s">
        <v>47</v>
      </c>
      <c r="M43" s="167"/>
      <c r="N43" s="80"/>
      <c r="O43" s="81"/>
      <c r="P43" s="82">
        <f>P40+P41+P42</f>
        <v>64.680276385125381</v>
      </c>
      <c r="Q43" s="83"/>
      <c r="R43" s="83"/>
      <c r="S43" s="84">
        <f>S40+S41+S42</f>
        <v>66.648303600223429</v>
      </c>
      <c r="T43" s="85">
        <f>S43-P43</f>
        <v>1.9680272150980471</v>
      </c>
      <c r="U43" s="86">
        <f>IF((P43)=0,"",(T43/P43))</f>
        <v>3.0427006888156052E-2</v>
      </c>
      <c r="W43" s="167" t="s">
        <v>47</v>
      </c>
      <c r="X43" s="167"/>
      <c r="Y43" s="80"/>
      <c r="Z43" s="81"/>
      <c r="AA43" s="82">
        <f>AA40+AA41+AA42</f>
        <v>66.645684088115573</v>
      </c>
      <c r="AB43" s="83"/>
      <c r="AC43" s="83"/>
      <c r="AD43" s="84">
        <f>AD40+AD41+AD42</f>
        <v>68.626757475176433</v>
      </c>
      <c r="AE43" s="85">
        <f>AD43-AA43</f>
        <v>1.9810733870608601</v>
      </c>
      <c r="AF43" s="86">
        <f>IF((AA43)=0,"",(AE43/AA43))</f>
        <v>2.9725456556820462E-2</v>
      </c>
    </row>
    <row r="44" spans="1:32" ht="15.75" thickBot="1" x14ac:dyDescent="0.3">
      <c r="A44" s="60"/>
      <c r="B44" s="61"/>
      <c r="C44" s="62"/>
      <c r="D44" s="63"/>
      <c r="E44" s="64"/>
      <c r="F44" s="62"/>
      <c r="G44" s="65"/>
      <c r="H44" s="64"/>
      <c r="I44" s="66"/>
      <c r="J44" s="67"/>
      <c r="L44" s="60"/>
      <c r="M44" s="61"/>
      <c r="N44" s="62"/>
      <c r="O44" s="63"/>
      <c r="P44" s="64"/>
      <c r="Q44" s="62"/>
      <c r="R44" s="65"/>
      <c r="S44" s="64"/>
      <c r="T44" s="66"/>
      <c r="U44" s="67"/>
      <c r="W44" s="60"/>
      <c r="X44" s="61"/>
      <c r="Y44" s="62"/>
      <c r="Z44" s="63"/>
      <c r="AA44" s="64"/>
      <c r="AB44" s="62"/>
      <c r="AC44" s="65"/>
      <c r="AD44" s="64"/>
      <c r="AE44" s="66"/>
      <c r="AF44" s="67"/>
    </row>
  </sheetData>
  <mergeCells count="27">
    <mergeCell ref="X9:X10"/>
    <mergeCell ref="AE9:AE10"/>
    <mergeCell ref="AF9:AF10"/>
    <mergeCell ref="W43:X43"/>
    <mergeCell ref="X1:AC1"/>
    <mergeCell ref="X2:Z2"/>
    <mergeCell ref="Y8:AA8"/>
    <mergeCell ref="AB8:AD8"/>
    <mergeCell ref="AE8:AF8"/>
    <mergeCell ref="T8:U8"/>
    <mergeCell ref="M9:M10"/>
    <mergeCell ref="T9:T10"/>
    <mergeCell ref="U9:U10"/>
    <mergeCell ref="L43:M43"/>
    <mergeCell ref="I8:J8"/>
    <mergeCell ref="B9:B10"/>
    <mergeCell ref="I9:I10"/>
    <mergeCell ref="J9:J10"/>
    <mergeCell ref="M1:R1"/>
    <mergeCell ref="M2:O2"/>
    <mergeCell ref="N8:P8"/>
    <mergeCell ref="Q8:S8"/>
    <mergeCell ref="A43:B43"/>
    <mergeCell ref="B1:G1"/>
    <mergeCell ref="B2:D2"/>
    <mergeCell ref="C8:E8"/>
    <mergeCell ref="F8:H8"/>
  </mergeCells>
  <dataValidations disablePrompts="1" count="1">
    <dataValidation type="list" allowBlank="1" showInputMessage="1" showErrorMessage="1" prompt="Select Charge Unit - monthly, per kWh, per kW" sqref="B44 B39 M44 M39 X44 X39" xr:uid="{FE430276-D1B6-4D1E-965E-F8DE5605DE81}">
      <formula1>"Monthly, per kWh, per kW"</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4AE2B-20C6-4FF8-8FFD-F32227E29AA7}">
  <dimension ref="A1:D236"/>
  <sheetViews>
    <sheetView topLeftCell="A8" workbookViewId="0">
      <selection activeCell="D29" sqref="D29"/>
    </sheetView>
  </sheetViews>
  <sheetFormatPr defaultColWidth="9.140625" defaultRowHeight="15" x14ac:dyDescent="0.25"/>
  <cols>
    <col min="1" max="1" width="54" style="140" customWidth="1"/>
    <col min="2" max="2" width="16.28515625" style="140" customWidth="1"/>
    <col min="3" max="3" width="10.28515625" style="140" customWidth="1"/>
    <col min="4" max="4" width="9.28515625" style="140" customWidth="1"/>
    <col min="5" max="5" width="9.140625" style="140" customWidth="1"/>
    <col min="6" max="459" width="9.140625" style="140"/>
    <col min="460" max="460" width="74" style="140" customWidth="1"/>
    <col min="461" max="16384" width="9.140625" style="140"/>
  </cols>
  <sheetData>
    <row r="1" spans="1:4" s="138" customFormat="1" ht="23.25" customHeight="1" x14ac:dyDescent="0.25">
      <c r="A1" s="137" t="s">
        <v>85</v>
      </c>
      <c r="B1" s="137"/>
      <c r="C1" s="137"/>
      <c r="D1" s="137"/>
    </row>
    <row r="2" spans="1:4" s="138" customFormat="1" ht="18" customHeight="1" x14ac:dyDescent="0.25">
      <c r="A2" s="136" t="s">
        <v>84</v>
      </c>
      <c r="B2" s="136"/>
      <c r="C2" s="136"/>
      <c r="D2" s="136"/>
    </row>
    <row r="3" spans="1:4" s="138" customFormat="1" ht="15.75" customHeight="1" x14ac:dyDescent="0.25">
      <c r="A3" s="135" t="s">
        <v>83</v>
      </c>
      <c r="B3" s="135"/>
      <c r="C3" s="135"/>
      <c r="D3" s="135"/>
    </row>
    <row r="4" spans="1:4" s="138" customFormat="1" ht="11.25" customHeight="1" x14ac:dyDescent="0.25">
      <c r="A4" s="134" t="s">
        <v>82</v>
      </c>
      <c r="B4" s="134"/>
      <c r="C4" s="134"/>
      <c r="D4" s="134"/>
    </row>
    <row r="5" spans="1:4" s="138" customFormat="1" ht="11.25" customHeight="1" x14ac:dyDescent="0.25">
      <c r="A5" s="134" t="s">
        <v>81</v>
      </c>
      <c r="B5" s="134"/>
      <c r="C5" s="134"/>
      <c r="D5" s="134"/>
    </row>
    <row r="6" spans="1:4" s="138" customFormat="1" ht="11.25" customHeight="1" x14ac:dyDescent="0.25">
      <c r="A6" s="133" t="s">
        <v>80</v>
      </c>
      <c r="B6" s="133"/>
      <c r="C6" s="133"/>
      <c r="D6" s="133"/>
    </row>
    <row r="7" spans="1:4" s="139" customFormat="1" ht="18.75" customHeight="1" x14ac:dyDescent="0.3">
      <c r="A7" s="129" t="s">
        <v>79</v>
      </c>
      <c r="B7" s="128"/>
      <c r="C7" s="128"/>
      <c r="D7" s="128"/>
    </row>
    <row r="8" spans="1:4" s="138" customFormat="1" ht="36" customHeight="1" x14ac:dyDescent="0.25">
      <c r="A8" s="123" t="s">
        <v>78</v>
      </c>
      <c r="B8" s="123"/>
      <c r="C8" s="123"/>
      <c r="D8" s="123"/>
    </row>
    <row r="9" spans="1:4" s="138" customFormat="1" ht="6.75" customHeight="1" x14ac:dyDescent="0.25">
      <c r="A9" s="123"/>
      <c r="B9" s="123"/>
      <c r="C9" s="123"/>
      <c r="D9" s="123"/>
    </row>
    <row r="10" spans="1:4" s="138" customFormat="1" ht="11.25" customHeight="1" x14ac:dyDescent="0.25">
      <c r="A10" s="127" t="s">
        <v>62</v>
      </c>
      <c r="B10" s="123"/>
      <c r="C10" s="123"/>
      <c r="D10" s="123"/>
    </row>
    <row r="11" spans="1:4" s="138" customFormat="1" ht="6.75" customHeight="1" x14ac:dyDescent="0.25">
      <c r="A11" s="127"/>
      <c r="B11" s="123"/>
      <c r="C11" s="123"/>
      <c r="D11" s="123"/>
    </row>
    <row r="12" spans="1:4" s="138" customFormat="1" ht="36" customHeight="1" x14ac:dyDescent="0.25">
      <c r="A12" s="123" t="s">
        <v>59</v>
      </c>
      <c r="B12" s="123"/>
      <c r="C12" s="123"/>
      <c r="D12" s="123"/>
    </row>
    <row r="13" spans="1:4" s="138" customFormat="1" ht="6.75" customHeight="1" x14ac:dyDescent="0.25">
      <c r="A13" s="123"/>
      <c r="B13" s="123"/>
      <c r="C13" s="123"/>
      <c r="D13" s="123"/>
    </row>
    <row r="14" spans="1:4" s="138" customFormat="1" ht="48" customHeight="1" x14ac:dyDescent="0.25">
      <c r="A14" s="123" t="s">
        <v>58</v>
      </c>
      <c r="B14" s="123"/>
      <c r="C14" s="123"/>
      <c r="D14" s="123"/>
    </row>
    <row r="15" spans="1:4" s="138" customFormat="1" ht="6.75" customHeight="1" x14ac:dyDescent="0.25">
      <c r="A15" s="123"/>
      <c r="B15" s="123"/>
      <c r="C15" s="123"/>
      <c r="D15" s="123"/>
    </row>
    <row r="16" spans="1:4" s="138" customFormat="1" ht="48" customHeight="1" x14ac:dyDescent="0.25">
      <c r="A16" s="123" t="s">
        <v>77</v>
      </c>
      <c r="B16" s="123"/>
      <c r="C16" s="123"/>
      <c r="D16" s="123"/>
    </row>
    <row r="17" spans="1:4" s="138" customFormat="1" ht="6.75" customHeight="1" x14ac:dyDescent="0.25">
      <c r="A17" s="123"/>
      <c r="B17" s="123"/>
      <c r="C17" s="123"/>
      <c r="D17" s="123"/>
    </row>
    <row r="18" spans="1:4" s="138" customFormat="1" ht="36" customHeight="1" x14ac:dyDescent="0.25">
      <c r="A18" s="123" t="s">
        <v>57</v>
      </c>
      <c r="B18" s="123"/>
      <c r="C18" s="123"/>
      <c r="D18" s="123"/>
    </row>
    <row r="19" spans="1:4" s="138" customFormat="1" ht="6.75" customHeight="1" x14ac:dyDescent="0.25">
      <c r="A19" s="123"/>
      <c r="B19" s="123"/>
      <c r="C19" s="123"/>
      <c r="D19" s="123"/>
    </row>
    <row r="20" spans="1:4" s="138" customFormat="1" ht="15" customHeight="1" x14ac:dyDescent="0.25">
      <c r="A20" s="124" t="s">
        <v>61</v>
      </c>
      <c r="B20" s="126"/>
      <c r="C20" s="126"/>
      <c r="D20" s="126"/>
    </row>
    <row r="21" spans="1:4" s="138" customFormat="1" ht="6.75" customHeight="1" x14ac:dyDescent="0.25">
      <c r="A21" s="124"/>
      <c r="B21" s="126"/>
      <c r="C21" s="126"/>
      <c r="D21" s="126"/>
    </row>
    <row r="22" spans="1:4" s="138" customFormat="1" ht="11.25" customHeight="1" x14ac:dyDescent="0.25">
      <c r="A22" s="121" t="s">
        <v>76</v>
      </c>
      <c r="B22" s="121"/>
      <c r="C22" s="120" t="s">
        <v>56</v>
      </c>
      <c r="D22" s="125">
        <v>4.8899999999999997</v>
      </c>
    </row>
    <row r="23" spans="1:4" s="138" customFormat="1" ht="11.25" customHeight="1" x14ac:dyDescent="0.25">
      <c r="A23" s="121" t="s">
        <v>17</v>
      </c>
      <c r="B23" s="121"/>
      <c r="C23" s="120" t="s">
        <v>60</v>
      </c>
      <c r="D23" s="131">
        <v>19.154119567784168</v>
      </c>
    </row>
    <row r="24" spans="1:4" s="138" customFormat="1" ht="11.25" customHeight="1" x14ac:dyDescent="0.25">
      <c r="A24" s="121" t="s">
        <v>75</v>
      </c>
      <c r="B24" s="121"/>
      <c r="C24" s="120" t="s">
        <v>60</v>
      </c>
      <c r="D24" s="130">
        <v>1.006</v>
      </c>
    </row>
    <row r="25" spans="1:4" s="138" customFormat="1" ht="11.25" customHeight="1" x14ac:dyDescent="0.25">
      <c r="A25" s="121" t="s">
        <v>74</v>
      </c>
      <c r="B25" s="132"/>
      <c r="C25" s="120" t="s">
        <v>60</v>
      </c>
      <c r="D25" s="130">
        <v>2.2957999999999998</v>
      </c>
    </row>
    <row r="26" spans="1:4" s="138" customFormat="1" ht="22.5" customHeight="1" x14ac:dyDescent="0.25">
      <c r="A26" s="121" t="s">
        <v>73</v>
      </c>
      <c r="B26" s="132"/>
      <c r="C26" s="120" t="s">
        <v>60</v>
      </c>
      <c r="D26" s="130">
        <v>-4.4699999999999997E-2</v>
      </c>
    </row>
    <row r="27" spans="1:4" s="138" customFormat="1" ht="11.25" customHeight="1" x14ac:dyDescent="0.25">
      <c r="A27" s="121" t="s">
        <v>72</v>
      </c>
      <c r="B27" s="132"/>
      <c r="C27" s="120" t="s">
        <v>60</v>
      </c>
      <c r="D27" s="130">
        <v>-2.7E-2</v>
      </c>
    </row>
    <row r="28" spans="1:4" s="138" customFormat="1" ht="11.25" customHeight="1" x14ac:dyDescent="0.25">
      <c r="A28" s="121" t="s">
        <v>71</v>
      </c>
      <c r="B28" s="132"/>
      <c r="C28" s="120" t="s">
        <v>60</v>
      </c>
      <c r="D28" s="130">
        <f>2.6032*3</f>
        <v>7.8096000000000005</v>
      </c>
    </row>
    <row r="29" spans="1:4" s="138" customFormat="1" ht="22.5" customHeight="1" x14ac:dyDescent="0.25">
      <c r="A29" s="121" t="s">
        <v>70</v>
      </c>
      <c r="B29" s="121"/>
      <c r="C29" s="120" t="s">
        <v>60</v>
      </c>
      <c r="D29" s="131">
        <v>2.8637999999999999</v>
      </c>
    </row>
    <row r="30" spans="1:4" s="138" customFormat="1" ht="22.5" customHeight="1" x14ac:dyDescent="0.25">
      <c r="A30" s="121" t="s">
        <v>69</v>
      </c>
      <c r="B30" s="121"/>
      <c r="C30" s="120" t="s">
        <v>60</v>
      </c>
      <c r="D30" s="131">
        <v>2.0024999999999999</v>
      </c>
    </row>
    <row r="31" spans="1:4" s="138" customFormat="1" ht="6.75" customHeight="1" x14ac:dyDescent="0.25">
      <c r="A31" s="121"/>
      <c r="B31" s="121"/>
      <c r="C31" s="120"/>
      <c r="D31" s="131"/>
    </row>
    <row r="32" spans="1:4" s="138" customFormat="1" ht="15" customHeight="1" x14ac:dyDescent="0.25">
      <c r="A32" s="124" t="s">
        <v>68</v>
      </c>
      <c r="B32" s="121"/>
      <c r="C32" s="120"/>
      <c r="D32" s="120"/>
    </row>
    <row r="33" spans="1:4" s="138" customFormat="1" ht="6.75" customHeight="1" x14ac:dyDescent="0.25">
      <c r="A33" s="124"/>
      <c r="B33" s="121"/>
      <c r="C33" s="120"/>
      <c r="D33" s="120"/>
    </row>
    <row r="34" spans="1:4" s="138" customFormat="1" ht="11.25" customHeight="1" x14ac:dyDescent="0.25">
      <c r="A34" s="121" t="s">
        <v>67</v>
      </c>
      <c r="B34" s="121"/>
      <c r="C34" s="120" t="s">
        <v>64</v>
      </c>
      <c r="D34" s="130">
        <v>4.1000000000000003E-3</v>
      </c>
    </row>
    <row r="35" spans="1:4" s="138" customFormat="1" ht="11.25" customHeight="1" x14ac:dyDescent="0.25">
      <c r="A35" s="121" t="s">
        <v>66</v>
      </c>
      <c r="B35" s="121"/>
      <c r="C35" s="120" t="s">
        <v>64</v>
      </c>
      <c r="D35" s="130">
        <v>4.0000000000000002E-4</v>
      </c>
    </row>
    <row r="36" spans="1:4" s="138" customFormat="1" ht="11.25" customHeight="1" x14ac:dyDescent="0.25">
      <c r="A36" s="121" t="s">
        <v>65</v>
      </c>
      <c r="B36" s="121"/>
      <c r="C36" s="120" t="s">
        <v>64</v>
      </c>
      <c r="D36" s="130">
        <v>1.4E-3</v>
      </c>
    </row>
    <row r="37" spans="1:4" s="138" customFormat="1" ht="11.25" customHeight="1" x14ac:dyDescent="0.25">
      <c r="A37" s="121" t="s">
        <v>63</v>
      </c>
      <c r="B37" s="121"/>
      <c r="C37" s="120" t="s">
        <v>56</v>
      </c>
      <c r="D37" s="122">
        <v>0.25</v>
      </c>
    </row>
    <row r="38" spans="1:4" ht="127.5" customHeight="1" x14ac:dyDescent="0.25"/>
    <row r="39" spans="1:4" ht="127.5" customHeight="1" x14ac:dyDescent="0.25"/>
    <row r="40" spans="1:4" ht="127.5" customHeight="1" x14ac:dyDescent="0.25"/>
    <row r="41" spans="1:4" ht="127.5" customHeight="1" x14ac:dyDescent="0.25"/>
    <row r="42" spans="1:4" ht="127.5" customHeight="1" x14ac:dyDescent="0.25"/>
    <row r="43" spans="1:4" ht="127.5" customHeight="1" x14ac:dyDescent="0.25"/>
    <row r="44" spans="1:4" ht="127.5" customHeight="1" x14ac:dyDescent="0.25"/>
    <row r="45" spans="1:4" ht="127.5" customHeight="1" x14ac:dyDescent="0.25"/>
    <row r="46" spans="1:4" ht="127.5" customHeight="1" x14ac:dyDescent="0.25"/>
    <row r="47" spans="1:4" ht="127.5" customHeight="1" x14ac:dyDescent="0.25"/>
    <row r="48" spans="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sheetData>
  <pageMargins left="0.7" right="0.7" top="0.75" bottom="0.75" header="0.3" footer="0.3"/>
  <pageSetup orientation="portrait" r:id="rId1"/>
  <rowBreaks count="1" manualBreakCount="1">
    <brk id="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B6CB-9CC9-4C5F-973A-655C86037834}">
  <dimension ref="A1:D226"/>
  <sheetViews>
    <sheetView topLeftCell="A14" workbookViewId="0">
      <selection activeCell="D24" sqref="D24:D37"/>
    </sheetView>
  </sheetViews>
  <sheetFormatPr defaultColWidth="9.140625" defaultRowHeight="15" x14ac:dyDescent="0.25"/>
  <cols>
    <col min="1" max="1" width="54" style="140" customWidth="1"/>
    <col min="2" max="2" width="16.28515625" style="140" customWidth="1"/>
    <col min="3" max="3" width="10.28515625" style="140" customWidth="1"/>
    <col min="4" max="4" width="9.28515625" style="140" customWidth="1"/>
    <col min="5" max="5" width="9.140625" style="140" customWidth="1"/>
    <col min="6" max="459" width="9.140625" style="140"/>
    <col min="460" max="460" width="74" style="140" customWidth="1"/>
    <col min="461" max="16384" width="9.140625" style="140"/>
  </cols>
  <sheetData>
    <row r="1" spans="1:4" s="138" customFormat="1" ht="23.25" customHeight="1" x14ac:dyDescent="0.25">
      <c r="A1" s="137" t="s">
        <v>85</v>
      </c>
      <c r="B1" s="137"/>
      <c r="C1" s="137"/>
      <c r="D1" s="137"/>
    </row>
    <row r="2" spans="1:4" s="138" customFormat="1" ht="18" customHeight="1" x14ac:dyDescent="0.25">
      <c r="A2" s="136" t="s">
        <v>84</v>
      </c>
      <c r="B2" s="136"/>
      <c r="C2" s="136"/>
      <c r="D2" s="136"/>
    </row>
    <row r="3" spans="1:4" s="138" customFormat="1" ht="15.75" customHeight="1" x14ac:dyDescent="0.25">
      <c r="A3" s="135" t="s">
        <v>83</v>
      </c>
      <c r="B3" s="135"/>
      <c r="C3" s="135"/>
      <c r="D3" s="135"/>
    </row>
    <row r="4" spans="1:4" s="138" customFormat="1" ht="11.25" customHeight="1" x14ac:dyDescent="0.25">
      <c r="A4" s="134" t="s">
        <v>82</v>
      </c>
      <c r="B4" s="134"/>
      <c r="C4" s="134"/>
      <c r="D4" s="134"/>
    </row>
    <row r="5" spans="1:4" s="138" customFormat="1" ht="11.25" customHeight="1" x14ac:dyDescent="0.25">
      <c r="A5" s="134" t="s">
        <v>81</v>
      </c>
      <c r="B5" s="134"/>
      <c r="C5" s="134"/>
      <c r="D5" s="134"/>
    </row>
    <row r="6" spans="1:4" s="138" customFormat="1" ht="11.25" customHeight="1" x14ac:dyDescent="0.25">
      <c r="A6" s="133" t="s">
        <v>80</v>
      </c>
      <c r="B6" s="133"/>
      <c r="C6" s="133"/>
      <c r="D6" s="133"/>
    </row>
    <row r="7" spans="1:4" s="139" customFormat="1" ht="18.75" customHeight="1" x14ac:dyDescent="0.3">
      <c r="A7" s="129" t="s">
        <v>79</v>
      </c>
      <c r="B7" s="128"/>
      <c r="C7" s="128"/>
      <c r="D7" s="128"/>
    </row>
    <row r="8" spans="1:4" s="138" customFormat="1" ht="36" customHeight="1" x14ac:dyDescent="0.25">
      <c r="A8" s="123" t="s">
        <v>78</v>
      </c>
      <c r="B8" s="123"/>
      <c r="C8" s="123"/>
      <c r="D8" s="123"/>
    </row>
    <row r="9" spans="1:4" s="138" customFormat="1" ht="6.75" customHeight="1" x14ac:dyDescent="0.25">
      <c r="A9" s="123"/>
      <c r="B9" s="123"/>
      <c r="C9" s="123"/>
      <c r="D9" s="123"/>
    </row>
    <row r="10" spans="1:4" s="138" customFormat="1" ht="11.25" customHeight="1" x14ac:dyDescent="0.25">
      <c r="A10" s="127" t="s">
        <v>62</v>
      </c>
      <c r="B10" s="123"/>
      <c r="C10" s="123"/>
      <c r="D10" s="123"/>
    </row>
    <row r="11" spans="1:4" s="138" customFormat="1" ht="6.75" customHeight="1" x14ac:dyDescent="0.25">
      <c r="A11" s="127"/>
      <c r="B11" s="123"/>
      <c r="C11" s="123"/>
      <c r="D11" s="123"/>
    </row>
    <row r="12" spans="1:4" s="138" customFormat="1" ht="36" customHeight="1" x14ac:dyDescent="0.25">
      <c r="A12" s="123" t="s">
        <v>59</v>
      </c>
      <c r="B12" s="123"/>
      <c r="C12" s="123"/>
      <c r="D12" s="123"/>
    </row>
    <row r="13" spans="1:4" s="138" customFormat="1" ht="6.75" customHeight="1" x14ac:dyDescent="0.25">
      <c r="A13" s="123"/>
      <c r="B13" s="123"/>
      <c r="C13" s="123"/>
      <c r="D13" s="123"/>
    </row>
    <row r="14" spans="1:4" s="138" customFormat="1" ht="48" customHeight="1" x14ac:dyDescent="0.25">
      <c r="A14" s="123" t="s">
        <v>58</v>
      </c>
      <c r="B14" s="123"/>
      <c r="C14" s="123"/>
      <c r="D14" s="123"/>
    </row>
    <row r="15" spans="1:4" s="138" customFormat="1" ht="6.75" customHeight="1" x14ac:dyDescent="0.25">
      <c r="A15" s="123"/>
      <c r="B15" s="123"/>
      <c r="C15" s="123"/>
      <c r="D15" s="123"/>
    </row>
    <row r="16" spans="1:4" s="138" customFormat="1" ht="48" customHeight="1" x14ac:dyDescent="0.25">
      <c r="A16" s="123" t="s">
        <v>77</v>
      </c>
      <c r="B16" s="123"/>
      <c r="C16" s="123"/>
      <c r="D16" s="123"/>
    </row>
    <row r="17" spans="1:4" s="138" customFormat="1" ht="6.75" customHeight="1" x14ac:dyDescent="0.25">
      <c r="A17" s="123"/>
      <c r="B17" s="123"/>
      <c r="C17" s="123"/>
      <c r="D17" s="123"/>
    </row>
    <row r="18" spans="1:4" s="138" customFormat="1" ht="36" customHeight="1" x14ac:dyDescent="0.25">
      <c r="A18" s="123" t="s">
        <v>57</v>
      </c>
      <c r="B18" s="123"/>
      <c r="C18" s="123"/>
      <c r="D18" s="123"/>
    </row>
    <row r="19" spans="1:4" s="138" customFormat="1" ht="6.75" customHeight="1" x14ac:dyDescent="0.25">
      <c r="A19" s="123"/>
      <c r="B19" s="123"/>
      <c r="C19" s="123"/>
      <c r="D19" s="123"/>
    </row>
    <row r="20" spans="1:4" s="138" customFormat="1" ht="15" customHeight="1" x14ac:dyDescent="0.25">
      <c r="A20" s="124" t="s">
        <v>61</v>
      </c>
      <c r="B20" s="126"/>
      <c r="C20" s="126"/>
      <c r="D20" s="126"/>
    </row>
    <row r="21" spans="1:4" s="138" customFormat="1" ht="6.75" customHeight="1" x14ac:dyDescent="0.25">
      <c r="A21" s="124"/>
      <c r="B21" s="126"/>
      <c r="C21" s="126"/>
      <c r="D21" s="126"/>
    </row>
    <row r="22" spans="1:4" s="138" customFormat="1" ht="11.25" customHeight="1" x14ac:dyDescent="0.25">
      <c r="A22" s="121" t="s">
        <v>76</v>
      </c>
      <c r="B22" s="121"/>
      <c r="C22" s="120" t="s">
        <v>56</v>
      </c>
      <c r="D22" s="157">
        <v>4.3099999999999996</v>
      </c>
    </row>
    <row r="23" spans="1:4" s="138" customFormat="1" ht="11.25" customHeight="1" x14ac:dyDescent="0.25">
      <c r="A23" s="121" t="s">
        <v>17</v>
      </c>
      <c r="B23" s="121"/>
      <c r="C23" s="120" t="s">
        <v>60</v>
      </c>
      <c r="D23" s="158">
        <v>16.880400000000002</v>
      </c>
    </row>
    <row r="24" spans="1:4" s="138" customFormat="1" ht="11.25" customHeight="1" x14ac:dyDescent="0.25">
      <c r="A24" s="121" t="s">
        <v>75</v>
      </c>
      <c r="B24" s="121"/>
      <c r="C24" s="120" t="s">
        <v>60</v>
      </c>
      <c r="D24" s="130">
        <v>1.006</v>
      </c>
    </row>
    <row r="25" spans="1:4" s="138" customFormat="1" ht="11.25" customHeight="1" x14ac:dyDescent="0.25">
      <c r="A25" s="121" t="s">
        <v>74</v>
      </c>
      <c r="B25" s="132"/>
      <c r="C25" s="120" t="s">
        <v>60</v>
      </c>
      <c r="D25" s="130">
        <v>2.2957999999999998</v>
      </c>
    </row>
    <row r="26" spans="1:4" s="138" customFormat="1" ht="22.5" customHeight="1" x14ac:dyDescent="0.25">
      <c r="A26" s="121" t="s">
        <v>73</v>
      </c>
      <c r="B26" s="132"/>
      <c r="C26" s="120" t="s">
        <v>60</v>
      </c>
      <c r="D26" s="130">
        <v>-4.4699999999999997E-2</v>
      </c>
    </row>
    <row r="27" spans="1:4" s="138" customFormat="1" ht="11.25" customHeight="1" x14ac:dyDescent="0.25">
      <c r="A27" s="121" t="s">
        <v>72</v>
      </c>
      <c r="B27" s="132"/>
      <c r="C27" s="120" t="s">
        <v>60</v>
      </c>
      <c r="D27" s="130">
        <v>-2.7E-2</v>
      </c>
    </row>
    <row r="28" spans="1:4" s="138" customFormat="1" ht="11.25" customHeight="1" x14ac:dyDescent="0.25">
      <c r="A28" s="121" t="s">
        <v>71</v>
      </c>
      <c r="B28" s="132"/>
      <c r="C28" s="120" t="s">
        <v>60</v>
      </c>
      <c r="D28" s="156">
        <v>2.6032000000000002</v>
      </c>
    </row>
    <row r="29" spans="1:4" s="138" customFormat="1" ht="22.5" customHeight="1" x14ac:dyDescent="0.25">
      <c r="A29" s="121" t="s">
        <v>70</v>
      </c>
      <c r="B29" s="121"/>
      <c r="C29" s="120" t="s">
        <v>60</v>
      </c>
      <c r="D29" s="131">
        <v>2.8637999999999999</v>
      </c>
    </row>
    <row r="30" spans="1:4" s="138" customFormat="1" ht="22.5" customHeight="1" x14ac:dyDescent="0.25">
      <c r="A30" s="121" t="s">
        <v>69</v>
      </c>
      <c r="B30" s="121"/>
      <c r="C30" s="120" t="s">
        <v>60</v>
      </c>
      <c r="D30" s="120">
        <v>2.0024999999999999</v>
      </c>
    </row>
    <row r="31" spans="1:4" s="138" customFormat="1" ht="6.75" customHeight="1" x14ac:dyDescent="0.25">
      <c r="A31" s="121"/>
      <c r="B31" s="121"/>
      <c r="C31" s="120"/>
      <c r="D31" s="131"/>
    </row>
    <row r="32" spans="1:4" s="138" customFormat="1" ht="15" customHeight="1" x14ac:dyDescent="0.25">
      <c r="A32" s="124" t="s">
        <v>68</v>
      </c>
      <c r="B32" s="121"/>
      <c r="C32" s="120"/>
      <c r="D32" s="120"/>
    </row>
    <row r="33" spans="1:4" s="138" customFormat="1" ht="6.75" customHeight="1" x14ac:dyDescent="0.25">
      <c r="A33" s="124"/>
      <c r="B33" s="121"/>
      <c r="C33" s="120"/>
      <c r="D33" s="120"/>
    </row>
    <row r="34" spans="1:4" s="138" customFormat="1" ht="11.25" customHeight="1" x14ac:dyDescent="0.25">
      <c r="A34" s="121" t="s">
        <v>67</v>
      </c>
      <c r="B34" s="121"/>
      <c r="C34" s="120" t="s">
        <v>64</v>
      </c>
      <c r="D34" s="130">
        <v>4.1000000000000003E-3</v>
      </c>
    </row>
    <row r="35" spans="1:4" s="138" customFormat="1" ht="11.25" customHeight="1" x14ac:dyDescent="0.25">
      <c r="A35" s="121" t="s">
        <v>66</v>
      </c>
      <c r="B35" s="121"/>
      <c r="C35" s="120" t="s">
        <v>64</v>
      </c>
      <c r="D35" s="130">
        <v>4.0000000000000002E-4</v>
      </c>
    </row>
    <row r="36" spans="1:4" s="138" customFormat="1" ht="11.25" customHeight="1" x14ac:dyDescent="0.25">
      <c r="A36" s="121" t="s">
        <v>65</v>
      </c>
      <c r="B36" s="121"/>
      <c r="C36" s="120" t="s">
        <v>64</v>
      </c>
      <c r="D36" s="130">
        <v>1.4E-3</v>
      </c>
    </row>
    <row r="37" spans="1:4" s="138" customFormat="1" ht="11.25" customHeight="1" x14ac:dyDescent="0.25">
      <c r="A37" s="121" t="s">
        <v>63</v>
      </c>
      <c r="B37" s="121"/>
      <c r="C37" s="120" t="s">
        <v>56</v>
      </c>
      <c r="D37" s="122">
        <v>0.25</v>
      </c>
    </row>
    <row r="38" spans="1:4" ht="127.5" customHeight="1" x14ac:dyDescent="0.25"/>
    <row r="39" spans="1:4" ht="127.5" customHeight="1" x14ac:dyDescent="0.25"/>
    <row r="40" spans="1:4" ht="127.5" customHeight="1" x14ac:dyDescent="0.25"/>
    <row r="41" spans="1:4" ht="127.5" customHeight="1" x14ac:dyDescent="0.25"/>
    <row r="42" spans="1:4" ht="127.5" customHeight="1" x14ac:dyDescent="0.25"/>
    <row r="43" spans="1:4" ht="127.5" customHeight="1" x14ac:dyDescent="0.25"/>
    <row r="44" spans="1:4" ht="127.5" customHeight="1" x14ac:dyDescent="0.25"/>
    <row r="45" spans="1:4" ht="127.5" customHeight="1" x14ac:dyDescent="0.25"/>
    <row r="46" spans="1:4" ht="127.5" customHeight="1" x14ac:dyDescent="0.25"/>
    <row r="47" spans="1:4" ht="127.5" customHeight="1" x14ac:dyDescent="0.25"/>
    <row r="48" spans="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sheetData>
  <pageMargins left="0.7" right="0.7" top="0.75" bottom="0.75" header="0.3" footer="0.3"/>
  <pageSetup orientation="portrait" r:id="rId1"/>
  <rowBreaks count="1" manualBreakCount="1">
    <brk id="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BD9E-6CB3-42A1-9DC2-3C59B7F465AA}">
  <dimension ref="A1:D219"/>
  <sheetViews>
    <sheetView topLeftCell="A14" workbookViewId="0">
      <selection activeCell="D24" sqref="D24:D37"/>
    </sheetView>
  </sheetViews>
  <sheetFormatPr defaultColWidth="9.140625" defaultRowHeight="15" x14ac:dyDescent="0.25"/>
  <cols>
    <col min="1" max="1" width="54" style="140" customWidth="1"/>
    <col min="2" max="2" width="16.28515625" style="140" customWidth="1"/>
    <col min="3" max="3" width="10.28515625" style="140" customWidth="1"/>
    <col min="4" max="4" width="9.28515625" style="140" customWidth="1"/>
    <col min="5" max="5" width="9.140625" style="140" customWidth="1"/>
    <col min="6" max="459" width="9.140625" style="140"/>
    <col min="460" max="460" width="74" style="140" customWidth="1"/>
    <col min="461" max="16384" width="9.140625" style="140"/>
  </cols>
  <sheetData>
    <row r="1" spans="1:4" s="138" customFormat="1" ht="23.25" customHeight="1" x14ac:dyDescent="0.25">
      <c r="A1" s="137" t="s">
        <v>85</v>
      </c>
      <c r="B1" s="137"/>
      <c r="C1" s="137"/>
      <c r="D1" s="137"/>
    </row>
    <row r="2" spans="1:4" s="138" customFormat="1" ht="18" customHeight="1" x14ac:dyDescent="0.25">
      <c r="A2" s="136" t="s">
        <v>84</v>
      </c>
      <c r="B2" s="136"/>
      <c r="C2" s="136"/>
      <c r="D2" s="136"/>
    </row>
    <row r="3" spans="1:4" s="138" customFormat="1" ht="15.75" customHeight="1" x14ac:dyDescent="0.25">
      <c r="A3" s="135" t="s">
        <v>83</v>
      </c>
      <c r="B3" s="135"/>
      <c r="C3" s="135"/>
      <c r="D3" s="135"/>
    </row>
    <row r="4" spans="1:4" s="138" customFormat="1" ht="11.25" customHeight="1" x14ac:dyDescent="0.25">
      <c r="A4" s="134" t="s">
        <v>82</v>
      </c>
      <c r="B4" s="134"/>
      <c r="C4" s="134"/>
      <c r="D4" s="134"/>
    </row>
    <row r="5" spans="1:4" s="138" customFormat="1" ht="11.25" customHeight="1" x14ac:dyDescent="0.25">
      <c r="A5" s="134" t="s">
        <v>81</v>
      </c>
      <c r="B5" s="134"/>
      <c r="C5" s="134"/>
      <c r="D5" s="134"/>
    </row>
    <row r="6" spans="1:4" s="138" customFormat="1" ht="11.25" customHeight="1" x14ac:dyDescent="0.25">
      <c r="A6" s="133" t="s">
        <v>80</v>
      </c>
      <c r="B6" s="133"/>
      <c r="C6" s="133"/>
      <c r="D6" s="133"/>
    </row>
    <row r="7" spans="1:4" s="139" customFormat="1" ht="18.75" customHeight="1" x14ac:dyDescent="0.3">
      <c r="A7" s="129" t="s">
        <v>79</v>
      </c>
      <c r="B7" s="128"/>
      <c r="C7" s="128"/>
      <c r="D7" s="128"/>
    </row>
    <row r="8" spans="1:4" s="138" customFormat="1" ht="36" customHeight="1" x14ac:dyDescent="0.25">
      <c r="A8" s="123" t="s">
        <v>78</v>
      </c>
      <c r="B8" s="123"/>
      <c r="C8" s="123"/>
      <c r="D8" s="123"/>
    </row>
    <row r="9" spans="1:4" s="138" customFormat="1" ht="6.75" customHeight="1" x14ac:dyDescent="0.25">
      <c r="A9" s="123"/>
      <c r="B9" s="123"/>
      <c r="C9" s="123"/>
      <c r="D9" s="123"/>
    </row>
    <row r="10" spans="1:4" s="138" customFormat="1" ht="11.25" customHeight="1" x14ac:dyDescent="0.25">
      <c r="A10" s="127" t="s">
        <v>62</v>
      </c>
      <c r="B10" s="123"/>
      <c r="C10" s="123"/>
      <c r="D10" s="123"/>
    </row>
    <row r="11" spans="1:4" s="138" customFormat="1" ht="6.75" customHeight="1" x14ac:dyDescent="0.25">
      <c r="A11" s="127"/>
      <c r="B11" s="123"/>
      <c r="C11" s="123"/>
      <c r="D11" s="123"/>
    </row>
    <row r="12" spans="1:4" s="138" customFormat="1" ht="36" customHeight="1" x14ac:dyDescent="0.25">
      <c r="A12" s="123" t="s">
        <v>59</v>
      </c>
      <c r="B12" s="123"/>
      <c r="C12" s="123"/>
      <c r="D12" s="123"/>
    </row>
    <row r="13" spans="1:4" s="138" customFormat="1" ht="6.75" customHeight="1" x14ac:dyDescent="0.25">
      <c r="A13" s="123"/>
      <c r="B13" s="123"/>
      <c r="C13" s="123"/>
      <c r="D13" s="123"/>
    </row>
    <row r="14" spans="1:4" s="138" customFormat="1" ht="48" customHeight="1" x14ac:dyDescent="0.25">
      <c r="A14" s="123" t="s">
        <v>58</v>
      </c>
      <c r="B14" s="123"/>
      <c r="C14" s="123"/>
      <c r="D14" s="123"/>
    </row>
    <row r="15" spans="1:4" s="138" customFormat="1" ht="6.75" customHeight="1" x14ac:dyDescent="0.25">
      <c r="A15" s="123"/>
      <c r="B15" s="123"/>
      <c r="C15" s="123"/>
      <c r="D15" s="123"/>
    </row>
    <row r="16" spans="1:4" s="138" customFormat="1" ht="48" customHeight="1" x14ac:dyDescent="0.25">
      <c r="A16" s="123" t="s">
        <v>77</v>
      </c>
      <c r="B16" s="123"/>
      <c r="C16" s="123"/>
      <c r="D16" s="123"/>
    </row>
    <row r="17" spans="1:4" s="138" customFormat="1" ht="6.75" customHeight="1" x14ac:dyDescent="0.25">
      <c r="A17" s="123"/>
      <c r="B17" s="123"/>
      <c r="C17" s="123"/>
      <c r="D17" s="123"/>
    </row>
    <row r="18" spans="1:4" s="138" customFormat="1" ht="36" customHeight="1" x14ac:dyDescent="0.25">
      <c r="A18" s="123" t="s">
        <v>57</v>
      </c>
      <c r="B18" s="123"/>
      <c r="C18" s="123"/>
      <c r="D18" s="123"/>
    </row>
    <row r="19" spans="1:4" s="138" customFormat="1" ht="6.75" customHeight="1" x14ac:dyDescent="0.25">
      <c r="A19" s="123"/>
      <c r="B19" s="123"/>
      <c r="C19" s="123"/>
      <c r="D19" s="123"/>
    </row>
    <row r="20" spans="1:4" s="138" customFormat="1" ht="15" customHeight="1" x14ac:dyDescent="0.25">
      <c r="A20" s="124" t="s">
        <v>61</v>
      </c>
      <c r="B20" s="126"/>
      <c r="C20" s="126"/>
      <c r="D20" s="126"/>
    </row>
    <row r="21" spans="1:4" s="138" customFormat="1" ht="6.75" customHeight="1" x14ac:dyDescent="0.25">
      <c r="A21" s="124"/>
      <c r="B21" s="126"/>
      <c r="C21" s="126"/>
      <c r="D21" s="126"/>
    </row>
    <row r="22" spans="1:4" s="138" customFormat="1" ht="11.25" customHeight="1" x14ac:dyDescent="0.25">
      <c r="A22" s="121" t="s">
        <v>76</v>
      </c>
      <c r="B22" s="121"/>
      <c r="C22" s="120" t="s">
        <v>56</v>
      </c>
      <c r="D22" s="157">
        <v>4.5999999999999996</v>
      </c>
    </row>
    <row r="23" spans="1:4" s="138" customFormat="1" ht="11.25" customHeight="1" x14ac:dyDescent="0.25">
      <c r="A23" s="121" t="s">
        <v>17</v>
      </c>
      <c r="B23" s="121"/>
      <c r="C23" s="120" t="s">
        <v>60</v>
      </c>
      <c r="D23" s="158">
        <v>18.017299999999999</v>
      </c>
    </row>
    <row r="24" spans="1:4" s="138" customFormat="1" ht="11.25" customHeight="1" x14ac:dyDescent="0.25">
      <c r="A24" s="121" t="s">
        <v>75</v>
      </c>
      <c r="B24" s="121"/>
      <c r="C24" s="120" t="s">
        <v>60</v>
      </c>
      <c r="D24" s="130">
        <v>1.006</v>
      </c>
    </row>
    <row r="25" spans="1:4" s="138" customFormat="1" ht="11.25" customHeight="1" x14ac:dyDescent="0.25">
      <c r="A25" s="121" t="s">
        <v>74</v>
      </c>
      <c r="B25" s="132"/>
      <c r="C25" s="120" t="s">
        <v>60</v>
      </c>
      <c r="D25" s="130">
        <v>2.2957999999999998</v>
      </c>
    </row>
    <row r="26" spans="1:4" s="138" customFormat="1" ht="22.5" customHeight="1" x14ac:dyDescent="0.25">
      <c r="A26" s="121" t="s">
        <v>73</v>
      </c>
      <c r="B26" s="132"/>
      <c r="C26" s="120" t="s">
        <v>60</v>
      </c>
      <c r="D26" s="130">
        <v>-4.4699999999999997E-2</v>
      </c>
    </row>
    <row r="27" spans="1:4" s="138" customFormat="1" ht="11.25" customHeight="1" x14ac:dyDescent="0.25">
      <c r="A27" s="121" t="s">
        <v>72</v>
      </c>
      <c r="B27" s="132"/>
      <c r="C27" s="120" t="s">
        <v>60</v>
      </c>
      <c r="D27" s="130">
        <v>-2.7E-2</v>
      </c>
    </row>
    <row r="28" spans="1:4" s="138" customFormat="1" ht="11.25" customHeight="1" x14ac:dyDescent="0.25">
      <c r="A28" s="121" t="s">
        <v>71</v>
      </c>
      <c r="B28" s="132"/>
      <c r="C28" s="120" t="s">
        <v>60</v>
      </c>
      <c r="D28" s="156">
        <v>2.6032000000000002</v>
      </c>
    </row>
    <row r="29" spans="1:4" s="138" customFormat="1" ht="22.5" customHeight="1" x14ac:dyDescent="0.25">
      <c r="A29" s="121" t="s">
        <v>70</v>
      </c>
      <c r="B29" s="121"/>
      <c r="C29" s="120" t="s">
        <v>60</v>
      </c>
      <c r="D29" s="131">
        <v>2.8637999999999999</v>
      </c>
    </row>
    <row r="30" spans="1:4" s="138" customFormat="1" ht="22.5" customHeight="1" x14ac:dyDescent="0.25">
      <c r="A30" s="121" t="s">
        <v>69</v>
      </c>
      <c r="B30" s="121"/>
      <c r="C30" s="120" t="s">
        <v>60</v>
      </c>
      <c r="D30" s="131">
        <v>2.0024999999999999</v>
      </c>
    </row>
    <row r="31" spans="1:4" s="138" customFormat="1" ht="6.75" customHeight="1" x14ac:dyDescent="0.25">
      <c r="A31" s="121"/>
      <c r="B31" s="121"/>
      <c r="C31" s="120"/>
      <c r="D31" s="131"/>
    </row>
    <row r="32" spans="1:4" s="138" customFormat="1" ht="15" customHeight="1" x14ac:dyDescent="0.25">
      <c r="A32" s="124" t="s">
        <v>68</v>
      </c>
      <c r="B32" s="121"/>
      <c r="C32" s="120"/>
      <c r="D32" s="120"/>
    </row>
    <row r="33" spans="1:4" s="138" customFormat="1" ht="6.75" customHeight="1" x14ac:dyDescent="0.25">
      <c r="A33" s="124"/>
      <c r="B33" s="121"/>
      <c r="C33" s="120"/>
      <c r="D33" s="120"/>
    </row>
    <row r="34" spans="1:4" s="138" customFormat="1" ht="11.25" customHeight="1" x14ac:dyDescent="0.25">
      <c r="A34" s="121" t="s">
        <v>67</v>
      </c>
      <c r="B34" s="121"/>
      <c r="C34" s="120" t="s">
        <v>64</v>
      </c>
      <c r="D34" s="130">
        <v>4.1000000000000003E-3</v>
      </c>
    </row>
    <row r="35" spans="1:4" s="138" customFormat="1" ht="11.25" customHeight="1" x14ac:dyDescent="0.25">
      <c r="A35" s="121" t="s">
        <v>66</v>
      </c>
      <c r="B35" s="121"/>
      <c r="C35" s="120" t="s">
        <v>64</v>
      </c>
      <c r="D35" s="130">
        <v>4.0000000000000002E-4</v>
      </c>
    </row>
    <row r="36" spans="1:4" s="138" customFormat="1" ht="11.25" customHeight="1" x14ac:dyDescent="0.25">
      <c r="A36" s="121" t="s">
        <v>65</v>
      </c>
      <c r="B36" s="121"/>
      <c r="C36" s="120" t="s">
        <v>64</v>
      </c>
      <c r="D36" s="130">
        <v>1.4E-3</v>
      </c>
    </row>
    <row r="37" spans="1:4" s="138" customFormat="1" ht="11.25" customHeight="1" x14ac:dyDescent="0.25">
      <c r="A37" s="121" t="s">
        <v>63</v>
      </c>
      <c r="B37" s="121"/>
      <c r="C37" s="120" t="s">
        <v>56</v>
      </c>
      <c r="D37" s="122">
        <v>0.25</v>
      </c>
    </row>
    <row r="38" spans="1:4" ht="127.5" customHeight="1" x14ac:dyDescent="0.25"/>
    <row r="39" spans="1:4" ht="127.5" customHeight="1" x14ac:dyDescent="0.25"/>
    <row r="40" spans="1:4" ht="127.5" customHeight="1" x14ac:dyDescent="0.25"/>
    <row r="41" spans="1:4" ht="127.5" customHeight="1" x14ac:dyDescent="0.25"/>
    <row r="42" spans="1:4" ht="127.5" customHeight="1" x14ac:dyDescent="0.25"/>
    <row r="43" spans="1:4" ht="127.5" customHeight="1" x14ac:dyDescent="0.25"/>
    <row r="44" spans="1:4" ht="127.5" customHeight="1" x14ac:dyDescent="0.25"/>
    <row r="45" spans="1:4" ht="127.5" customHeight="1" x14ac:dyDescent="0.25"/>
    <row r="46" spans="1:4" ht="127.5" customHeight="1" x14ac:dyDescent="0.25"/>
    <row r="47" spans="1:4" ht="127.5" customHeight="1" x14ac:dyDescent="0.25"/>
    <row r="48" spans="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pageMargins left="0.7" right="0.7" top="0.75" bottom="0.75" header="0.3" footer="0.3"/>
  <pageSetup orientation="portrait" r:id="rId1"/>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89EC-99EF-4FA6-AEA5-47CF9614EE32}">
  <dimension ref="A1:D254"/>
  <sheetViews>
    <sheetView topLeftCell="A18" workbookViewId="0">
      <selection activeCell="D24" sqref="D24:D37"/>
    </sheetView>
  </sheetViews>
  <sheetFormatPr defaultColWidth="9.140625" defaultRowHeight="15" x14ac:dyDescent="0.25"/>
  <cols>
    <col min="1" max="1" width="54" style="140" customWidth="1"/>
    <col min="2" max="2" width="16.28515625" style="140" customWidth="1"/>
    <col min="3" max="3" width="10.28515625" style="140" customWidth="1"/>
    <col min="4" max="4" width="9.28515625" style="140" customWidth="1"/>
    <col min="5" max="5" width="9.140625" style="140" customWidth="1"/>
    <col min="6" max="459" width="9.140625" style="140"/>
    <col min="460" max="460" width="74" style="140" customWidth="1"/>
    <col min="461" max="16384" width="9.140625" style="140"/>
  </cols>
  <sheetData>
    <row r="1" spans="1:4" s="138" customFormat="1" ht="23.25" customHeight="1" x14ac:dyDescent="0.25">
      <c r="A1" s="137" t="s">
        <v>85</v>
      </c>
      <c r="B1" s="137"/>
      <c r="C1" s="137"/>
      <c r="D1" s="137"/>
    </row>
    <row r="2" spans="1:4" s="138" customFormat="1" ht="18" customHeight="1" x14ac:dyDescent="0.25">
      <c r="A2" s="136" t="s">
        <v>84</v>
      </c>
      <c r="B2" s="136"/>
      <c r="C2" s="136"/>
      <c r="D2" s="136"/>
    </row>
    <row r="3" spans="1:4" s="138" customFormat="1" ht="15.75" customHeight="1" x14ac:dyDescent="0.25">
      <c r="A3" s="135" t="s">
        <v>83</v>
      </c>
      <c r="B3" s="135"/>
      <c r="C3" s="135"/>
      <c r="D3" s="135"/>
    </row>
    <row r="4" spans="1:4" s="138" customFormat="1" ht="11.25" customHeight="1" x14ac:dyDescent="0.25">
      <c r="A4" s="134" t="s">
        <v>82</v>
      </c>
      <c r="B4" s="134"/>
      <c r="C4" s="134"/>
      <c r="D4" s="134"/>
    </row>
    <row r="5" spans="1:4" s="138" customFormat="1" ht="11.25" customHeight="1" x14ac:dyDescent="0.25">
      <c r="A5" s="134" t="s">
        <v>81</v>
      </c>
      <c r="B5" s="134"/>
      <c r="C5" s="134"/>
      <c r="D5" s="134"/>
    </row>
    <row r="6" spans="1:4" s="138" customFormat="1" ht="11.25" customHeight="1" x14ac:dyDescent="0.25">
      <c r="A6" s="133" t="s">
        <v>80</v>
      </c>
      <c r="B6" s="133"/>
      <c r="C6" s="133"/>
      <c r="D6" s="133"/>
    </row>
    <row r="7" spans="1:4" s="139" customFormat="1" ht="18.75" customHeight="1" x14ac:dyDescent="0.3">
      <c r="A7" s="129" t="s">
        <v>79</v>
      </c>
      <c r="B7" s="128"/>
      <c r="C7" s="128"/>
      <c r="D7" s="128"/>
    </row>
    <row r="8" spans="1:4" s="138" customFormat="1" ht="36" customHeight="1" x14ac:dyDescent="0.25">
      <c r="A8" s="123" t="s">
        <v>78</v>
      </c>
      <c r="B8" s="123"/>
      <c r="C8" s="123"/>
      <c r="D8" s="123"/>
    </row>
    <row r="9" spans="1:4" s="138" customFormat="1" ht="6.75" customHeight="1" x14ac:dyDescent="0.25">
      <c r="A9" s="123"/>
      <c r="B9" s="123"/>
      <c r="C9" s="123"/>
      <c r="D9" s="123"/>
    </row>
    <row r="10" spans="1:4" s="138" customFormat="1" ht="11.25" customHeight="1" x14ac:dyDescent="0.25">
      <c r="A10" s="127" t="s">
        <v>62</v>
      </c>
      <c r="B10" s="123"/>
      <c r="C10" s="123"/>
      <c r="D10" s="123"/>
    </row>
    <row r="11" spans="1:4" s="138" customFormat="1" ht="6.75" customHeight="1" x14ac:dyDescent="0.25">
      <c r="A11" s="127"/>
      <c r="B11" s="123"/>
      <c r="C11" s="123"/>
      <c r="D11" s="123"/>
    </row>
    <row r="12" spans="1:4" s="138" customFormat="1" ht="36" customHeight="1" x14ac:dyDescent="0.25">
      <c r="A12" s="123" t="s">
        <v>59</v>
      </c>
      <c r="B12" s="123"/>
      <c r="C12" s="123"/>
      <c r="D12" s="123"/>
    </row>
    <row r="13" spans="1:4" s="138" customFormat="1" ht="6.75" customHeight="1" x14ac:dyDescent="0.25">
      <c r="A13" s="123"/>
      <c r="B13" s="123"/>
      <c r="C13" s="123"/>
      <c r="D13" s="123"/>
    </row>
    <row r="14" spans="1:4" s="138" customFormat="1" ht="48" customHeight="1" x14ac:dyDescent="0.25">
      <c r="A14" s="123" t="s">
        <v>58</v>
      </c>
      <c r="B14" s="123"/>
      <c r="C14" s="123"/>
      <c r="D14" s="123"/>
    </row>
    <row r="15" spans="1:4" s="138" customFormat="1" ht="6.75" customHeight="1" x14ac:dyDescent="0.25">
      <c r="A15" s="123"/>
      <c r="B15" s="123"/>
      <c r="C15" s="123"/>
      <c r="D15" s="123"/>
    </row>
    <row r="16" spans="1:4" s="138" customFormat="1" ht="48" customHeight="1" x14ac:dyDescent="0.25">
      <c r="A16" s="123" t="s">
        <v>77</v>
      </c>
      <c r="B16" s="123"/>
      <c r="C16" s="123"/>
      <c r="D16" s="123"/>
    </row>
    <row r="17" spans="1:4" s="138" customFormat="1" ht="6.75" customHeight="1" x14ac:dyDescent="0.25">
      <c r="A17" s="123"/>
      <c r="B17" s="123"/>
      <c r="C17" s="123"/>
      <c r="D17" s="123"/>
    </row>
    <row r="18" spans="1:4" s="138" customFormat="1" ht="36" customHeight="1" x14ac:dyDescent="0.25">
      <c r="A18" s="123" t="s">
        <v>57</v>
      </c>
      <c r="B18" s="123"/>
      <c r="C18" s="123"/>
      <c r="D18" s="123"/>
    </row>
    <row r="19" spans="1:4" s="138" customFormat="1" ht="6.75" customHeight="1" x14ac:dyDescent="0.25">
      <c r="A19" s="123"/>
      <c r="B19" s="123"/>
      <c r="C19" s="123"/>
      <c r="D19" s="123"/>
    </row>
    <row r="20" spans="1:4" s="138" customFormat="1" ht="15" customHeight="1" x14ac:dyDescent="0.25">
      <c r="A20" s="124" t="s">
        <v>61</v>
      </c>
      <c r="B20" s="126"/>
      <c r="C20" s="126"/>
      <c r="D20" s="126"/>
    </row>
    <row r="21" spans="1:4" s="138" customFormat="1" ht="6.75" customHeight="1" x14ac:dyDescent="0.25">
      <c r="A21" s="124"/>
      <c r="B21" s="126"/>
      <c r="C21" s="126"/>
      <c r="D21" s="126"/>
    </row>
    <row r="22" spans="1:4" s="138" customFormat="1" ht="11.25" customHeight="1" x14ac:dyDescent="0.25">
      <c r="A22" s="121" t="s">
        <v>76</v>
      </c>
      <c r="B22" s="121"/>
      <c r="C22" s="120" t="s">
        <v>56</v>
      </c>
      <c r="D22" s="157">
        <f>+'SL Status Quo Tariff'!D22</f>
        <v>4.8899999999999997</v>
      </c>
    </row>
    <row r="23" spans="1:4" s="138" customFormat="1" ht="11.25" customHeight="1" x14ac:dyDescent="0.25">
      <c r="A23" s="121" t="s">
        <v>17</v>
      </c>
      <c r="B23" s="121"/>
      <c r="C23" s="120" t="s">
        <v>60</v>
      </c>
      <c r="D23" s="158">
        <v>19.1541</v>
      </c>
    </row>
    <row r="24" spans="1:4" s="138" customFormat="1" ht="11.25" customHeight="1" x14ac:dyDescent="0.25">
      <c r="A24" s="121" t="s">
        <v>75</v>
      </c>
      <c r="B24" s="121"/>
      <c r="C24" s="120" t="s">
        <v>60</v>
      </c>
      <c r="D24" s="130">
        <v>1.006</v>
      </c>
    </row>
    <row r="25" spans="1:4" s="138" customFormat="1" ht="11.25" customHeight="1" x14ac:dyDescent="0.25">
      <c r="A25" s="121" t="s">
        <v>74</v>
      </c>
      <c r="B25" s="132"/>
      <c r="C25" s="120" t="s">
        <v>60</v>
      </c>
      <c r="D25" s="130">
        <v>2.2957999999999998</v>
      </c>
    </row>
    <row r="26" spans="1:4" s="138" customFormat="1" ht="22.5" customHeight="1" x14ac:dyDescent="0.25">
      <c r="A26" s="121" t="s">
        <v>73</v>
      </c>
      <c r="B26" s="132"/>
      <c r="C26" s="120" t="s">
        <v>60</v>
      </c>
      <c r="D26" s="130">
        <v>-4.4699999999999997E-2</v>
      </c>
    </row>
    <row r="27" spans="1:4" s="138" customFormat="1" ht="11.25" customHeight="1" x14ac:dyDescent="0.25">
      <c r="A27" s="121" t="s">
        <v>72</v>
      </c>
      <c r="B27" s="132"/>
      <c r="C27" s="120" t="s">
        <v>60</v>
      </c>
      <c r="D27" s="130">
        <v>-2.7E-2</v>
      </c>
    </row>
    <row r="28" spans="1:4" s="138" customFormat="1" ht="11.25" customHeight="1" x14ac:dyDescent="0.25">
      <c r="A28" s="121" t="s">
        <v>71</v>
      </c>
      <c r="B28" s="132"/>
      <c r="C28" s="120" t="s">
        <v>60</v>
      </c>
      <c r="D28" s="156">
        <v>2.6032000000000002</v>
      </c>
    </row>
    <row r="29" spans="1:4" s="138" customFormat="1" ht="22.5" customHeight="1" x14ac:dyDescent="0.25">
      <c r="A29" s="121" t="s">
        <v>70</v>
      </c>
      <c r="B29" s="121"/>
      <c r="C29" s="120" t="s">
        <v>60</v>
      </c>
      <c r="D29" s="131">
        <v>2.8637999999999999</v>
      </c>
    </row>
    <row r="30" spans="1:4" s="138" customFormat="1" ht="22.5" customHeight="1" x14ac:dyDescent="0.25">
      <c r="A30" s="121" t="s">
        <v>69</v>
      </c>
      <c r="B30" s="121"/>
      <c r="C30" s="120" t="s">
        <v>60</v>
      </c>
      <c r="D30" s="131">
        <v>2.0024999999999999</v>
      </c>
    </row>
    <row r="31" spans="1:4" s="138" customFormat="1" ht="6.75" customHeight="1" x14ac:dyDescent="0.25">
      <c r="A31" s="121"/>
      <c r="B31" s="121"/>
      <c r="C31" s="120"/>
      <c r="D31" s="131"/>
    </row>
    <row r="32" spans="1:4" s="138" customFormat="1" ht="15" customHeight="1" x14ac:dyDescent="0.25">
      <c r="A32" s="124" t="s">
        <v>68</v>
      </c>
      <c r="B32" s="121"/>
      <c r="C32" s="120"/>
      <c r="D32" s="120"/>
    </row>
    <row r="33" spans="1:4" s="138" customFormat="1" ht="6.75" customHeight="1" x14ac:dyDescent="0.25">
      <c r="A33" s="124"/>
      <c r="B33" s="121"/>
      <c r="C33" s="120"/>
      <c r="D33" s="120"/>
    </row>
    <row r="34" spans="1:4" s="138" customFormat="1" ht="11.25" customHeight="1" x14ac:dyDescent="0.25">
      <c r="A34" s="121" t="s">
        <v>67</v>
      </c>
      <c r="B34" s="121"/>
      <c r="C34" s="120" t="s">
        <v>64</v>
      </c>
      <c r="D34" s="130">
        <v>4.1000000000000003E-3</v>
      </c>
    </row>
    <row r="35" spans="1:4" s="138" customFormat="1" ht="11.25" customHeight="1" x14ac:dyDescent="0.25">
      <c r="A35" s="121" t="s">
        <v>66</v>
      </c>
      <c r="B35" s="121"/>
      <c r="C35" s="120" t="s">
        <v>64</v>
      </c>
      <c r="D35" s="130">
        <v>4.0000000000000002E-4</v>
      </c>
    </row>
    <row r="36" spans="1:4" s="138" customFormat="1" ht="11.25" customHeight="1" x14ac:dyDescent="0.25">
      <c r="A36" s="121" t="s">
        <v>65</v>
      </c>
      <c r="B36" s="121"/>
      <c r="C36" s="120" t="s">
        <v>64</v>
      </c>
      <c r="D36" s="130">
        <v>1.4E-3</v>
      </c>
    </row>
    <row r="37" spans="1:4" s="138" customFormat="1" ht="11.25" customHeight="1" x14ac:dyDescent="0.25">
      <c r="A37" s="121" t="s">
        <v>63</v>
      </c>
      <c r="B37" s="121"/>
      <c r="C37" s="120" t="s">
        <v>56</v>
      </c>
      <c r="D37" s="122">
        <v>0.25</v>
      </c>
    </row>
    <row r="38" spans="1:4" ht="127.5" customHeight="1" x14ac:dyDescent="0.25"/>
    <row r="39" spans="1:4" ht="127.5" customHeight="1" x14ac:dyDescent="0.25"/>
    <row r="40" spans="1:4" ht="127.5" customHeight="1" x14ac:dyDescent="0.25"/>
    <row r="41" spans="1:4" ht="127.5" customHeight="1" x14ac:dyDescent="0.25"/>
    <row r="42" spans="1:4" ht="127.5" customHeight="1" x14ac:dyDescent="0.25"/>
    <row r="43" spans="1:4" ht="127.5" customHeight="1" x14ac:dyDescent="0.25"/>
    <row r="44" spans="1:4" ht="127.5" customHeight="1" x14ac:dyDescent="0.25"/>
    <row r="45" spans="1:4" ht="127.5" customHeight="1" x14ac:dyDescent="0.25"/>
    <row r="46" spans="1:4" ht="127.5" customHeight="1" x14ac:dyDescent="0.25"/>
    <row r="47" spans="1:4" ht="127.5" customHeight="1" x14ac:dyDescent="0.25"/>
    <row r="48" spans="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sheetData>
  <pageMargins left="0.7" right="0.7" top="0.75" bottom="0.75" header="0.3" footer="0.3"/>
  <pageSetup orientation="portrait" r:id="rId1"/>
  <rowBreaks count="1" manualBreakCount="1">
    <brk id="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Summary</vt:lpstr>
      <vt:lpstr>SL status quo</vt:lpstr>
      <vt:lpstr>SL rate mitigation</vt:lpstr>
      <vt:lpstr>SL Status Quo Tariff</vt:lpstr>
      <vt:lpstr>SL Proposed Y1 Tariff</vt:lpstr>
      <vt:lpstr>SL Proposed Y2 Tariff</vt:lpstr>
      <vt:lpstr>SL Proposed Y3 Tariff</vt:lpstr>
      <vt:lpstr>'SL Proposed Y1 Tariff'!Print_Area</vt:lpstr>
      <vt:lpstr>'SL Proposed Y2 Tariff'!Print_Area</vt:lpstr>
      <vt:lpstr>'SL Proposed Y3 Tariff'!Print_Area</vt:lpstr>
      <vt:lpstr>'SL Status Quo Tariff'!Print_Area</vt:lpstr>
      <vt:lpstr>'SL Proposed Y1 Tariff'!Print_Titles</vt:lpstr>
      <vt:lpstr>'SL Proposed Y2 Tariff'!Print_Titles</vt:lpstr>
      <vt:lpstr>'SL Proposed Y3 Tariff'!Print_Titles</vt:lpstr>
      <vt:lpstr>'SL Status Quo Tariff'!Print_Titles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Suzanne Presseault</cp:lastModifiedBy>
  <dcterms:created xsi:type="dcterms:W3CDTF">2024-02-06T15:42:09Z</dcterms:created>
  <dcterms:modified xsi:type="dcterms:W3CDTF">2024-03-12T20:51:32Z</dcterms:modified>
</cp:coreProperties>
</file>